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3.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4.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5.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6.xml" ContentType="application/vnd.openxmlformats-officedocument.drawing+xml"/>
  <Override PartName="/xl/ctrlProps/ctrlProp85.xml" ContentType="application/vnd.ms-excel.controlproperties+xml"/>
  <Override PartName="/xl/ctrlProps/ctrlProp86.xml" ContentType="application/vnd.ms-excel.controlproperties+xml"/>
  <Override PartName="/xl/drawings/drawing7.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drawings/drawing8.xml" ContentType="application/vnd.openxmlformats-officedocument.drawing+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9.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10.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11.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drawings/drawing12.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13.xml" ContentType="application/vnd.openxmlformats-officedocument.drawing+xml"/>
  <Override PartName="/xl/embeddings/oleObject1.bin" ContentType="application/vnd.openxmlformats-officedocument.oleObject"/>
  <Override PartName="/xl/drawings/drawing14.xml" ContentType="application/vnd.openxmlformats-officedocument.drawing+xml"/>
  <Override PartName="/xl/drawings/drawing15.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drawings/drawing16.xml" ContentType="application/vnd.openxmlformats-officedocument.drawing+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embeddings/oleObject6.bin" ContentType="application/vnd.openxmlformats-officedocument.oleObject"/>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ctrlProps/ctrlProp200.xml" ContentType="application/vnd.ms-excel.controlproperties+xml"/>
  <Override PartName="/xl/ctrlProps/ctrlProp201.xml" ContentType="application/vnd.ms-excel.controlproperties+xml"/>
  <Override PartName="/xl/drawings/drawing49.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updateLinks="always" codeName="ThisWorkbook" defaultThemeVersion="124226"/>
  <mc:AlternateContent xmlns:mc="http://schemas.openxmlformats.org/markup-compatibility/2006">
    <mc:Choice Requires="x15">
      <x15ac:absPath xmlns:x15ac="http://schemas.microsoft.com/office/spreadsheetml/2010/11/ac" url="https://adspipe-my.sharepoint.com/personal/pete_otterness_infiltratorwater_com/Documents/Desktop/Design Suite/Proposed 2026/"/>
    </mc:Choice>
  </mc:AlternateContent>
  <xr:revisionPtr revIDLastSave="0" documentId="8_{3DF1981B-5CD7-4AB4-9DE5-B873B675A589}" xr6:coauthVersionLast="47" xr6:coauthVersionMax="47" xr10:uidLastSave="{00000000-0000-0000-0000-000000000000}"/>
  <bookViews>
    <workbookView xWindow="-120" yWindow="-120" windowWidth="29040" windowHeight="15720" tabRatio="853" firstSheet="1" activeTab="1" xr2:uid="{00000000-000D-0000-FFFF-FFFF00000000}"/>
  </bookViews>
  <sheets>
    <sheet name="Drop-Down Lists" sheetId="38" state="hidden" r:id="rId1"/>
    <sheet name="Instructions" sheetId="1" r:id="rId2"/>
    <sheet name="Prelim" sheetId="4" r:id="rId3"/>
    <sheet name="Field" sheetId="5" r:id="rId4"/>
    <sheet name="Soil Log Single Signature" sheetId="88" state="hidden" r:id="rId5"/>
    <sheet name="Soil Log (1)" sheetId="82" r:id="rId6"/>
    <sheet name="System Elevations Development" sheetId="103" state="hidden" r:id="rId7"/>
    <sheet name="Site Eval Map" sheetId="8" state="hidden" r:id="rId8"/>
    <sheet name="Soil Log (2)" sheetId="125" r:id="rId9"/>
    <sheet name="Soil Log (3)" sheetId="126" r:id="rId10"/>
    <sheet name="Soil Log (4)" sheetId="127" r:id="rId11"/>
    <sheet name="Soil Log (5)" sheetId="128" r:id="rId12"/>
    <sheet name="Soil Log (6)" sheetId="129" r:id="rId13"/>
    <sheet name="Soil Log (7)" sheetId="130" r:id="rId14"/>
    <sheet name="Soil Chart " sheetId="123" r:id="rId15"/>
    <sheet name="Perc. Test" sheetId="9" r:id="rId16"/>
    <sheet name="Sketch" sheetId="11" state="hidden" r:id="rId17"/>
    <sheet name="Site Sketch &amp; Elev" sheetId="67" r:id="rId18"/>
    <sheet name="Design Details &amp; Summary" sheetId="10" r:id="rId19"/>
    <sheet name="Trench" sheetId="12" r:id="rId20"/>
    <sheet name="Bed " sheetId="13" r:id="rId21"/>
    <sheet name="At-Grade" sheetId="17" r:id="rId22"/>
    <sheet name="Mound ≤ 1%" sheetId="14" r:id="rId23"/>
    <sheet name="Mound&gt;1%" sheetId="15" r:id="rId24"/>
    <sheet name="Mound Mat." sheetId="16" r:id="rId25"/>
    <sheet name="Drip 2023" sheetId="18" state="hidden" r:id="rId26"/>
    <sheet name="Pres. Dist. STA" sheetId="19" r:id="rId27"/>
    <sheet name="Non-Level  STA" sheetId="20" r:id="rId28"/>
    <sheet name="Pump-Basic STA" sheetId="21" r:id="rId29"/>
    <sheet name="Pump Tank STA Demand" sheetId="22" r:id="rId30"/>
    <sheet name="Pump Tank STA Time" sheetId="40" r:id="rId31"/>
    <sheet name="Tank Buoyancy" sheetId="32" r:id="rId32"/>
    <sheet name="Tank Buoyancy (2)" sheetId="114" r:id="rId33"/>
    <sheet name="Optional Tank details" sheetId="104" r:id="rId34"/>
    <sheet name="Organic Loading" sheetId="105" r:id="rId35"/>
    <sheet name="Drip 2025" sheetId="106" state="hidden" r:id="rId36"/>
    <sheet name="Drip 2026 " sheetId="124" state="hidden" r:id="rId37"/>
    <sheet name="Drip " sheetId="115" state="hidden" r:id="rId38"/>
    <sheet name="Pres. Dist. (Other)" sheetId="68" r:id="rId39"/>
    <sheet name="Pump-Basic (Other)" sheetId="23" r:id="rId40"/>
    <sheet name="Pump Tank (Other) Demand" sheetId="42" r:id="rId41"/>
    <sheet name="Pump-Tank(Other)Time" sheetId="62" r:id="rId42"/>
    <sheet name="Pump-Collection" sheetId="25" r:id="rId43"/>
    <sheet name="Flow EQ STA" sheetId="43" r:id="rId44"/>
    <sheet name="Flow EQ (Other" sheetId="69" r:id="rId45"/>
    <sheet name="Existing Dwellings" sheetId="27" r:id="rId46"/>
    <sheet name="OE-Measured Flow" sheetId="64" r:id="rId47"/>
    <sheet name="OE-Estimated Flow" sheetId="29" r:id="rId48"/>
    <sheet name="Final Flow Total" sheetId="30" r:id="rId49"/>
    <sheet name="Flow &amp; System Summary" sheetId="31" r:id="rId50"/>
    <sheet name="Sand Filter" sheetId="26" r:id="rId51"/>
    <sheet name="Waste Strengths" sheetId="34" r:id="rId52"/>
  </sheets>
  <externalReferences>
    <externalReference r:id="rId53"/>
  </externalReferences>
  <definedNames>
    <definedName name="_10___45_gpm" localSheetId="39">'Pump-Basic (Other)'!$N$6</definedName>
    <definedName name="_10___45_gpm">'Pump-Basic STA'!$N$6</definedName>
    <definedName name="_xlnm._FilterDatabase" localSheetId="18" hidden="1">'Design Details &amp; Summary'!$B$114:$U$120</definedName>
    <definedName name="_xlnm._FilterDatabase" localSheetId="5" hidden="1">'Soil Log (1)'!$A$1:$M$9</definedName>
    <definedName name="_xlnm._FilterDatabase" localSheetId="8" hidden="1">'Soil Log (2)'!$A$1:$M$9</definedName>
    <definedName name="_xlnm._FilterDatabase" localSheetId="9" hidden="1">'Soil Log (3)'!$A$1:$M$9</definedName>
    <definedName name="_xlnm._FilterDatabase" localSheetId="10" hidden="1">'Soil Log (4)'!$A$1:$M$9</definedName>
    <definedName name="_xlnm._FilterDatabase" localSheetId="11" hidden="1">'Soil Log (5)'!$A$1:$M$9</definedName>
    <definedName name="_xlnm._FilterDatabase" localSheetId="12" hidden="1">'Soil Log (6)'!$A$1:$M$9</definedName>
    <definedName name="_xlnm._FilterDatabase" localSheetId="13" hidden="1">'Soil Log (7)'!$A$1:$M$9</definedName>
    <definedName name="AtGrade">'[1]Drop-Down Lists'!$BE$2:$BE$27</definedName>
    <definedName name="AtGradeDown" localSheetId="37">#REF!</definedName>
    <definedName name="AtGradeDown" localSheetId="35">#REF!</definedName>
    <definedName name="AtGradeDown" localSheetId="36">#REF!</definedName>
    <definedName name="AtGradeDown" localSheetId="46">#REF!</definedName>
    <definedName name="AtGradeDown" localSheetId="33">#REF!</definedName>
    <definedName name="AtGradeDown" localSheetId="17">#REF!</definedName>
    <definedName name="AtGradeDown" localSheetId="14">#REF!</definedName>
    <definedName name="AtGradeDown" localSheetId="6">#REF!</definedName>
    <definedName name="AtGradeDown">'Drop-Down Lists'!$BE$2:$BE$27</definedName>
    <definedName name="AtGradeUp" localSheetId="37">#REF!</definedName>
    <definedName name="AtGradeUp" localSheetId="35">#REF!</definedName>
    <definedName name="AtGradeUp" localSheetId="36">#REF!</definedName>
    <definedName name="AtGradeUp" localSheetId="46">#REF!</definedName>
    <definedName name="AtGradeUp" localSheetId="33">#REF!</definedName>
    <definedName name="AtGradeUp" localSheetId="17">#REF!</definedName>
    <definedName name="AtGradeUp" localSheetId="14">#REF!</definedName>
    <definedName name="AtGradeUp" localSheetId="6">#REF!</definedName>
    <definedName name="AtGradeUp">'Drop-Down Lists'!$BD$2:$BD$27</definedName>
    <definedName name="Bedrooms" localSheetId="46">#REF!</definedName>
    <definedName name="Bedrooms" localSheetId="14">#REF!</definedName>
    <definedName name="Bedrooms">'Drop-Down Lists'!$BA$2:$BA$9</definedName>
    <definedName name="CLR" localSheetId="37">#REF!</definedName>
    <definedName name="CLR" localSheetId="35">#REF!</definedName>
    <definedName name="CLR" localSheetId="36">#REF!</definedName>
    <definedName name="CLR" localSheetId="46">#REF!</definedName>
    <definedName name="CLR" localSheetId="33">#REF!</definedName>
    <definedName name="CLR" localSheetId="17">#REF!</definedName>
    <definedName name="CLR" localSheetId="14">#REF!</definedName>
    <definedName name="CLR" localSheetId="6">#REF!</definedName>
    <definedName name="CLR">'Drop-Down Lists'!$BC$2:$BC$21</definedName>
    <definedName name="CoarseFragments" localSheetId="46">#REF!</definedName>
    <definedName name="CoarseFragments" localSheetId="17">#REF!</definedName>
    <definedName name="CoarseFragments" localSheetId="14">#REF!</definedName>
    <definedName name="CoarseFragments" localSheetId="6">#REF!</definedName>
    <definedName name="CoarseFragments">'Drop-Down Lists'!$F$2:$F$4</definedName>
    <definedName name="DepthAlarm" localSheetId="37">#REF!</definedName>
    <definedName name="DepthAlarm" localSheetId="35">#REF!</definedName>
    <definedName name="DepthAlarm" localSheetId="36">#REF!</definedName>
    <definedName name="DepthAlarm" localSheetId="46">#REF!</definedName>
    <definedName name="DepthAlarm" localSheetId="33">#REF!</definedName>
    <definedName name="DepthAlarm" localSheetId="17">#REF!</definedName>
    <definedName name="DepthAlarm" localSheetId="14">#REF!</definedName>
    <definedName name="DepthAlarm" localSheetId="6">#REF!</definedName>
    <definedName name="DepthAlarm">'Drop-Down Lists'!$AD$2:$AD$3</definedName>
    <definedName name="DepthPipe" localSheetId="36">'[1]Drop-Down Lists'!$AT$2:$AT$3</definedName>
    <definedName name="DepthPipe" localSheetId="14">'[1]Drop-Down Lists'!$AT$2:$AT$3</definedName>
    <definedName name="DepthPipe">'Drop-Down Lists'!$AT$2:$AT$3</definedName>
    <definedName name="DispersalMedia" localSheetId="37">#REF!</definedName>
    <definedName name="DispersalMedia" localSheetId="35">#REF!</definedName>
    <definedName name="DispersalMedia" localSheetId="36">#REF!</definedName>
    <definedName name="DispersalMedia" localSheetId="46">#REF!</definedName>
    <definedName name="DispersalMedia" localSheetId="33">#REF!</definedName>
    <definedName name="DispersalMedia" localSheetId="17">#REF!</definedName>
    <definedName name="DispersalMedia" localSheetId="14">#REF!</definedName>
    <definedName name="DispersalMedia" localSheetId="6">#REF!</definedName>
    <definedName name="DispersalMedia">'Drop-Down Lists'!$AQ$2:$AQ$3</definedName>
    <definedName name="DistHeadLoss" localSheetId="37">#REF!</definedName>
    <definedName name="DistHeadLoss" localSheetId="35">#REF!</definedName>
    <definedName name="DistHeadLoss" localSheetId="36">#REF!</definedName>
    <definedName name="DistHeadLoss" localSheetId="46">#REF!</definedName>
    <definedName name="DistHeadLoss" localSheetId="33">#REF!</definedName>
    <definedName name="DistHeadLoss" localSheetId="17">#REF!</definedName>
    <definedName name="DistHeadLoss" localSheetId="14">#REF!</definedName>
    <definedName name="DistHeadLoss" localSheetId="6">#REF!</definedName>
    <definedName name="DistHeadLoss">'Drop-Down Lists'!$AN$2:$AN$6</definedName>
    <definedName name="DistMedia" localSheetId="37">#REF!</definedName>
    <definedName name="DistMedia" localSheetId="35">#REF!</definedName>
    <definedName name="DistMedia" localSheetId="36">#REF!</definedName>
    <definedName name="DistMedia" localSheetId="46">#REF!</definedName>
    <definedName name="DistMedia" localSheetId="33">#REF!</definedName>
    <definedName name="DistMedia" localSheetId="17">#REF!</definedName>
    <definedName name="DistMedia" localSheetId="14">#REF!</definedName>
    <definedName name="DistMedia" localSheetId="6">#REF!</definedName>
    <definedName name="DistMedia">'Drop-Down Lists'!$AP$2:$AP$5</definedName>
    <definedName name="DistType" localSheetId="37">#REF!</definedName>
    <definedName name="DistType" localSheetId="35">#REF!</definedName>
    <definedName name="DistType" localSheetId="36">#REF!</definedName>
    <definedName name="DistType" localSheetId="46">#REF!</definedName>
    <definedName name="DistType" localSheetId="33">#REF!</definedName>
    <definedName name="DistType" localSheetId="17">#REF!</definedName>
    <definedName name="DistType" localSheetId="14">#REF!</definedName>
    <definedName name="DistType" localSheetId="6">#REF!</definedName>
    <definedName name="DistType">'Drop-Down Lists'!$AW$2:$AW$4</definedName>
    <definedName name="EfflScreen" localSheetId="37">#REF!</definedName>
    <definedName name="EfflScreen" localSheetId="35">#REF!</definedName>
    <definedName name="EfflScreen" localSheetId="36">#REF!</definedName>
    <definedName name="EfflScreen" localSheetId="33">#REF!</definedName>
    <definedName name="EfflScreen" localSheetId="34">#REF!</definedName>
    <definedName name="EfflScreen" localSheetId="17">#REF!</definedName>
    <definedName name="EfflScreen" localSheetId="5">#REF!</definedName>
    <definedName name="EfflScreen" localSheetId="8">#REF!</definedName>
    <definedName name="EfflScreen" localSheetId="9">#REF!</definedName>
    <definedName name="EfflScreen" localSheetId="10">#REF!</definedName>
    <definedName name="EfflScreen" localSheetId="11">#REF!</definedName>
    <definedName name="EfflScreen" localSheetId="12">#REF!</definedName>
    <definedName name="EfflScreen" localSheetId="13">#REF!</definedName>
    <definedName name="EfflScreen" localSheetId="4">#REF!</definedName>
    <definedName name="EfflScreen" localSheetId="6">#REF!</definedName>
    <definedName name="EfflScreen">#REF!</definedName>
    <definedName name="EffScreen" localSheetId="37">#REF!</definedName>
    <definedName name="EffScreen" localSheetId="35">#REF!</definedName>
    <definedName name="EffScreen" localSheetId="36">#REF!</definedName>
    <definedName name="EffScreen" localSheetId="46">#REF!</definedName>
    <definedName name="EffScreen" localSheetId="33">#REF!</definedName>
    <definedName name="EffScreen" localSheetId="17">#REF!</definedName>
    <definedName name="EffScreen" localSheetId="14">#REF!</definedName>
    <definedName name="EffScreen" localSheetId="6">#REF!</definedName>
    <definedName name="EffScreen">'Drop-Down Lists'!$AZ$2:$AZ$3</definedName>
    <definedName name="Elevation">#REF!</definedName>
    <definedName name="EndCenter">'Drop-Down Lists'!$BI$2:$BI$3</definedName>
    <definedName name="FlowClass" localSheetId="46">#REF!</definedName>
    <definedName name="FlowClass" localSheetId="14">#REF!</definedName>
    <definedName name="FlowClass">'Drop-Down Lists'!$BB$2:$BB$5</definedName>
    <definedName name="Gravity_Or_Pressure" localSheetId="37">#REF!</definedName>
    <definedName name="Gravity_Or_Pressure" localSheetId="35">#REF!</definedName>
    <definedName name="Gravity_Or_Pressure" localSheetId="36">#REF!</definedName>
    <definedName name="Gravity_Or_Pressure" localSheetId="46">#REF!</definedName>
    <definedName name="Gravity_Or_Pressure" localSheetId="33">#REF!</definedName>
    <definedName name="Gravity_Or_Pressure" localSheetId="17">#REF!</definedName>
    <definedName name="Gravity_Or_Pressure" localSheetId="14">#REF!</definedName>
    <definedName name="Gravity_Or_Pressure" localSheetId="6">#REF!</definedName>
    <definedName name="Gravity_Or_Pressure">'Drop-Down Lists'!$BN$41:$BN$42</definedName>
    <definedName name="Hue" localSheetId="37">#REF!</definedName>
    <definedName name="Hue" localSheetId="35">#REF!</definedName>
    <definedName name="Hue" localSheetId="36">#REF!</definedName>
    <definedName name="Hue" localSheetId="46">#REF!</definedName>
    <definedName name="Hue" localSheetId="33">#REF!</definedName>
    <definedName name="Hue" localSheetId="17">#REF!</definedName>
    <definedName name="Hue" localSheetId="14">#REF!</definedName>
    <definedName name="Hue" localSheetId="6">#REF!</definedName>
    <definedName name="Hue">'Drop-Down Lists'!$J$2:$J$11</definedName>
    <definedName name="LandscapePosition" localSheetId="37">#REF!</definedName>
    <definedName name="LandscapePosition" localSheetId="35">#REF!</definedName>
    <definedName name="LandscapePosition" localSheetId="36">#REF!</definedName>
    <definedName name="LandscapePosition" localSheetId="46">#REF!</definedName>
    <definedName name="LandscapePosition" localSheetId="33">#REF!</definedName>
    <definedName name="LandscapePosition" localSheetId="17">#REF!</definedName>
    <definedName name="LandscapePosition" localSheetId="14">#REF!</definedName>
    <definedName name="LandscapePosition" localSheetId="6">#REF!</definedName>
    <definedName name="LandscapePosition">'Drop-Down Lists'!$S$3:$S$10</definedName>
    <definedName name="Laterals">'Drop-Down Lists'!$BH$2:$BH$21</definedName>
    <definedName name="MediaDepth">'Drop-Down Lists'!$BG$2:$BG$4</definedName>
    <definedName name="MediaLoadRate" localSheetId="37">#REF!</definedName>
    <definedName name="MediaLoadRate" localSheetId="35">#REF!</definedName>
    <definedName name="MediaLoadRate" localSheetId="36">#REF!</definedName>
    <definedName name="MediaLoadRate" localSheetId="22">'Drop-Down Lists'!$AS$2:$AS$4</definedName>
    <definedName name="MediaLoadRate" localSheetId="46">#REF!</definedName>
    <definedName name="MediaLoadRate" localSheetId="33">#REF!</definedName>
    <definedName name="MediaLoadRate" localSheetId="17">#REF!</definedName>
    <definedName name="MediaLoadRate" localSheetId="14">#REF!</definedName>
    <definedName name="MediaLoadRate" localSheetId="6">#REF!</definedName>
    <definedName name="MediaLoadRate">'Drop-Down Lists'!$AS$2:$AS$4</definedName>
    <definedName name="MinHead" localSheetId="37">#REF!</definedName>
    <definedName name="MinHead" localSheetId="35">#REF!</definedName>
    <definedName name="MinHead" localSheetId="36">#REF!</definedName>
    <definedName name="MinHead" localSheetId="46">#REF!</definedName>
    <definedName name="MinHead" localSheetId="33">#REF!</definedName>
    <definedName name="MinHead" localSheetId="17">#REF!</definedName>
    <definedName name="MinHead" localSheetId="14">#REF!</definedName>
    <definedName name="MinHead" localSheetId="6">#REF!</definedName>
    <definedName name="MinHead">'Drop-Down Lists'!$AK$2:$AK$5</definedName>
    <definedName name="MoundAbsorptionRatio">'Drop-Down Lists'!$BF$2:$BF$15</definedName>
    <definedName name="MPCAType" localSheetId="37">#REF!</definedName>
    <definedName name="MPCAType" localSheetId="35">#REF!</definedName>
    <definedName name="MPCAType" localSheetId="36">#REF!</definedName>
    <definedName name="MPCAType" localSheetId="46">#REF!</definedName>
    <definedName name="MPCAType" localSheetId="33">#REF!</definedName>
    <definedName name="MPCAType" localSheetId="17">#REF!</definedName>
    <definedName name="MPCAType" localSheetId="14">#REF!</definedName>
    <definedName name="MPCAType" localSheetId="6">#REF!</definedName>
    <definedName name="MPCAType">'Drop-Down Lists'!$X$2:$X$6</definedName>
    <definedName name="Nutrients">'Drop-Down Lists'!$CE$2:$CE$4</definedName>
    <definedName name="ObservationType" localSheetId="37">#REF!</definedName>
    <definedName name="ObservationType" localSheetId="35">#REF!</definedName>
    <definedName name="ObservationType" localSheetId="36">#REF!</definedName>
    <definedName name="ObservationType" localSheetId="46">#REF!</definedName>
    <definedName name="ObservationType" localSheetId="33">#REF!</definedName>
    <definedName name="ObservationType" localSheetId="17">#REF!</definedName>
    <definedName name="ObservationType" localSheetId="14">#REF!</definedName>
    <definedName name="ObservationType" localSheetId="6">#REF!</definedName>
    <definedName name="ObservationType">'Drop-Down Lists'!$V$2:$V$4</definedName>
    <definedName name="OtherEstabType" localSheetId="37">#REF!</definedName>
    <definedName name="OtherEstabType" localSheetId="35">#REF!</definedName>
    <definedName name="OtherEstabType" localSheetId="36">#REF!</definedName>
    <definedName name="OtherEstabType" localSheetId="46">#REF!</definedName>
    <definedName name="OtherEstabType" localSheetId="33">#REF!</definedName>
    <definedName name="OtherEstabType" localSheetId="17">#REF!</definedName>
    <definedName name="OtherEstabType" localSheetId="14">#REF!</definedName>
    <definedName name="OtherEstabType" localSheetId="6">#REF!</definedName>
    <definedName name="OtherEstabType">'Drop-Down Lists'!$CH$2:$CH$46</definedName>
    <definedName name="OtherEstabUnit" localSheetId="37">#REF!</definedName>
    <definedName name="OtherEstabUnit" localSheetId="35">#REF!</definedName>
    <definedName name="OtherEstabUnit" localSheetId="36">#REF!</definedName>
    <definedName name="OtherEstabUnit" localSheetId="46">#REF!</definedName>
    <definedName name="OtherEstabUnit" localSheetId="33">#REF!</definedName>
    <definedName name="OtherEstabUnit" localSheetId="17">#REF!</definedName>
    <definedName name="OtherEstabUnit" localSheetId="14">'[1]Drop-Down Lists'!$CI$2:$CI$41</definedName>
    <definedName name="OtherEstabUnit" localSheetId="6">#REF!</definedName>
    <definedName name="OtherEstabUnit">'Drop-Down Lists'!$CI$2:$CI$41</definedName>
    <definedName name="PerfDia" localSheetId="37">#REF!</definedName>
    <definedName name="PerfDia" localSheetId="35">#REF!</definedName>
    <definedName name="PerfDia" localSheetId="36">#REF!</definedName>
    <definedName name="PerfDia" localSheetId="46">#REF!</definedName>
    <definedName name="PerfDia" localSheetId="33">#REF!</definedName>
    <definedName name="PerfDia" localSheetId="17">#REF!</definedName>
    <definedName name="PerfDia" localSheetId="14">#REF!</definedName>
    <definedName name="PerfDia" localSheetId="6">#REF!</definedName>
    <definedName name="PerfDia">'Drop-Down Lists'!$AJ$2:$AJ$5</definedName>
    <definedName name="PerfSpace" localSheetId="37">#REF!</definedName>
    <definedName name="PerfSpace" localSheetId="35">#REF!</definedName>
    <definedName name="PerfSpace" localSheetId="36">#REF!</definedName>
    <definedName name="PerfSpace" localSheetId="46">#REF!</definedName>
    <definedName name="PerfSpace" localSheetId="33">#REF!</definedName>
    <definedName name="PerfSpace" localSheetId="17">#REF!</definedName>
    <definedName name="PerfSpace" localSheetId="14">#REF!</definedName>
    <definedName name="PerfSpace" localSheetId="6">#REF!</definedName>
    <definedName name="PerfSpace">'Drop-Down Lists'!$AI$2:$AI$4</definedName>
    <definedName name="PipeDia" localSheetId="37">#REF!</definedName>
    <definedName name="PipeDia" localSheetId="35">#REF!</definedName>
    <definedName name="PipeDia" localSheetId="36">#REF!</definedName>
    <definedName name="PipeDia" localSheetId="46">#REF!</definedName>
    <definedName name="PipeDia" localSheetId="33">#REF!</definedName>
    <definedName name="PipeDia" localSheetId="17">#REF!</definedName>
    <definedName name="PipeDia" localSheetId="14">#REF!</definedName>
    <definedName name="PipeDia" localSheetId="6">#REF!</definedName>
    <definedName name="PipeDia">'Drop-Down Lists'!$AM$2:$AM$8</definedName>
    <definedName name="_xlnm.Print_Area" localSheetId="21">'At-Grade'!$A$1:$N$145</definedName>
    <definedName name="_xlnm.Print_Area" localSheetId="20">'Bed '!$A$1:$T$100</definedName>
    <definedName name="_xlnm.Print_Area" localSheetId="18">'Design Details &amp; Summary'!$A$1:$V$192</definedName>
    <definedName name="_xlnm.Print_Area" localSheetId="37">'Drip '!$A$1:$U$139</definedName>
    <definedName name="_xlnm.Print_Area" localSheetId="25">'Drip 2023'!$A$1:$U$304</definedName>
    <definedName name="_xlnm.Print_Area" localSheetId="35">'Drip 2025'!$A$1:$U$139</definedName>
    <definedName name="_xlnm.Print_Area" localSheetId="36">'Drip 2026 '!$A$1:$U$139</definedName>
    <definedName name="_xlnm.Print_Area" localSheetId="0">'Drop-Down Lists'!$G$1:$BI$47</definedName>
    <definedName name="_xlnm.Print_Area" localSheetId="45">'Existing Dwellings'!$A$1:$F$36</definedName>
    <definedName name="_xlnm.Print_Area" localSheetId="3">Field!$A$1:$V$58</definedName>
    <definedName name="_xlnm.Print_Area" localSheetId="48">'Final Flow Total'!$A$1:$G$11</definedName>
    <definedName name="_xlnm.Print_Area" localSheetId="49">'Flow &amp; System Summary'!$A$1:$O$116</definedName>
    <definedName name="_xlnm.Print_Area" localSheetId="44">'Flow EQ (Other'!$A$1:$G$41</definedName>
    <definedName name="_xlnm.Print_Area" localSheetId="43">'Flow EQ STA'!$A$1:$G$39</definedName>
    <definedName name="_xlnm.Print_Area" localSheetId="1">Instructions!$A$1:$V$45</definedName>
    <definedName name="_xlnm.Print_Area" localSheetId="22">'Mound ≤ 1%'!$A$1:$R$152</definedName>
    <definedName name="_xlnm.Print_Area" localSheetId="24">'Mound Mat.'!$A$1:$S$62</definedName>
    <definedName name="_xlnm.Print_Area" localSheetId="23">'Mound&gt;1%'!$A$1:$S$154</definedName>
    <definedName name="_xlnm.Print_Area" localSheetId="27">'Non-Level  STA'!$A$1:$T$196</definedName>
    <definedName name="_xlnm.Print_Area" localSheetId="47">'OE-Estimated Flow'!$A$1:$F$19</definedName>
    <definedName name="_xlnm.Print_Area" localSheetId="46">'OE-Measured Flow'!$A$1:$AD$45</definedName>
    <definedName name="_xlnm.Print_Area" localSheetId="33">'Optional Tank details'!$A$1:$X$64</definedName>
    <definedName name="_xlnm.Print_Area" localSheetId="34">'Organic Loading'!$A$1:$W$146</definedName>
    <definedName name="_xlnm.Print_Area" localSheetId="15">'Perc. Test'!$A$1:$Q$104</definedName>
    <definedName name="_xlnm.Print_Area" localSheetId="2">Prelim!$A$1:$V$114</definedName>
    <definedName name="_xlnm.Print_Area" localSheetId="38">'Pres. Dist. (Other)'!$A$1:$R$89</definedName>
    <definedName name="_xlnm.Print_Area" localSheetId="26">'Pres. Dist. STA'!$A$1:$R$106</definedName>
    <definedName name="_xlnm.Print_Area" localSheetId="40">'Pump Tank (Other) Demand'!$A$1:$T$58</definedName>
    <definedName name="_xlnm.Print_Area" localSheetId="29">'Pump Tank STA Demand'!$A$1:$T$59</definedName>
    <definedName name="_xlnm.Print_Area" localSheetId="30">'Pump Tank STA Time'!$A$1:$T$84</definedName>
    <definedName name="_xlnm.Print_Area" localSheetId="39">'Pump-Basic (Other)'!$A$1:$S$52</definedName>
    <definedName name="_xlnm.Print_Area" localSheetId="28">'Pump-Basic STA'!$A$1:$S$55</definedName>
    <definedName name="_xlnm.Print_Area" localSheetId="42">'Pump-Collection'!$A$1:$T$54</definedName>
    <definedName name="_xlnm.Print_Area" localSheetId="41">'Pump-Tank(Other)Time'!$A$1:$T$83</definedName>
    <definedName name="_xlnm.Print_Area" localSheetId="50">'Sand Filter'!$A$1:$I$135</definedName>
    <definedName name="_xlnm.Print_Area" localSheetId="7">'Site Eval Map'!$A$1:$X$46</definedName>
    <definedName name="_xlnm.Print_Area" localSheetId="17">'Site Sketch &amp; Elev'!$A$1:$Y$177</definedName>
    <definedName name="_xlnm.Print_Area" localSheetId="16">Sketch!$A$1:$X$77</definedName>
    <definedName name="_xlnm.Print_Area" localSheetId="14">'Soil Chart '!$A$1:$R$45</definedName>
    <definedName name="_xlnm.Print_Area" localSheetId="5">'Soil Log (1)'!$A$1:$M$31</definedName>
    <definedName name="_xlnm.Print_Area" localSheetId="8">'Soil Log (2)'!$A$1:$M$31</definedName>
    <definedName name="_xlnm.Print_Area" localSheetId="9">'Soil Log (3)'!$A$1:$M$31</definedName>
    <definedName name="_xlnm.Print_Area" localSheetId="10">'Soil Log (4)'!$A$1:$M$31</definedName>
    <definedName name="_xlnm.Print_Area" localSheetId="11">'Soil Log (5)'!$A$1:$M$31</definedName>
    <definedName name="_xlnm.Print_Area" localSheetId="12">'Soil Log (6)'!$A$1:$M$31</definedName>
    <definedName name="_xlnm.Print_Area" localSheetId="13">'Soil Log (7)'!$A$1:$M$31</definedName>
    <definedName name="_xlnm.Print_Area" localSheetId="4">'Soil Log Single Signature'!$A$1:$M$28</definedName>
    <definedName name="_xlnm.Print_Area" localSheetId="6">'System Elevations Development'!$A$1:$Y$136</definedName>
    <definedName name="_xlnm.Print_Area" localSheetId="31">'Tank Buoyancy'!$A$1:$T$67</definedName>
    <definedName name="_xlnm.Print_Area" localSheetId="32">'Tank Buoyancy (2)'!$A$1:$T$67</definedName>
    <definedName name="_xlnm.Print_Area" localSheetId="19">Trench!$A$1:$S$114</definedName>
    <definedName name="_xlnm.Print_Area" localSheetId="51">'Waste Strengths'!$A$1:$C$60</definedName>
    <definedName name="_xlnm.Print_Titles" localSheetId="49">'Flow &amp; System Summary'!$1:$1</definedName>
    <definedName name="_xlnm.Print_Titles" localSheetId="27">'Non-Level  STA'!$1:$1</definedName>
    <definedName name="_xlnm.Print_Titles" localSheetId="46">'OE-Measured Flow'!$1:$1</definedName>
    <definedName name="_xlnm.Print_Titles" localSheetId="38">'Pres. Dist. (Other)'!$1:$1</definedName>
    <definedName name="_xlnm.Print_Titles" localSheetId="26">'Pres. Dist. STA'!$1:$1</definedName>
    <definedName name="_xlnm.Print_Titles" localSheetId="29">'Pump Tank STA Demand'!$1:$1</definedName>
    <definedName name="_xlnm.Print_Titles" localSheetId="30">'Pump Tank STA Time'!$1:$1</definedName>
    <definedName name="_xlnm.Print_Titles" localSheetId="42">'Pump-Collection'!$1:$1</definedName>
    <definedName name="_xlnm.Print_Titles" localSheetId="41">'Pump-Tank(Other)Time'!$1:$1</definedName>
    <definedName name="_xlnm.Print_Titles" localSheetId="50">'Sand Filter'!$1:$1</definedName>
    <definedName name="_xlnm.Print_Titles" localSheetId="16">Sketch!$1:$2</definedName>
    <definedName name="_xlnm.Print_Titles" localSheetId="6">'System Elevations Development'!$1:$2</definedName>
    <definedName name="_xlnm.Print_Titles" localSheetId="51">'Waste Strengths'!$1:$3</definedName>
    <definedName name="PumpTankDesc">'Drop-Down Lists'!$CA$2:$CA$7</definedName>
    <definedName name="PumpTankType" localSheetId="37">#REF!</definedName>
    <definedName name="PumpTankType" localSheetId="35">#REF!</definedName>
    <definedName name="PumpTankType" localSheetId="36">#REF!</definedName>
    <definedName name="PumpTankType" localSheetId="46">#REF!</definedName>
    <definedName name="PumpTankType" localSheetId="33">#REF!</definedName>
    <definedName name="PumpTankType" localSheetId="17">#REF!</definedName>
    <definedName name="PumpTankType" localSheetId="14">#REF!</definedName>
    <definedName name="PumpTankType" localSheetId="6">#REF!</definedName>
    <definedName name="PumpTankType">'Drop-Down Lists'!$AX$2:$AX$3</definedName>
    <definedName name="PumpType">'Drop-Down Lists'!$AY$2:$AY$3</definedName>
    <definedName name="RedoxIndicators" localSheetId="46">#REF!</definedName>
    <definedName name="RedoxIndicators" localSheetId="14">#REF!</definedName>
    <definedName name="RedoxIndicators">'Drop-Down Lists'!$M$3:$M$34</definedName>
    <definedName name="RedoxKind" localSheetId="46">#REF!</definedName>
    <definedName name="RedoxKind">'Drop-Down Lists'!$I$14:$I$20</definedName>
    <definedName name="Reduction" localSheetId="37">#REF!</definedName>
    <definedName name="Reduction" localSheetId="35">#REF!</definedName>
    <definedName name="Reduction" localSheetId="36">#REF!</definedName>
    <definedName name="Reduction" localSheetId="46">#REF!</definedName>
    <definedName name="Reduction" localSheetId="33">#REF!</definedName>
    <definedName name="Reduction" localSheetId="17">#REF!</definedName>
    <definedName name="Reduction" localSheetId="14">#REF!</definedName>
    <definedName name="Reduction" localSheetId="6">#REF!</definedName>
    <definedName name="Reduction">'Drop-Down Lists'!$AU$2:$AU$3</definedName>
    <definedName name="RockFragments">'Drop-Down Lists'!$BF$43:$BF$47</definedName>
    <definedName name="Sandy_Soil_Options" localSheetId="37">#REF!</definedName>
    <definedName name="Sandy_Soil_Options" localSheetId="35">#REF!</definedName>
    <definedName name="Sandy_Soil_Options" localSheetId="36">#REF!</definedName>
    <definedName name="Sandy_Soil_Options" localSheetId="46">#REF!</definedName>
    <definedName name="Sandy_Soil_Options" localSheetId="33">#REF!</definedName>
    <definedName name="Sandy_Soil_Options" localSheetId="17">#REF!</definedName>
    <definedName name="Sandy_Soil_Options" localSheetId="14">#REF!</definedName>
    <definedName name="Sandy_Soil_Options" localSheetId="6">#REF!</definedName>
    <definedName name="Sandy_Soil_Options">'Drop-Down Lists'!$D$2:$D$3</definedName>
    <definedName name="SHLR" localSheetId="37">#REF!</definedName>
    <definedName name="SHLR" localSheetId="35">#REF!</definedName>
    <definedName name="SHLR" localSheetId="36">#REF!</definedName>
    <definedName name="SHLR" localSheetId="46">#REF!</definedName>
    <definedName name="SHLR" localSheetId="33">#REF!</definedName>
    <definedName name="SHLR" localSheetId="17">#REF!</definedName>
    <definedName name="SHLR" localSheetId="14">#REF!</definedName>
    <definedName name="SHLR" localSheetId="6">#REF!</definedName>
    <definedName name="SHLR">'Drop-Down Lists'!$Z$2:$Z$14</definedName>
    <definedName name="SizeMult">'Drop-Down Lists'!$AH$2:$AH$3</definedName>
    <definedName name="Slope" localSheetId="37">#REF!</definedName>
    <definedName name="Slope" localSheetId="35">#REF!</definedName>
    <definedName name="Slope" localSheetId="36">#REF!</definedName>
    <definedName name="Slope" localSheetId="46">#REF!</definedName>
    <definedName name="Slope" localSheetId="33">#REF!</definedName>
    <definedName name="Slope" localSheetId="17">#REF!</definedName>
    <definedName name="Slope" localSheetId="14">#REF!</definedName>
    <definedName name="Slope" localSheetId="6">#REF!</definedName>
    <definedName name="Slope">'Drop-Down Lists'!$W$2:$W$32</definedName>
    <definedName name="SlopeShape" localSheetId="37">#REF!</definedName>
    <definedName name="SlopeShape" localSheetId="35">#REF!</definedName>
    <definedName name="SlopeShape" localSheetId="36">#REF!</definedName>
    <definedName name="SlopeShape" localSheetId="46">#REF!</definedName>
    <definedName name="SlopeShape" localSheetId="33">#REF!</definedName>
    <definedName name="SlopeShape" localSheetId="17">#REF!</definedName>
    <definedName name="SlopeShape" localSheetId="14">#REF!</definedName>
    <definedName name="SlopeShape" localSheetId="6">#REF!</definedName>
    <definedName name="SlopeShape">'Drop-Down Lists'!$I$2:$I$10</definedName>
    <definedName name="SoilTexture7080" localSheetId="37">#REF!</definedName>
    <definedName name="SoilTexture7080" localSheetId="35">#REF!</definedName>
    <definedName name="SoilTexture7080" localSheetId="36">#REF!</definedName>
    <definedName name="SoilTexture7080" localSheetId="46">#REF!</definedName>
    <definedName name="SoilTexture7080" localSheetId="33">#REF!</definedName>
    <definedName name="SoilTexture7080" localSheetId="17">#REF!</definedName>
    <definedName name="SoilTexture7080" localSheetId="14">#REF!</definedName>
    <definedName name="SoilTexture7080" localSheetId="6">#REF!</definedName>
    <definedName name="SoilTexture7080">'Drop-Down Lists'!$G$2:$G$25</definedName>
    <definedName name="SoilTextureOSTP">'Drop-Down Lists'!$H$2:$H$24</definedName>
    <definedName name="solver_cvg" localSheetId="23" hidden="1">0.0001</definedName>
    <definedName name="solver_drv" localSheetId="23" hidden="1">1</definedName>
    <definedName name="solver_est" localSheetId="23" hidden="1">1</definedName>
    <definedName name="solver_itr" localSheetId="23" hidden="1">100</definedName>
    <definedName name="solver_lin" localSheetId="23" hidden="1">2</definedName>
    <definedName name="solver_neg" localSheetId="23" hidden="1">2</definedName>
    <definedName name="solver_num" localSheetId="23" hidden="1">0</definedName>
    <definedName name="solver_nwt" localSheetId="23" hidden="1">1</definedName>
    <definedName name="solver_opt" localSheetId="23" hidden="1">'Mound&gt;1%'!#REF!</definedName>
    <definedName name="solver_pre" localSheetId="23" hidden="1">0.000001</definedName>
    <definedName name="solver_scl" localSheetId="23" hidden="1">2</definedName>
    <definedName name="solver_sho" localSheetId="23" hidden="1">2</definedName>
    <definedName name="solver_tim" localSheetId="23" hidden="1">100</definedName>
    <definedName name="solver_tol" localSheetId="23" hidden="1">0.05</definedName>
    <definedName name="solver_typ" localSheetId="23" hidden="1">1</definedName>
    <definedName name="solver_val" localSheetId="23" hidden="1">10</definedName>
    <definedName name="STA" localSheetId="37">#REF!</definedName>
    <definedName name="STA" localSheetId="35">#REF!</definedName>
    <definedName name="STA" localSheetId="36">#REF!</definedName>
    <definedName name="STA" localSheetId="46">#REF!</definedName>
    <definedName name="STA" localSheetId="33">#REF!</definedName>
    <definedName name="STA" localSheetId="17">#REF!</definedName>
    <definedName name="STA" localSheetId="14">#REF!</definedName>
    <definedName name="STA" localSheetId="6">#REF!</definedName>
    <definedName name="STA">'Drop-Down Lists'!$BZ$2:$BZ$6</definedName>
    <definedName name="StructureConsistence" localSheetId="37">#REF!</definedName>
    <definedName name="StructureConsistence" localSheetId="35">#REF!</definedName>
    <definedName name="StructureConsistence" localSheetId="36">#REF!</definedName>
    <definedName name="StructureConsistence" localSheetId="46">#REF!</definedName>
    <definedName name="StructureConsistence" localSheetId="33">#REF!</definedName>
    <definedName name="StructureConsistence" localSheetId="17">#REF!</definedName>
    <definedName name="StructureConsistence" localSheetId="14">#REF!</definedName>
    <definedName name="StructureConsistence" localSheetId="6">#REF!</definedName>
    <definedName name="StructureConsistence">'Drop-Down Lists'!$Q$2:$Q$7</definedName>
    <definedName name="StructureGrade" localSheetId="37">#REF!</definedName>
    <definedName name="StructureGrade" localSheetId="35">#REF!</definedName>
    <definedName name="StructureGrade" localSheetId="36">#REF!</definedName>
    <definedName name="StructureGrade" localSheetId="46">#REF!</definedName>
    <definedName name="StructureGrade" localSheetId="33">#REF!</definedName>
    <definedName name="StructureGrade" localSheetId="17">#REF!</definedName>
    <definedName name="StructureGrade" localSheetId="14">#REF!</definedName>
    <definedName name="StructureGrade" localSheetId="6">#REF!</definedName>
    <definedName name="StructureGrade">'Drop-Down Lists'!$P$2:$P$5</definedName>
    <definedName name="StructureShape" localSheetId="37">#REF!</definedName>
    <definedName name="StructureShape" localSheetId="35">#REF!</definedName>
    <definedName name="StructureShape" localSheetId="36">#REF!</definedName>
    <definedName name="StructureShape" localSheetId="46">#REF!</definedName>
    <definedName name="StructureShape" localSheetId="33">#REF!</definedName>
    <definedName name="StructureShape" localSheetId="17">#REF!</definedName>
    <definedName name="StructureShape" localSheetId="14">#REF!</definedName>
    <definedName name="StructureShape" localSheetId="6">#REF!</definedName>
    <definedName name="StructureShape">'Drop-Down Lists'!$O$2:$O$7</definedName>
    <definedName name="TankSize">'Drop-Down Lists'!$AC$2:$AC$9</definedName>
    <definedName name="TreatmentLevel" localSheetId="37">#REF!</definedName>
    <definedName name="TreatmentLevel" localSheetId="35">#REF!</definedName>
    <definedName name="TreatmentLevel" localSheetId="36">#REF!</definedName>
    <definedName name="TreatmentLevel" localSheetId="46">#REF!</definedName>
    <definedName name="TreatmentLevel" localSheetId="33">#REF!</definedName>
    <definedName name="TreatmentLevel" localSheetId="17">#REF!</definedName>
    <definedName name="TreatmentLevel" localSheetId="14">#REF!</definedName>
    <definedName name="TreatmentLevel" localSheetId="6">#REF!</definedName>
    <definedName name="TreatmentLevel">'Drop-Down Lists'!$CD$2:$CD$6</definedName>
    <definedName name="TypeOfWastewater" localSheetId="46">#REF!</definedName>
    <definedName name="TypeOfWastewater">'Drop-Down Lists'!$BL$41:$BL$43</definedName>
    <definedName name="ValueChroma" localSheetId="37">#REF!</definedName>
    <definedName name="ValueChroma" localSheetId="35">#REF!</definedName>
    <definedName name="ValueChroma" localSheetId="36">#REF!</definedName>
    <definedName name="ValueChroma" localSheetId="46">#REF!</definedName>
    <definedName name="ValueChroma" localSheetId="33">#REF!</definedName>
    <definedName name="ValueChroma" localSheetId="17">#REF!</definedName>
    <definedName name="ValueChroma" localSheetId="14">#REF!</definedName>
    <definedName name="ValueChroma" localSheetId="6">#REF!</definedName>
    <definedName name="ValueChroma">'Drop-Down Lists'!$K$2:$K$42</definedName>
    <definedName name="VolumePipe">'Drop-Down Lists'!$AL$2:$AL$7</definedName>
    <definedName name="YN" localSheetId="37">#REF!</definedName>
    <definedName name="YN" localSheetId="35">#REF!</definedName>
    <definedName name="YN" localSheetId="36">#REF!</definedName>
    <definedName name="YN" localSheetId="46">#REF!</definedName>
    <definedName name="YN" localSheetId="33">#REF!</definedName>
    <definedName name="YN" localSheetId="17">#REF!</definedName>
    <definedName name="YN" localSheetId="14">#REF!</definedName>
    <definedName name="YN" localSheetId="6">#REF!</definedName>
    <definedName name="YN">'Drop-Down Lists'!$B$2:$B$3</definedName>
    <definedName name="YNOptional">'Drop-Down Lists'!$C$2:$C$4</definedName>
    <definedName name="Z_3320ADAB_1745_4CE0_B739_BF2E8269138B_.wvu.PrintArea" localSheetId="21" hidden="1">'At-Grade'!$A$1:$Y$109</definedName>
    <definedName name="Z_3320ADAB_1745_4CE0_B739_BF2E8269138B_.wvu.PrintArea" localSheetId="20" hidden="1">'Bed '!$A$1:$T$47</definedName>
    <definedName name="Z_3320ADAB_1745_4CE0_B739_BF2E8269138B_.wvu.PrintArea" localSheetId="18" hidden="1">'Design Details &amp; Summary'!$B$2:$U$194</definedName>
    <definedName name="Z_3320ADAB_1745_4CE0_B739_BF2E8269138B_.wvu.PrintArea" localSheetId="23" hidden="1">'Mound&gt;1%'!$A$1:$AB$154</definedName>
    <definedName name="Z_3320ADAB_1745_4CE0_B739_BF2E8269138B_.wvu.PrintArea" localSheetId="27" hidden="1">'Non-Level  STA'!$A$1:$T$189</definedName>
    <definedName name="Z_3320ADAB_1745_4CE0_B739_BF2E8269138B_.wvu.PrintArea" localSheetId="38" hidden="1">'Pres. Dist. (Other)'!$A$1:$R$82</definedName>
    <definedName name="Z_3320ADAB_1745_4CE0_B739_BF2E8269138B_.wvu.PrintArea" localSheetId="26" hidden="1">'Pres. Dist. STA'!$A$1:$R$98</definedName>
    <definedName name="Z_3320ADAB_1745_4CE0_B739_BF2E8269138B_.wvu.PrintArea" localSheetId="29" hidden="1">'Pump Tank STA Demand'!$A$1:$T$56</definedName>
    <definedName name="Z_3320ADAB_1745_4CE0_B739_BF2E8269138B_.wvu.PrintArea" localSheetId="42" hidden="1">'Pump-Collection'!$A$1:$T$54</definedName>
    <definedName name="Z_3320ADAB_1745_4CE0_B739_BF2E8269138B_.wvu.PrintArea" localSheetId="19" hidden="1">Trench!$A$1:$S$87</definedName>
    <definedName name="Z_D1431318_1DB8_4C45_813B_5A8065DFC797_.wvu.PrintArea" localSheetId="21" hidden="1">'At-Grade'!$A$1:$N$145</definedName>
    <definedName name="Z_D1431318_1DB8_4C45_813B_5A8065DFC797_.wvu.PrintArea" localSheetId="20" hidden="1">'Bed '!$A$1:$T$98</definedName>
    <definedName name="Z_D1431318_1DB8_4C45_813B_5A8065DFC797_.wvu.PrintArea" localSheetId="18" hidden="1">'Design Details &amp; Summary'!$B$2:$U$194</definedName>
    <definedName name="Z_D1431318_1DB8_4C45_813B_5A8065DFC797_.wvu.PrintArea" localSheetId="37" hidden="1">'Drip '!$A$1:$U$311</definedName>
    <definedName name="Z_D1431318_1DB8_4C45_813B_5A8065DFC797_.wvu.PrintArea" localSheetId="25" hidden="1">'Drip 2023'!$A$1:$U$304</definedName>
    <definedName name="Z_D1431318_1DB8_4C45_813B_5A8065DFC797_.wvu.PrintArea" localSheetId="35" hidden="1">'Drip 2025'!$A$1:$U$311</definedName>
    <definedName name="Z_D1431318_1DB8_4C45_813B_5A8065DFC797_.wvu.PrintArea" localSheetId="36" hidden="1">'Drip 2026 '!$A$1:$U$311</definedName>
    <definedName name="Z_D1431318_1DB8_4C45_813B_5A8065DFC797_.wvu.PrintArea" localSheetId="0" hidden="1">'Drop-Down Lists'!$G$1:$BI$47</definedName>
    <definedName name="Z_D1431318_1DB8_4C45_813B_5A8065DFC797_.wvu.PrintArea" localSheetId="45" hidden="1">'Existing Dwellings'!$A$1:$F$36</definedName>
    <definedName name="Z_D1431318_1DB8_4C45_813B_5A8065DFC797_.wvu.PrintArea" localSheetId="3" hidden="1">Field!$B$1:$L$57</definedName>
    <definedName name="Z_D1431318_1DB8_4C45_813B_5A8065DFC797_.wvu.PrintArea" localSheetId="48" hidden="1">'Final Flow Total'!$A$1:$G$11</definedName>
    <definedName name="Z_D1431318_1DB8_4C45_813B_5A8065DFC797_.wvu.PrintArea" localSheetId="49" hidden="1">'Flow &amp; System Summary'!$A$1:$O$116</definedName>
    <definedName name="Z_D1431318_1DB8_4C45_813B_5A8065DFC797_.wvu.PrintArea" localSheetId="22" hidden="1">'Mound ≤ 1%'!$A$1:$R$152</definedName>
    <definedName name="Z_D1431318_1DB8_4C45_813B_5A8065DFC797_.wvu.PrintArea" localSheetId="24" hidden="1">'Mound Mat.'!$A$1:$S$62</definedName>
    <definedName name="Z_D1431318_1DB8_4C45_813B_5A8065DFC797_.wvu.PrintArea" localSheetId="23" hidden="1">'Mound&gt;1%'!$A$1:$S$154</definedName>
    <definedName name="Z_D1431318_1DB8_4C45_813B_5A8065DFC797_.wvu.PrintArea" localSheetId="27" hidden="1">'Non-Level  STA'!$A$1:$T$196</definedName>
    <definedName name="Z_D1431318_1DB8_4C45_813B_5A8065DFC797_.wvu.PrintArea" localSheetId="47" hidden="1">'OE-Estimated Flow'!$A$1:$F$19</definedName>
    <definedName name="Z_D1431318_1DB8_4C45_813B_5A8065DFC797_.wvu.PrintArea" localSheetId="46" hidden="1">'OE-Measured Flow'!$A$1:$N$45</definedName>
    <definedName name="Z_D1431318_1DB8_4C45_813B_5A8065DFC797_.wvu.PrintArea" localSheetId="15" hidden="1">'Perc. Test'!$A$1:$Q$61</definedName>
    <definedName name="Z_D1431318_1DB8_4C45_813B_5A8065DFC797_.wvu.PrintArea" localSheetId="2" hidden="1">Prelim!$B$1:$P$109</definedName>
    <definedName name="Z_D1431318_1DB8_4C45_813B_5A8065DFC797_.wvu.PrintArea" localSheetId="38" hidden="1">'Pres. Dist. (Other)'!$A$1:$R$89</definedName>
    <definedName name="Z_D1431318_1DB8_4C45_813B_5A8065DFC797_.wvu.PrintArea" localSheetId="26" hidden="1">'Pres. Dist. STA'!$A$1:$R$108</definedName>
    <definedName name="Z_D1431318_1DB8_4C45_813B_5A8065DFC797_.wvu.PrintArea" localSheetId="29" hidden="1">'Pump Tank STA Demand'!$A$1:$T$56</definedName>
    <definedName name="Z_D1431318_1DB8_4C45_813B_5A8065DFC797_.wvu.PrintArea" localSheetId="39" hidden="1">'Pump-Basic (Other)'!$A$1:$S$52</definedName>
    <definedName name="Z_D1431318_1DB8_4C45_813B_5A8065DFC797_.wvu.PrintArea" localSheetId="28" hidden="1">'Pump-Basic STA'!$A$1:$S$54</definedName>
    <definedName name="Z_D1431318_1DB8_4C45_813B_5A8065DFC797_.wvu.PrintArea" localSheetId="42" hidden="1">'Pump-Collection'!$A$1:$T$54</definedName>
    <definedName name="Z_D1431318_1DB8_4C45_813B_5A8065DFC797_.wvu.PrintArea" localSheetId="50" hidden="1">'Sand Filter'!$A$1:$I$135</definedName>
    <definedName name="Z_D1431318_1DB8_4C45_813B_5A8065DFC797_.wvu.PrintArea" localSheetId="7" hidden="1">'Site Eval Map'!$A$1:$AJ$48</definedName>
    <definedName name="Z_D1431318_1DB8_4C45_813B_5A8065DFC797_.wvu.PrintArea" localSheetId="17" hidden="1">'Site Sketch &amp; Elev'!$A$1:$AJ$56</definedName>
    <definedName name="Z_D1431318_1DB8_4C45_813B_5A8065DFC797_.wvu.PrintArea" localSheetId="16" hidden="1">Sketch!$A$1:$AJ$55</definedName>
    <definedName name="Z_D1431318_1DB8_4C45_813B_5A8065DFC797_.wvu.PrintArea" localSheetId="14" hidden="1">'Soil Chart '!$A$1:$Q$40</definedName>
    <definedName name="Z_D1431318_1DB8_4C45_813B_5A8065DFC797_.wvu.PrintArea" localSheetId="6" hidden="1">'System Elevations Development'!$B$1:$AK$87</definedName>
    <definedName name="Z_D1431318_1DB8_4C45_813B_5A8065DFC797_.wvu.PrintArea" localSheetId="31" hidden="1">'Tank Buoyancy'!$A$1:$T$67</definedName>
    <definedName name="Z_D1431318_1DB8_4C45_813B_5A8065DFC797_.wvu.PrintArea" localSheetId="32" hidden="1">'Tank Buoyancy (2)'!$A$1:$T$67</definedName>
    <definedName name="Z_D1431318_1DB8_4C45_813B_5A8065DFC797_.wvu.PrintArea" localSheetId="19" hidden="1">Trench!$A$1:$S$114</definedName>
    <definedName name="Z_D1431318_1DB8_4C45_813B_5A8065DFC797_.wvu.PrintArea" localSheetId="51" hidden="1">'Waste Strengths'!$A$1:$C$53</definedName>
    <definedName name="Z_D1431318_1DB8_4C45_813B_5A8065DFC797_.wvu.PrintTitles" localSheetId="18" hidden="1">'Design Details &amp; Summary'!#REF!</definedName>
    <definedName name="Z_D1431318_1DB8_4C45_813B_5A8065DFC797_.wvu.PrintTitles" localSheetId="49" hidden="1">'Flow &amp; System Summary'!$1:$1</definedName>
    <definedName name="Z_D1431318_1DB8_4C45_813B_5A8065DFC797_.wvu.PrintTitles" localSheetId="27" hidden="1">'Non-Level  STA'!$1:$1</definedName>
    <definedName name="Z_D1431318_1DB8_4C45_813B_5A8065DFC797_.wvu.PrintTitles" localSheetId="2" hidden="1">Prelim!#REF!</definedName>
    <definedName name="Z_D1431318_1DB8_4C45_813B_5A8065DFC797_.wvu.PrintTitles" localSheetId="38" hidden="1">'Pres. Dist. (Other)'!$1:$1</definedName>
    <definedName name="Z_D1431318_1DB8_4C45_813B_5A8065DFC797_.wvu.PrintTitles" localSheetId="26" hidden="1">'Pres. Dist. STA'!$1:$1</definedName>
    <definedName name="Z_D1431318_1DB8_4C45_813B_5A8065DFC797_.wvu.PrintTitles" localSheetId="29" hidden="1">'Pump Tank STA Demand'!$1:$1</definedName>
    <definedName name="Z_D1431318_1DB8_4C45_813B_5A8065DFC797_.wvu.PrintTitles" localSheetId="42" hidden="1">'Pump-Collection'!$1:$1</definedName>
    <definedName name="Z_D1431318_1DB8_4C45_813B_5A8065DFC797_.wvu.PrintTitles" localSheetId="50" hidden="1">'Sand Filter'!$1:$1</definedName>
    <definedName name="Z_D1431318_1DB8_4C45_813B_5A8065DFC797_.wvu.PrintTitles" localSheetId="51" hidden="1">'Waste Strengths'!$1:$3</definedName>
    <definedName name="Z_D1431318_1DB8_4C45_813B_5A8065DFC797_.wvu.Rows" localSheetId="49" hidden="1">'Flow &amp; System Summary'!$95:$95</definedName>
  </definedNames>
  <calcPr calcId="191028"/>
  <customWorkbookViews>
    <customWorkbookView name="User - Personal View" guid="{3320ADAB-1745-4CE0-B739-BF2E8269138B}" mergeInterval="0" personalView="1" maximized="1" windowWidth="1676" windowHeight="838" tabRatio="853" activeSheetId="1"/>
    <customWorkbookView name="CWLECLA - Personal View" guid="{D1431318-1DB8-4C45-813B-5A8065DFC797}" mergeInterval="0" personalView="1" maximized="1" windowWidth="1600" windowHeight="977" tabRatio="894" activeSheetId="1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30" l="1"/>
  <c r="J2" i="130"/>
  <c r="B2" i="130"/>
  <c r="L1" i="130"/>
  <c r="J1" i="130"/>
  <c r="H5" i="129"/>
  <c r="J2" i="129"/>
  <c r="B2" i="129"/>
  <c r="L1" i="129"/>
  <c r="J1" i="129"/>
  <c r="H5" i="128"/>
  <c r="J2" i="128"/>
  <c r="B2" i="128"/>
  <c r="L1" i="128"/>
  <c r="J1" i="128"/>
  <c r="H5" i="127"/>
  <c r="J2" i="127"/>
  <c r="B2" i="127"/>
  <c r="L1" i="127"/>
  <c r="J1" i="127"/>
  <c r="H5" i="126"/>
  <c r="J2" i="126"/>
  <c r="B2" i="126"/>
  <c r="L1" i="126"/>
  <c r="J1" i="126"/>
  <c r="H5" i="125"/>
  <c r="J2" i="125"/>
  <c r="B2" i="125"/>
  <c r="L1" i="125"/>
  <c r="J1" i="125"/>
  <c r="S117" i="10"/>
  <c r="H114" i="124"/>
  <c r="U2" i="124"/>
  <c r="F49" i="124"/>
  <c r="F16" i="124"/>
  <c r="E30" i="124" s="1"/>
  <c r="G14" i="124"/>
  <c r="N26" i="124" s="1"/>
  <c r="F8" i="124"/>
  <c r="K300" i="124"/>
  <c r="B300" i="124"/>
  <c r="Q296" i="124"/>
  <c r="H294" i="124"/>
  <c r="K296" i="124" s="1"/>
  <c r="S290" i="124"/>
  <c r="E294" i="124" s="1"/>
  <c r="P290" i="124"/>
  <c r="M290" i="124"/>
  <c r="O288" i="124"/>
  <c r="P286" i="124"/>
  <c r="I288" i="124" s="1"/>
  <c r="L284" i="124"/>
  <c r="E300" i="124" s="1"/>
  <c r="H284" i="124"/>
  <c r="E284" i="124"/>
  <c r="B284" i="124"/>
  <c r="R280" i="124"/>
  <c r="L288" i="124" s="1"/>
  <c r="L280" i="124"/>
  <c r="S276" i="124"/>
  <c r="K276" i="124"/>
  <c r="B276" i="124"/>
  <c r="M272" i="124"/>
  <c r="S268" i="124"/>
  <c r="F272" i="124" s="1"/>
  <c r="L266" i="124"/>
  <c r="O280" i="124" s="1"/>
  <c r="S262" i="124"/>
  <c r="C266" i="124" s="1"/>
  <c r="M262" i="124"/>
  <c r="P260" i="124"/>
  <c r="M260" i="124"/>
  <c r="S260" i="124" s="1"/>
  <c r="S258" i="124"/>
  <c r="M258" i="124"/>
  <c r="S254" i="124"/>
  <c r="M254" i="124"/>
  <c r="K246" i="124"/>
  <c r="B246" i="124"/>
  <c r="Q242" i="124"/>
  <c r="H240" i="124"/>
  <c r="K242" i="124" s="1"/>
  <c r="E240" i="124"/>
  <c r="B240" i="124"/>
  <c r="S236" i="124"/>
  <c r="P236" i="124"/>
  <c r="O234" i="124"/>
  <c r="P232" i="124"/>
  <c r="I234" i="124" s="1"/>
  <c r="L230" i="124"/>
  <c r="E246" i="124" s="1"/>
  <c r="H230" i="124"/>
  <c r="E230" i="124"/>
  <c r="B230" i="124"/>
  <c r="R226" i="124"/>
  <c r="H246" i="124" s="1"/>
  <c r="O226" i="124"/>
  <c r="L226" i="124"/>
  <c r="S222" i="124"/>
  <c r="K222" i="124"/>
  <c r="B222" i="124"/>
  <c r="M218" i="124"/>
  <c r="S214" i="124"/>
  <c r="F218" i="124" s="1"/>
  <c r="L212" i="124"/>
  <c r="S208" i="124"/>
  <c r="C212" i="124" s="1"/>
  <c r="M208" i="124"/>
  <c r="M204" i="124"/>
  <c r="S204" i="124" s="1"/>
  <c r="P206" i="124" s="1"/>
  <c r="M200" i="124"/>
  <c r="S200" i="124" s="1"/>
  <c r="M206" i="124" s="1"/>
  <c r="K192" i="124"/>
  <c r="B192" i="124"/>
  <c r="O188" i="124"/>
  <c r="L188" i="124"/>
  <c r="H186" i="124"/>
  <c r="I188" i="124" s="1"/>
  <c r="P182" i="124"/>
  <c r="E186" i="124" s="1"/>
  <c r="N182" i="124"/>
  <c r="K182" i="124"/>
  <c r="O180" i="124"/>
  <c r="L180" i="124"/>
  <c r="O178" i="124"/>
  <c r="I180" i="124" s="1"/>
  <c r="L176" i="124"/>
  <c r="E192" i="124" s="1"/>
  <c r="H176" i="124"/>
  <c r="E176" i="124"/>
  <c r="B176" i="124"/>
  <c r="R172" i="124"/>
  <c r="H192" i="124" s="1"/>
  <c r="L172" i="124"/>
  <c r="S168" i="124"/>
  <c r="K168" i="124"/>
  <c r="B168" i="124"/>
  <c r="M164" i="124"/>
  <c r="S160" i="124"/>
  <c r="F164" i="124" s="1"/>
  <c r="L158" i="124"/>
  <c r="B186" i="124" s="1"/>
  <c r="S154" i="124"/>
  <c r="C158" i="124" s="1"/>
  <c r="M154" i="124"/>
  <c r="M150" i="124"/>
  <c r="S150" i="124" s="1"/>
  <c r="P152" i="124" s="1"/>
  <c r="M146" i="124"/>
  <c r="S146" i="124" s="1"/>
  <c r="M152" i="124" s="1"/>
  <c r="S152" i="124" s="1"/>
  <c r="K138" i="124"/>
  <c r="B138" i="124"/>
  <c r="Q134" i="124"/>
  <c r="H132" i="124"/>
  <c r="K134" i="124" s="1"/>
  <c r="B132" i="124"/>
  <c r="S128" i="124"/>
  <c r="E132" i="124" s="1"/>
  <c r="Q128" i="124"/>
  <c r="M128" i="124"/>
  <c r="O126" i="124"/>
  <c r="L126" i="124"/>
  <c r="I126" i="124"/>
  <c r="P124" i="124"/>
  <c r="L122" i="124"/>
  <c r="E138" i="124" s="1"/>
  <c r="H122" i="124"/>
  <c r="E122" i="124"/>
  <c r="B122" i="124"/>
  <c r="R118" i="124"/>
  <c r="N134" i="124" s="1"/>
  <c r="O118" i="124"/>
  <c r="L118" i="124"/>
  <c r="S114" i="124"/>
  <c r="K114" i="124"/>
  <c r="B114" i="124"/>
  <c r="M110" i="124"/>
  <c r="S106" i="124"/>
  <c r="F110" i="124" s="1"/>
  <c r="L104" i="124"/>
  <c r="S100" i="124"/>
  <c r="C104" i="124" s="1"/>
  <c r="P100" i="124"/>
  <c r="M100" i="124"/>
  <c r="M106" i="124" s="1"/>
  <c r="S98" i="124"/>
  <c r="J110" i="124" s="1"/>
  <c r="M98" i="124"/>
  <c r="S96" i="124"/>
  <c r="P98" i="124" s="1"/>
  <c r="M96" i="124"/>
  <c r="S92" i="124"/>
  <c r="M92" i="124"/>
  <c r="Q54" i="124"/>
  <c r="M236" i="124" s="1"/>
  <c r="N54" i="124"/>
  <c r="I52" i="124"/>
  <c r="F52" i="124"/>
  <c r="M49" i="124"/>
  <c r="C52" i="124" s="1"/>
  <c r="J49" i="124"/>
  <c r="C49" i="124"/>
  <c r="H41" i="124"/>
  <c r="E41" i="124"/>
  <c r="R35" i="124"/>
  <c r="B41" i="124" s="1"/>
  <c r="O35" i="124"/>
  <c r="I30" i="124"/>
  <c r="B30" i="124"/>
  <c r="R26" i="124"/>
  <c r="L35" i="124" s="1"/>
  <c r="K26" i="124"/>
  <c r="P44" i="123"/>
  <c r="H138" i="124" l="1"/>
  <c r="B294" i="124"/>
  <c r="P276" i="124"/>
  <c r="J272" i="124"/>
  <c r="M160" i="124"/>
  <c r="H168" i="124"/>
  <c r="P168" i="124"/>
  <c r="J164" i="124"/>
  <c r="S206" i="124"/>
  <c r="N242" i="124"/>
  <c r="N296" i="124"/>
  <c r="P114" i="124"/>
  <c r="M232" i="124"/>
  <c r="L234" i="124"/>
  <c r="O172" i="124"/>
  <c r="M286" i="124"/>
  <c r="L178" i="124"/>
  <c r="M124" i="124"/>
  <c r="H300" i="124"/>
  <c r="J218" i="124" l="1"/>
  <c r="P222" i="124"/>
  <c r="M214" i="124"/>
  <c r="H222" i="124"/>
  <c r="H276" i="124" l="1"/>
  <c r="M268" i="124"/>
  <c r="U2" i="115" l="1"/>
  <c r="U3" i="104"/>
  <c r="S2" i="105"/>
  <c r="K300" i="115"/>
  <c r="B300" i="115"/>
  <c r="Q296" i="115"/>
  <c r="H294" i="115"/>
  <c r="K296" i="115" s="1"/>
  <c r="E294" i="115"/>
  <c r="S290" i="115"/>
  <c r="P290" i="115"/>
  <c r="O288" i="115"/>
  <c r="L288" i="115"/>
  <c r="I288" i="115"/>
  <c r="P286" i="115"/>
  <c r="L284" i="115"/>
  <c r="M286" i="115" s="1"/>
  <c r="H284" i="115"/>
  <c r="E284" i="115"/>
  <c r="B284" i="115"/>
  <c r="R280" i="115"/>
  <c r="H300" i="115" s="1"/>
  <c r="O280" i="115"/>
  <c r="L280" i="115"/>
  <c r="S276" i="115"/>
  <c r="K276" i="115"/>
  <c r="B276" i="115"/>
  <c r="M272" i="115"/>
  <c r="F272" i="115"/>
  <c r="S268" i="115"/>
  <c r="L266" i="115"/>
  <c r="B294" i="115" s="1"/>
  <c r="C266" i="115"/>
  <c r="S262" i="115"/>
  <c r="M262" i="115"/>
  <c r="M258" i="115"/>
  <c r="S258" i="115" s="1"/>
  <c r="P260" i="115" s="1"/>
  <c r="S254" i="115"/>
  <c r="M260" i="115" s="1"/>
  <c r="M254" i="115"/>
  <c r="K246" i="115"/>
  <c r="H246" i="115"/>
  <c r="B246" i="115"/>
  <c r="Q242" i="115"/>
  <c r="N242" i="115"/>
  <c r="K242" i="115"/>
  <c r="H240" i="115"/>
  <c r="E240" i="115"/>
  <c r="B240" i="115"/>
  <c r="S236" i="115"/>
  <c r="P236" i="115"/>
  <c r="O234" i="115"/>
  <c r="P232" i="115"/>
  <c r="I234" i="115" s="1"/>
  <c r="M232" i="115"/>
  <c r="L230" i="115"/>
  <c r="E246" i="115" s="1"/>
  <c r="H230" i="115"/>
  <c r="E230" i="115"/>
  <c r="B230" i="115"/>
  <c r="R226" i="115"/>
  <c r="L234" i="115" s="1"/>
  <c r="L226" i="115"/>
  <c r="S222" i="115"/>
  <c r="K222" i="115"/>
  <c r="B222" i="115"/>
  <c r="M218" i="115"/>
  <c r="S214" i="115"/>
  <c r="F218" i="115" s="1"/>
  <c r="L212" i="115"/>
  <c r="O226" i="115" s="1"/>
  <c r="S208" i="115"/>
  <c r="C212" i="115" s="1"/>
  <c r="M208" i="115"/>
  <c r="P206" i="115"/>
  <c r="S204" i="115"/>
  <c r="M204" i="115"/>
  <c r="M200" i="115"/>
  <c r="S200" i="115" s="1"/>
  <c r="M206" i="115" s="1"/>
  <c r="S206" i="115" s="1"/>
  <c r="K192" i="115"/>
  <c r="B192" i="115"/>
  <c r="O188" i="115"/>
  <c r="H186" i="115"/>
  <c r="I188" i="115" s="1"/>
  <c r="P182" i="115"/>
  <c r="E186" i="115" s="1"/>
  <c r="N182" i="115"/>
  <c r="K182" i="115"/>
  <c r="O180" i="115"/>
  <c r="I180" i="115"/>
  <c r="O178" i="115"/>
  <c r="L176" i="115"/>
  <c r="E192" i="115" s="1"/>
  <c r="H176" i="115"/>
  <c r="E176" i="115"/>
  <c r="B176" i="115"/>
  <c r="R172" i="115"/>
  <c r="L188" i="115" s="1"/>
  <c r="L172" i="115"/>
  <c r="S168" i="115"/>
  <c r="K168" i="115"/>
  <c r="H168" i="115"/>
  <c r="B168" i="115"/>
  <c r="M164" i="115"/>
  <c r="F164" i="115"/>
  <c r="S160" i="115"/>
  <c r="M160" i="115"/>
  <c r="M214" i="115" s="1"/>
  <c r="L158" i="115"/>
  <c r="O172" i="115" s="1"/>
  <c r="C158" i="115"/>
  <c r="S154" i="115"/>
  <c r="M154" i="115"/>
  <c r="M150" i="115"/>
  <c r="S150" i="115" s="1"/>
  <c r="P152" i="115" s="1"/>
  <c r="S146" i="115"/>
  <c r="M152" i="115" s="1"/>
  <c r="S152" i="115" s="1"/>
  <c r="M146" i="115"/>
  <c r="K138" i="115"/>
  <c r="B138" i="115"/>
  <c r="Q134" i="115"/>
  <c r="N134" i="115"/>
  <c r="K134" i="115"/>
  <c r="H132" i="115"/>
  <c r="B132" i="115"/>
  <c r="S128" i="115"/>
  <c r="E132" i="115" s="1"/>
  <c r="Q128" i="115"/>
  <c r="M128" i="115"/>
  <c r="O126" i="115"/>
  <c r="P124" i="115"/>
  <c r="I126" i="115" s="1"/>
  <c r="M124" i="115"/>
  <c r="L122" i="115"/>
  <c r="E138" i="115" s="1"/>
  <c r="H122" i="115"/>
  <c r="E122" i="115"/>
  <c r="B122" i="115"/>
  <c r="R118" i="115"/>
  <c r="L126" i="115" s="1"/>
  <c r="L118" i="115"/>
  <c r="S114" i="115"/>
  <c r="K114" i="115"/>
  <c r="H114" i="115"/>
  <c r="B114" i="115"/>
  <c r="M110" i="115"/>
  <c r="S106" i="115"/>
  <c r="F110" i="115" s="1"/>
  <c r="M106" i="115"/>
  <c r="L104" i="115"/>
  <c r="O118" i="115" s="1"/>
  <c r="S100" i="115"/>
  <c r="C104" i="115" s="1"/>
  <c r="P100" i="115"/>
  <c r="M100" i="115"/>
  <c r="S98" i="115"/>
  <c r="J110" i="115" s="1"/>
  <c r="M96" i="115"/>
  <c r="S96" i="115" s="1"/>
  <c r="P98" i="115" s="1"/>
  <c r="S92" i="115"/>
  <c r="M98" i="115" s="1"/>
  <c r="M92" i="115"/>
  <c r="Q54" i="115"/>
  <c r="M236" i="115" s="1"/>
  <c r="N54" i="115"/>
  <c r="I52" i="115"/>
  <c r="F52" i="115"/>
  <c r="M49" i="115"/>
  <c r="C52" i="115" s="1"/>
  <c r="J49" i="115"/>
  <c r="F49" i="115"/>
  <c r="C49" i="115"/>
  <c r="H41" i="115"/>
  <c r="E41" i="115"/>
  <c r="R35" i="115"/>
  <c r="B41" i="115" s="1"/>
  <c r="O35" i="115"/>
  <c r="I30" i="115"/>
  <c r="B30" i="115"/>
  <c r="R26" i="115"/>
  <c r="L35" i="115" s="1"/>
  <c r="K26" i="115"/>
  <c r="F16" i="115"/>
  <c r="E30" i="115" s="1"/>
  <c r="G14" i="115"/>
  <c r="N26" i="115" s="1"/>
  <c r="F8" i="115"/>
  <c r="N54" i="106"/>
  <c r="C49" i="106"/>
  <c r="S45" i="106"/>
  <c r="F52" i="106"/>
  <c r="S162" i="10"/>
  <c r="I52" i="106"/>
  <c r="B300" i="106"/>
  <c r="E284" i="106"/>
  <c r="B284" i="106"/>
  <c r="K276" i="106"/>
  <c r="B276" i="106"/>
  <c r="M258" i="106"/>
  <c r="M254" i="106"/>
  <c r="B246" i="106"/>
  <c r="E230" i="106"/>
  <c r="B230" i="106"/>
  <c r="K222" i="106"/>
  <c r="B222" i="106"/>
  <c r="M204" i="106"/>
  <c r="M200" i="106"/>
  <c r="B192" i="106"/>
  <c r="E176" i="106"/>
  <c r="B176" i="106"/>
  <c r="K168" i="106"/>
  <c r="B168" i="106"/>
  <c r="M150" i="106"/>
  <c r="M146" i="106"/>
  <c r="M262" i="106"/>
  <c r="M208" i="106"/>
  <c r="M154" i="106"/>
  <c r="P100" i="106"/>
  <c r="R118" i="106"/>
  <c r="M100" i="106"/>
  <c r="S98" i="106"/>
  <c r="S92" i="106"/>
  <c r="B122" i="106"/>
  <c r="M92" i="106"/>
  <c r="B30" i="106"/>
  <c r="K26" i="106"/>
  <c r="F16" i="106"/>
  <c r="S260" i="115" l="1"/>
  <c r="P222" i="115"/>
  <c r="J218" i="115"/>
  <c r="J164" i="115"/>
  <c r="P168" i="115"/>
  <c r="M268" i="115"/>
  <c r="H276" i="115"/>
  <c r="L178" i="115"/>
  <c r="B186" i="115"/>
  <c r="H192" i="115"/>
  <c r="N296" i="115"/>
  <c r="P114" i="115"/>
  <c r="M290" i="115"/>
  <c r="H138" i="115"/>
  <c r="L180" i="115"/>
  <c r="H222" i="115"/>
  <c r="E300" i="115"/>
  <c r="G14" i="106"/>
  <c r="F8" i="106"/>
  <c r="S42" i="4"/>
  <c r="M42" i="4"/>
  <c r="I42" i="4"/>
  <c r="P276" i="115" l="1"/>
  <c r="J272" i="115"/>
  <c r="F63" i="17"/>
  <c r="M63" i="114"/>
  <c r="M63" i="32"/>
  <c r="L101" i="17"/>
  <c r="P141" i="14" l="1"/>
  <c r="Q143" i="15"/>
  <c r="G54" i="42"/>
  <c r="C54" i="42"/>
  <c r="E63" i="114"/>
  <c r="B63" i="114"/>
  <c r="H57" i="114"/>
  <c r="L57" i="114" s="1"/>
  <c r="H53" i="114"/>
  <c r="B57" i="114" s="1"/>
  <c r="B53" i="114"/>
  <c r="H47" i="114"/>
  <c r="E57" i="114" s="1"/>
  <c r="B47" i="114"/>
  <c r="G40" i="114"/>
  <c r="E53" i="114" s="1"/>
  <c r="D40" i="114"/>
  <c r="G36" i="114"/>
  <c r="B40" i="114" s="1"/>
  <c r="D36" i="114"/>
  <c r="I63" i="114" s="1"/>
  <c r="H30" i="114"/>
  <c r="B36" i="114" s="1"/>
  <c r="R21" i="114"/>
  <c r="O21" i="114"/>
  <c r="L21" i="114"/>
  <c r="H21" i="114"/>
  <c r="E21" i="114"/>
  <c r="Q17" i="114"/>
  <c r="N17" i="114"/>
  <c r="H17" i="114"/>
  <c r="B21" i="114" s="1"/>
  <c r="E17" i="114"/>
  <c r="B17" i="114"/>
  <c r="N10" i="114"/>
  <c r="I10" i="114"/>
  <c r="F10" i="114"/>
  <c r="C10" i="114"/>
  <c r="S2" i="114"/>
  <c r="T102" i="67"/>
  <c r="T101" i="67"/>
  <c r="T100" i="67"/>
  <c r="T99" i="67"/>
  <c r="T98" i="67"/>
  <c r="T97" i="67"/>
  <c r="J102" i="67"/>
  <c r="O102" i="67" s="1"/>
  <c r="J101" i="67"/>
  <c r="J100" i="67"/>
  <c r="J99" i="67"/>
  <c r="J98" i="67"/>
  <c r="J97" i="67"/>
  <c r="J96" i="67"/>
  <c r="E10" i="105"/>
  <c r="S73" i="105" s="1"/>
  <c r="I11" i="10"/>
  <c r="R126" i="105"/>
  <c r="C119" i="105"/>
  <c r="C116" i="105"/>
  <c r="C109" i="105"/>
  <c r="C106" i="105"/>
  <c r="C99" i="105"/>
  <c r="C96" i="105"/>
  <c r="C89" i="105"/>
  <c r="C86" i="105"/>
  <c r="G68" i="105"/>
  <c r="C64" i="105"/>
  <c r="G56" i="105"/>
  <c r="C52" i="105"/>
  <c r="G44" i="105"/>
  <c r="C40" i="105"/>
  <c r="G32" i="105"/>
  <c r="C32" i="105"/>
  <c r="C28" i="105"/>
  <c r="O100" i="67" l="1"/>
  <c r="O101" i="67"/>
  <c r="O99" i="67"/>
  <c r="O98" i="67"/>
  <c r="O97" i="67"/>
  <c r="E101" i="17"/>
  <c r="S175" i="10"/>
  <c r="H175" i="10"/>
  <c r="H171" i="10"/>
  <c r="S98" i="10"/>
  <c r="K300" i="106" l="1"/>
  <c r="Q296" i="106"/>
  <c r="H294" i="106"/>
  <c r="K296" i="106" s="1"/>
  <c r="S290" i="106"/>
  <c r="E294" i="106" s="1"/>
  <c r="P290" i="106"/>
  <c r="O288" i="106"/>
  <c r="P286" i="106"/>
  <c r="I288" i="106" s="1"/>
  <c r="L284" i="106"/>
  <c r="M286" i="106" s="1"/>
  <c r="H284" i="106"/>
  <c r="R280" i="106"/>
  <c r="H300" i="106" s="1"/>
  <c r="L280" i="106"/>
  <c r="S276" i="106"/>
  <c r="M272" i="106"/>
  <c r="S268" i="106"/>
  <c r="F272" i="106" s="1"/>
  <c r="L266" i="106"/>
  <c r="B294" i="106" s="1"/>
  <c r="S262" i="106"/>
  <c r="C266" i="106" s="1"/>
  <c r="S258" i="106"/>
  <c r="P260" i="106" s="1"/>
  <c r="S254" i="106"/>
  <c r="M260" i="106" s="1"/>
  <c r="S260" i="106" s="1"/>
  <c r="K246" i="106"/>
  <c r="Q242" i="106"/>
  <c r="H240" i="106"/>
  <c r="K242" i="106" s="1"/>
  <c r="S236" i="106"/>
  <c r="E240" i="106" s="1"/>
  <c r="P236" i="106"/>
  <c r="O234" i="106"/>
  <c r="P232" i="106"/>
  <c r="I234" i="106" s="1"/>
  <c r="L230" i="106"/>
  <c r="M232" i="106" s="1"/>
  <c r="H230" i="106"/>
  <c r="R226" i="106"/>
  <c r="N242" i="106" s="1"/>
  <c r="L226" i="106"/>
  <c r="S222" i="106"/>
  <c r="M218" i="106"/>
  <c r="S214" i="106"/>
  <c r="F218" i="106" s="1"/>
  <c r="L212" i="106"/>
  <c r="O226" i="106" s="1"/>
  <c r="S208" i="106"/>
  <c r="C212" i="106" s="1"/>
  <c r="S204" i="106"/>
  <c r="P206" i="106" s="1"/>
  <c r="S200" i="106"/>
  <c r="M206" i="106" s="1"/>
  <c r="K192" i="106"/>
  <c r="O188" i="106"/>
  <c r="H186" i="106"/>
  <c r="I188" i="106" s="1"/>
  <c r="P182" i="106"/>
  <c r="E186" i="106" s="1"/>
  <c r="N182" i="106"/>
  <c r="K182" i="106"/>
  <c r="O180" i="106"/>
  <c r="O178" i="106"/>
  <c r="I180" i="106" s="1"/>
  <c r="L176" i="106"/>
  <c r="L178" i="106" s="1"/>
  <c r="H176" i="106"/>
  <c r="R172" i="106"/>
  <c r="H192" i="106" s="1"/>
  <c r="L172" i="106"/>
  <c r="S168" i="106"/>
  <c r="M164" i="106"/>
  <c r="S160" i="106"/>
  <c r="F164" i="106" s="1"/>
  <c r="L158" i="106"/>
  <c r="B186" i="106" s="1"/>
  <c r="S154" i="106"/>
  <c r="C158" i="106" s="1"/>
  <c r="S150" i="106"/>
  <c r="P152" i="106" s="1"/>
  <c r="S146" i="106"/>
  <c r="M152" i="106" s="1"/>
  <c r="B138" i="106"/>
  <c r="Q128" i="106"/>
  <c r="H122" i="106"/>
  <c r="E122" i="106"/>
  <c r="L118" i="106"/>
  <c r="K114" i="106"/>
  <c r="B114" i="106"/>
  <c r="M96" i="106"/>
  <c r="S96" i="106" s="1"/>
  <c r="P98" i="106" s="1"/>
  <c r="M98" i="106"/>
  <c r="J110" i="106" s="1"/>
  <c r="J49" i="106"/>
  <c r="F49" i="106"/>
  <c r="E41" i="106"/>
  <c r="O35" i="106"/>
  <c r="I30" i="106"/>
  <c r="E30" i="106"/>
  <c r="N26" i="106"/>
  <c r="R26" i="106" s="1"/>
  <c r="L35" i="106" s="1"/>
  <c r="B63" i="32"/>
  <c r="E63" i="32"/>
  <c r="I63" i="32"/>
  <c r="P114" i="106" l="1"/>
  <c r="R35" i="106"/>
  <c r="B41" i="106" s="1"/>
  <c r="H41" i="106" s="1"/>
  <c r="Q54" i="106" s="1"/>
  <c r="S206" i="106"/>
  <c r="O280" i="106"/>
  <c r="O172" i="106"/>
  <c r="L122" i="106"/>
  <c r="M124" i="106" s="1"/>
  <c r="P124" i="106" s="1"/>
  <c r="I126" i="106" s="1"/>
  <c r="J218" i="106"/>
  <c r="P222" i="106"/>
  <c r="P276" i="106"/>
  <c r="J272" i="106"/>
  <c r="S152" i="106"/>
  <c r="L180" i="106"/>
  <c r="E246" i="106"/>
  <c r="L288" i="106"/>
  <c r="L188" i="106"/>
  <c r="B240" i="106"/>
  <c r="H246" i="106"/>
  <c r="N296" i="106"/>
  <c r="E192" i="106"/>
  <c r="L234" i="106"/>
  <c r="E300" i="106"/>
  <c r="M128" i="106" l="1"/>
  <c r="S128" i="106" s="1"/>
  <c r="E132" i="106" s="1"/>
  <c r="M236" i="106"/>
  <c r="M290" i="106"/>
  <c r="M49" i="106"/>
  <c r="E138" i="106"/>
  <c r="J164" i="106"/>
  <c r="P168" i="106"/>
  <c r="H114" i="106" l="1"/>
  <c r="S114" i="106" s="1"/>
  <c r="C52" i="106"/>
  <c r="S100" i="106" l="1"/>
  <c r="C104" i="106" s="1"/>
  <c r="L104" i="106" s="1"/>
  <c r="O118" i="106" s="1"/>
  <c r="N134" i="106" s="1"/>
  <c r="M106" i="106"/>
  <c r="S106" i="106" s="1"/>
  <c r="F110" i="106" s="1"/>
  <c r="M110" i="106" l="1"/>
  <c r="H168" i="106"/>
  <c r="M160" i="106"/>
  <c r="H222" i="106" s="1"/>
  <c r="L126" i="106"/>
  <c r="O126" i="106" s="1"/>
  <c r="H138" i="106"/>
  <c r="K138" i="106" s="1"/>
  <c r="B132" i="106"/>
  <c r="H132" i="106" s="1"/>
  <c r="K134" i="106" s="1"/>
  <c r="Q134" i="106" s="1"/>
  <c r="M214" i="106" l="1"/>
  <c r="M268" i="106" s="1"/>
  <c r="G52" i="14"/>
  <c r="G48" i="14"/>
  <c r="D48" i="14"/>
  <c r="H276" i="106" l="1"/>
  <c r="P92" i="67"/>
  <c r="J92" i="67"/>
  <c r="K174" i="67" s="1"/>
  <c r="F25" i="69"/>
  <c r="F28" i="69"/>
  <c r="T96" i="67"/>
  <c r="V11" i="68"/>
  <c r="K163" i="67"/>
  <c r="V160" i="67"/>
  <c r="V159" i="67"/>
  <c r="V156" i="67"/>
  <c r="V155" i="67"/>
  <c r="K160" i="67"/>
  <c r="K159" i="67"/>
  <c r="K156" i="67"/>
  <c r="K155" i="67"/>
  <c r="E99" i="67"/>
  <c r="E98" i="67"/>
  <c r="E97" i="67"/>
  <c r="E96" i="67"/>
  <c r="E100" i="67" l="1"/>
  <c r="P61" i="67"/>
  <c r="I65" i="67"/>
  <c r="I63" i="67"/>
  <c r="C58" i="22"/>
  <c r="J33" i="22"/>
  <c r="H21" i="22"/>
  <c r="O14" i="105" l="1"/>
  <c r="I4" i="105"/>
  <c r="G108" i="10"/>
  <c r="N31" i="19"/>
  <c r="B19" i="19"/>
  <c r="N183" i="10" l="1"/>
  <c r="H183" i="10"/>
  <c r="H181" i="10"/>
  <c r="N179" i="10"/>
  <c r="H179" i="10"/>
  <c r="H177" i="10"/>
  <c r="F37" i="13" l="1"/>
  <c r="O96" i="67"/>
  <c r="E41" i="103"/>
  <c r="P33" i="103"/>
  <c r="K33" i="103"/>
  <c r="M37" i="103"/>
  <c r="H5" i="82"/>
  <c r="G104" i="10"/>
  <c r="G102" i="10"/>
  <c r="R43" i="103"/>
  <c r="R42" i="103"/>
  <c r="R41" i="103"/>
  <c r="R40" i="103"/>
  <c r="R39" i="103"/>
  <c r="R38" i="103"/>
  <c r="R37" i="103"/>
  <c r="K43" i="103"/>
  <c r="K42" i="103"/>
  <c r="K41" i="103"/>
  <c r="K40" i="103"/>
  <c r="K39" i="103"/>
  <c r="K38" i="103"/>
  <c r="K37" i="103"/>
  <c r="I4" i="103"/>
  <c r="E7" i="104"/>
  <c r="U5" i="104"/>
  <c r="G5" i="104"/>
  <c r="G28" i="105"/>
  <c r="N32" i="105"/>
  <c r="G35" i="105"/>
  <c r="N40" i="105"/>
  <c r="C47" i="105" s="1"/>
  <c r="G40" i="105"/>
  <c r="C44" i="105"/>
  <c r="N44" i="105"/>
  <c r="G47" i="105"/>
  <c r="N52" i="105"/>
  <c r="C59" i="105" s="1"/>
  <c r="G52" i="105"/>
  <c r="C56" i="105"/>
  <c r="N56" i="105"/>
  <c r="G59" i="105"/>
  <c r="G64" i="105"/>
  <c r="C68" i="105"/>
  <c r="N68" i="105"/>
  <c r="G71" i="105"/>
  <c r="P86" i="105"/>
  <c r="G86" i="105"/>
  <c r="G89" i="105"/>
  <c r="G96" i="105"/>
  <c r="P99" i="105"/>
  <c r="G99" i="105"/>
  <c r="G106" i="105"/>
  <c r="P109" i="105"/>
  <c r="G109" i="105"/>
  <c r="G116" i="105"/>
  <c r="P119" i="105"/>
  <c r="G119" i="105"/>
  <c r="M43" i="103" l="1"/>
  <c r="M42" i="103"/>
  <c r="M41" i="103"/>
  <c r="M40" i="103"/>
  <c r="M39" i="103"/>
  <c r="N59" i="105"/>
  <c r="N47" i="105"/>
  <c r="P89" i="105"/>
  <c r="N91" i="105" s="1"/>
  <c r="N64" i="105"/>
  <c r="C71" i="105" s="1"/>
  <c r="N71" i="105" s="1"/>
  <c r="M38" i="103"/>
  <c r="R32" i="105"/>
  <c r="R56" i="105"/>
  <c r="P96" i="105"/>
  <c r="N101" i="105" s="1"/>
  <c r="R44" i="105"/>
  <c r="P106" i="105"/>
  <c r="N111" i="105" s="1"/>
  <c r="P116" i="105"/>
  <c r="N121" i="105" s="1"/>
  <c r="R68" i="105"/>
  <c r="N28" i="105"/>
  <c r="C35" i="105" s="1"/>
  <c r="N35" i="105" s="1"/>
  <c r="P171" i="10" l="1"/>
  <c r="AJ67" i="104"/>
  <c r="AE67" i="104"/>
  <c r="AA67" i="104"/>
  <c r="AJ60" i="104"/>
  <c r="AI53" i="104"/>
  <c r="AI118" i="103" l="1"/>
  <c r="AI113" i="103"/>
  <c r="H79" i="103"/>
  <c r="H78" i="103"/>
  <c r="H77" i="103"/>
  <c r="H72" i="103"/>
  <c r="F72" i="103"/>
  <c r="H71" i="103"/>
  <c r="F71" i="103"/>
  <c r="H70" i="103"/>
  <c r="F70" i="103"/>
  <c r="H69" i="103"/>
  <c r="F69" i="103"/>
  <c r="H68" i="103"/>
  <c r="F68" i="103"/>
  <c r="H67" i="103"/>
  <c r="F67" i="103"/>
  <c r="H66" i="103"/>
  <c r="F66" i="103"/>
  <c r="N64" i="103"/>
  <c r="H58" i="103"/>
  <c r="H57" i="103"/>
  <c r="H56" i="103"/>
  <c r="H51" i="103"/>
  <c r="H50" i="103"/>
  <c r="H49" i="103"/>
  <c r="H47" i="103"/>
  <c r="J2" i="88" l="1"/>
  <c r="B2" i="88"/>
  <c r="L1" i="88"/>
  <c r="J1" i="88"/>
  <c r="H57" i="32"/>
  <c r="L57" i="32" s="1"/>
  <c r="J21" i="9"/>
  <c r="J22" i="9" s="1"/>
  <c r="J23" i="9" s="1"/>
  <c r="J24" i="9" s="1"/>
  <c r="J25" i="9" s="1"/>
  <c r="J45" i="9"/>
  <c r="J46" i="9" s="1"/>
  <c r="J47" i="9" s="1"/>
  <c r="J48" i="9" s="1"/>
  <c r="J49" i="9" s="1"/>
  <c r="J72" i="9"/>
  <c r="J73" i="9" s="1"/>
  <c r="J74" i="9" s="1"/>
  <c r="J75" i="9" s="1"/>
  <c r="J71" i="9"/>
  <c r="O101" i="9"/>
  <c r="O100" i="9"/>
  <c r="O99" i="9"/>
  <c r="P99" i="9" s="1"/>
  <c r="Q99" i="9" s="1"/>
  <c r="O98" i="9"/>
  <c r="P98" i="9" s="1"/>
  <c r="Q98" i="9" s="1"/>
  <c r="O97" i="9"/>
  <c r="O96" i="9"/>
  <c r="O95" i="9"/>
  <c r="P97" i="9" s="1"/>
  <c r="Q97" i="9" s="1"/>
  <c r="O94" i="9"/>
  <c r="P96" i="9" s="1"/>
  <c r="Q96" i="9" s="1"/>
  <c r="O75" i="9"/>
  <c r="O74" i="9"/>
  <c r="P74" i="9" s="1"/>
  <c r="Q74" i="9" s="1"/>
  <c r="O73" i="9"/>
  <c r="P75" i="9" s="1"/>
  <c r="Q75" i="9" s="1"/>
  <c r="O72" i="9"/>
  <c r="O71" i="9"/>
  <c r="P73" i="9" s="1"/>
  <c r="Q73" i="9" s="1"/>
  <c r="O70" i="9"/>
  <c r="P72" i="9" s="1"/>
  <c r="Q72" i="9" s="1"/>
  <c r="O69" i="9"/>
  <c r="P71" i="9" s="1"/>
  <c r="Q71" i="9" s="1"/>
  <c r="O68" i="9"/>
  <c r="P70" i="9" s="1"/>
  <c r="Q70" i="9" s="1"/>
  <c r="O49" i="9"/>
  <c r="O48" i="9"/>
  <c r="P48" i="9" s="1"/>
  <c r="Q48" i="9" s="1"/>
  <c r="O47" i="9"/>
  <c r="P49" i="9" s="1"/>
  <c r="Q49" i="9" s="1"/>
  <c r="O46" i="9"/>
  <c r="O45" i="9"/>
  <c r="P47" i="9" s="1"/>
  <c r="Q47" i="9" s="1"/>
  <c r="O44" i="9"/>
  <c r="O43" i="9"/>
  <c r="P45" i="9" s="1"/>
  <c r="Q45" i="9" s="1"/>
  <c r="O42" i="9"/>
  <c r="P44" i="9" s="1"/>
  <c r="Q44" i="9" s="1"/>
  <c r="P21" i="9"/>
  <c r="P20" i="9"/>
  <c r="J101" i="9"/>
  <c r="J100" i="9"/>
  <c r="J99" i="9"/>
  <c r="J97" i="9"/>
  <c r="J98" i="9" s="1"/>
  <c r="O25" i="9"/>
  <c r="O24" i="9"/>
  <c r="O23" i="9"/>
  <c r="P25" i="9" s="1"/>
  <c r="O22" i="9"/>
  <c r="P24" i="9" s="1"/>
  <c r="O21" i="9"/>
  <c r="O20" i="9"/>
  <c r="O19" i="9"/>
  <c r="O18" i="9"/>
  <c r="G72" i="9"/>
  <c r="P22" i="9" l="1"/>
  <c r="P23" i="9"/>
  <c r="P46" i="9"/>
  <c r="Q46" i="9" s="1"/>
  <c r="P100" i="9"/>
  <c r="Q100" i="9" s="1"/>
  <c r="P101" i="9"/>
  <c r="Q101" i="9" s="1"/>
  <c r="F38" i="69" l="1"/>
  <c r="I13" i="10"/>
  <c r="J2" i="82"/>
  <c r="B2" i="82"/>
  <c r="L1" i="82"/>
  <c r="J1" i="82"/>
  <c r="H14" i="9" l="1"/>
  <c r="T2" i="67" l="1"/>
  <c r="U61" i="67" s="1"/>
  <c r="S69" i="4" l="1"/>
  <c r="G139" i="15" l="1"/>
  <c r="G137" i="14" l="1"/>
  <c r="K99" i="12"/>
  <c r="K103" i="12"/>
  <c r="M71" i="13"/>
  <c r="M73" i="13"/>
  <c r="K107" i="12"/>
  <c r="O79" i="10"/>
  <c r="F79" i="10"/>
  <c r="I101" i="9" l="1"/>
  <c r="H101" i="9"/>
  <c r="G101" i="9"/>
  <c r="I100" i="9"/>
  <c r="H100" i="9"/>
  <c r="G100" i="9"/>
  <c r="I99" i="9"/>
  <c r="H99" i="9"/>
  <c r="G99" i="9"/>
  <c r="G98" i="9"/>
  <c r="G97" i="9"/>
  <c r="G96" i="9"/>
  <c r="H98" i="9" s="1"/>
  <c r="I98" i="9" s="1"/>
  <c r="G95" i="9"/>
  <c r="H97" i="9" s="1"/>
  <c r="I97" i="9" s="1"/>
  <c r="G94" i="9"/>
  <c r="H96" i="9" s="1"/>
  <c r="I96" i="9" s="1"/>
  <c r="A101" i="9"/>
  <c r="A100" i="9"/>
  <c r="A99" i="9"/>
  <c r="A98" i="9"/>
  <c r="A97" i="9"/>
  <c r="G75" i="9"/>
  <c r="G74" i="9"/>
  <c r="G73" i="9"/>
  <c r="G71" i="9"/>
  <c r="G70" i="9"/>
  <c r="G69" i="9"/>
  <c r="G68" i="9"/>
  <c r="A75" i="9"/>
  <c r="A74" i="9"/>
  <c r="A73" i="9"/>
  <c r="A72" i="9"/>
  <c r="A71" i="9"/>
  <c r="F69" i="4"/>
  <c r="S65" i="4"/>
  <c r="S75" i="4"/>
  <c r="S67" i="4"/>
  <c r="N69" i="4"/>
  <c r="N67" i="4"/>
  <c r="F36" i="69"/>
  <c r="F32" i="69"/>
  <c r="D23" i="69"/>
  <c r="D21" i="69"/>
  <c r="E15" i="69" s="1"/>
  <c r="D19" i="69"/>
  <c r="D17" i="69"/>
  <c r="F15" i="69"/>
  <c r="F14" i="69"/>
  <c r="F13" i="69"/>
  <c r="F12" i="69"/>
  <c r="F11" i="69"/>
  <c r="F10" i="69"/>
  <c r="F9" i="69"/>
  <c r="G2" i="69"/>
  <c r="E2" i="69"/>
  <c r="E2" i="43"/>
  <c r="G2" i="43"/>
  <c r="H73" i="9" l="1"/>
  <c r="H72" i="9"/>
  <c r="H71" i="9"/>
  <c r="H70" i="9"/>
  <c r="E12" i="69"/>
  <c r="E9" i="69"/>
  <c r="E11" i="69"/>
  <c r="E13" i="69"/>
  <c r="E14" i="69"/>
  <c r="E10" i="69"/>
  <c r="AA77" i="10" l="1"/>
  <c r="H6" i="13" s="1"/>
  <c r="S71" i="13" l="1"/>
  <c r="L20" i="17"/>
  <c r="H6" i="12"/>
  <c r="J122" i="67"/>
  <c r="G122" i="67"/>
  <c r="AE90" i="10"/>
  <c r="H106" i="67"/>
  <c r="H108" i="67" s="1"/>
  <c r="J9" i="19"/>
  <c r="L104" i="17"/>
  <c r="E9" i="19"/>
  <c r="G149" i="15"/>
  <c r="N149" i="15"/>
  <c r="G147" i="15"/>
  <c r="N147" i="15"/>
  <c r="F97" i="17"/>
  <c r="N145" i="14"/>
  <c r="G145" i="14"/>
  <c r="N147" i="14"/>
  <c r="G147" i="14"/>
  <c r="G20" i="13"/>
  <c r="J36" i="62"/>
  <c r="J34" i="62"/>
  <c r="J34" i="42"/>
  <c r="J32" i="42"/>
  <c r="I57" i="42"/>
  <c r="C57" i="42"/>
  <c r="S50" i="42"/>
  <c r="S123" i="10" l="1"/>
  <c r="H109" i="67"/>
  <c r="H110" i="67" s="1"/>
  <c r="G128" i="67"/>
  <c r="G129" i="67"/>
  <c r="G130" i="67"/>
  <c r="G127" i="67"/>
  <c r="G126" i="67"/>
  <c r="G124" i="67"/>
  <c r="G125" i="67"/>
  <c r="J125" i="67"/>
  <c r="J128" i="67"/>
  <c r="J124" i="67"/>
  <c r="J127" i="67"/>
  <c r="J129" i="67"/>
  <c r="J126" i="67"/>
  <c r="J130" i="67"/>
  <c r="G52" i="13"/>
  <c r="M69" i="13"/>
  <c r="K8" i="23"/>
  <c r="H81" i="68"/>
  <c r="E81" i="68"/>
  <c r="E77" i="68"/>
  <c r="G22" i="68"/>
  <c r="P36" i="68"/>
  <c r="N36" i="68"/>
  <c r="B77" i="68"/>
  <c r="L71" i="68"/>
  <c r="H77" i="68" s="1"/>
  <c r="E57" i="68"/>
  <c r="B57" i="68"/>
  <c r="H57" i="68" s="1"/>
  <c r="B61" i="68" s="1"/>
  <c r="G44" i="68"/>
  <c r="K22" i="68"/>
  <c r="J65" i="68"/>
  <c r="F69" i="68" s="1"/>
  <c r="R2" i="68"/>
  <c r="S51" i="22"/>
  <c r="I58" i="22"/>
  <c r="O22" i="68" l="1"/>
  <c r="H26" i="68" s="1"/>
  <c r="M26" i="68" s="1"/>
  <c r="L77" i="68"/>
  <c r="B81" i="68" s="1"/>
  <c r="M94" i="10"/>
  <c r="G94" i="10"/>
  <c r="S96" i="10" l="1"/>
  <c r="M75" i="13"/>
  <c r="S75" i="13"/>
  <c r="Q139" i="15"/>
  <c r="Q141" i="15"/>
  <c r="K109" i="12"/>
  <c r="L97" i="17"/>
  <c r="P139" i="14"/>
  <c r="P137" i="14"/>
  <c r="Q109" i="12"/>
  <c r="D36" i="68"/>
  <c r="B44" i="68"/>
  <c r="M44" i="68" s="1"/>
  <c r="B69" i="68" s="1"/>
  <c r="L69" i="68" s="1"/>
  <c r="B99" i="19" l="1"/>
  <c r="G99" i="19" s="1"/>
  <c r="I6" i="62"/>
  <c r="I4" i="42"/>
  <c r="E61" i="68"/>
  <c r="H61" i="68" s="1"/>
  <c r="Q17" i="32" l="1"/>
  <c r="I4" i="8" l="1"/>
  <c r="G90" i="12" l="1"/>
  <c r="L54" i="13" l="1"/>
  <c r="C100" i="12" l="1"/>
  <c r="D86" i="12" l="1"/>
  <c r="C68" i="15" l="1"/>
  <c r="C73" i="14" l="1"/>
  <c r="O104" i="10" l="1"/>
  <c r="K94" i="10"/>
  <c r="AC90" i="10" s="1"/>
  <c r="AE92" i="10" l="1"/>
  <c r="H105" i="67"/>
  <c r="H113" i="67"/>
  <c r="H114" i="67" s="1"/>
  <c r="M2" i="64"/>
  <c r="L76" i="14"/>
  <c r="L70" i="15"/>
  <c r="L44" i="64"/>
  <c r="L42" i="64"/>
  <c r="L40" i="64"/>
  <c r="L38" i="64"/>
  <c r="AD33" i="64"/>
  <c r="AC33" i="64"/>
  <c r="Y33" i="64"/>
  <c r="X33" i="64"/>
  <c r="T33" i="64"/>
  <c r="S33" i="64"/>
  <c r="J33" i="64"/>
  <c r="I33" i="64"/>
  <c r="E33" i="64"/>
  <c r="D33" i="64"/>
  <c r="AD32" i="64"/>
  <c r="AC32" i="64"/>
  <c r="Y32" i="64"/>
  <c r="X32" i="64"/>
  <c r="T32" i="64"/>
  <c r="S32" i="64"/>
  <c r="J32" i="64"/>
  <c r="I32" i="64"/>
  <c r="E32" i="64"/>
  <c r="D32" i="64"/>
  <c r="AD31" i="64"/>
  <c r="AC31" i="64"/>
  <c r="Y31" i="64"/>
  <c r="X31" i="64"/>
  <c r="T31" i="64"/>
  <c r="S31" i="64"/>
  <c r="J31" i="64"/>
  <c r="I31" i="64"/>
  <c r="E31" i="64"/>
  <c r="D31" i="64"/>
  <c r="AD30" i="64"/>
  <c r="AC30" i="64"/>
  <c r="Y30" i="64"/>
  <c r="X30" i="64"/>
  <c r="T30" i="64"/>
  <c r="S30" i="64"/>
  <c r="J30" i="64"/>
  <c r="I30" i="64"/>
  <c r="E30" i="64"/>
  <c r="D30" i="64"/>
  <c r="AD29" i="64"/>
  <c r="AC29" i="64"/>
  <c r="Y29" i="64"/>
  <c r="X29" i="64"/>
  <c r="T29" i="64"/>
  <c r="S29" i="64"/>
  <c r="J29" i="64"/>
  <c r="I29" i="64"/>
  <c r="E29" i="64"/>
  <c r="D29" i="64"/>
  <c r="AD28" i="64"/>
  <c r="AC28" i="64"/>
  <c r="Y28" i="64"/>
  <c r="X28" i="64"/>
  <c r="T28" i="64"/>
  <c r="S28" i="64"/>
  <c r="J28" i="64"/>
  <c r="I28" i="64"/>
  <c r="E28" i="64"/>
  <c r="D28" i="64"/>
  <c r="AD27" i="64"/>
  <c r="AC27" i="64"/>
  <c r="Y27" i="64"/>
  <c r="X27" i="64"/>
  <c r="T27" i="64"/>
  <c r="S27" i="64"/>
  <c r="O27" i="64"/>
  <c r="N27" i="64"/>
  <c r="J27" i="64"/>
  <c r="I27" i="64"/>
  <c r="E27" i="64"/>
  <c r="D27" i="64"/>
  <c r="AD26" i="64"/>
  <c r="AC26" i="64"/>
  <c r="Y26" i="64"/>
  <c r="X26" i="64"/>
  <c r="T26" i="64"/>
  <c r="S26" i="64"/>
  <c r="O26" i="64"/>
  <c r="N26" i="64"/>
  <c r="J26" i="64"/>
  <c r="I26" i="64"/>
  <c r="E26" i="64"/>
  <c r="D26" i="64"/>
  <c r="AD25" i="64"/>
  <c r="AC25" i="64"/>
  <c r="Y25" i="64"/>
  <c r="X25" i="64"/>
  <c r="T25" i="64"/>
  <c r="S25" i="64"/>
  <c r="O25" i="64"/>
  <c r="N25" i="64"/>
  <c r="J25" i="64"/>
  <c r="I25" i="64"/>
  <c r="E25" i="64"/>
  <c r="D25" i="64"/>
  <c r="AD24" i="64"/>
  <c r="AC24" i="64"/>
  <c r="Y24" i="64"/>
  <c r="X24" i="64"/>
  <c r="T24" i="64"/>
  <c r="S24" i="64"/>
  <c r="O24" i="64"/>
  <c r="N24" i="64"/>
  <c r="J24" i="64"/>
  <c r="I24" i="64"/>
  <c r="E24" i="64"/>
  <c r="D24" i="64"/>
  <c r="AD23" i="64"/>
  <c r="AC23" i="64"/>
  <c r="Y23" i="64"/>
  <c r="X23" i="64"/>
  <c r="T23" i="64"/>
  <c r="S23" i="64"/>
  <c r="O23" i="64"/>
  <c r="N23" i="64"/>
  <c r="J23" i="64"/>
  <c r="I23" i="64"/>
  <c r="E23" i="64"/>
  <c r="D23" i="64"/>
  <c r="AD22" i="64"/>
  <c r="AC22" i="64"/>
  <c r="Y22" i="64"/>
  <c r="X22" i="64"/>
  <c r="T22" i="64"/>
  <c r="S22" i="64"/>
  <c r="O22" i="64"/>
  <c r="N22" i="64"/>
  <c r="J22" i="64"/>
  <c r="I22" i="64"/>
  <c r="E22" i="64"/>
  <c r="D22" i="64"/>
  <c r="AD21" i="64"/>
  <c r="AC21" i="64"/>
  <c r="Y21" i="64"/>
  <c r="X21" i="64"/>
  <c r="T21" i="64"/>
  <c r="S21" i="64"/>
  <c r="O21" i="64"/>
  <c r="N21" i="64"/>
  <c r="J21" i="64"/>
  <c r="I21" i="64"/>
  <c r="E21" i="64"/>
  <c r="D21" i="64"/>
  <c r="AD20" i="64"/>
  <c r="AC20" i="64"/>
  <c r="Y20" i="64"/>
  <c r="X20" i="64"/>
  <c r="T20" i="64"/>
  <c r="S20" i="64"/>
  <c r="O20" i="64"/>
  <c r="N20" i="64"/>
  <c r="J20" i="64"/>
  <c r="I20" i="64"/>
  <c r="E20" i="64"/>
  <c r="D20" i="64"/>
  <c r="AD19" i="64"/>
  <c r="AC19" i="64"/>
  <c r="Y19" i="64"/>
  <c r="X19" i="64"/>
  <c r="T19" i="64"/>
  <c r="S19" i="64"/>
  <c r="O19" i="64"/>
  <c r="N19" i="64"/>
  <c r="J19" i="64"/>
  <c r="I19" i="64"/>
  <c r="E19" i="64"/>
  <c r="D19" i="64"/>
  <c r="AD18" i="64"/>
  <c r="AC18" i="64"/>
  <c r="Y18" i="64"/>
  <c r="X18" i="64"/>
  <c r="T18" i="64"/>
  <c r="S18" i="64"/>
  <c r="O18" i="64"/>
  <c r="N18" i="64"/>
  <c r="J18" i="64"/>
  <c r="I18" i="64"/>
  <c r="E18" i="64"/>
  <c r="D18" i="64"/>
  <c r="AD17" i="64"/>
  <c r="AC17" i="64"/>
  <c r="Y17" i="64"/>
  <c r="X17" i="64"/>
  <c r="T17" i="64"/>
  <c r="S17" i="64"/>
  <c r="O17" i="64"/>
  <c r="N17" i="64"/>
  <c r="J17" i="64"/>
  <c r="I17" i="64"/>
  <c r="E17" i="64"/>
  <c r="D17" i="64"/>
  <c r="AD16" i="64"/>
  <c r="AC16" i="64"/>
  <c r="Y16" i="64"/>
  <c r="X16" i="64"/>
  <c r="T16" i="64"/>
  <c r="S16" i="64"/>
  <c r="O16" i="64"/>
  <c r="N16" i="64"/>
  <c r="J16" i="64"/>
  <c r="I16" i="64"/>
  <c r="E16" i="64"/>
  <c r="D16" i="64"/>
  <c r="AD15" i="64"/>
  <c r="AC15" i="64"/>
  <c r="Y15" i="64"/>
  <c r="X15" i="64"/>
  <c r="T15" i="64"/>
  <c r="S15" i="64"/>
  <c r="O15" i="64"/>
  <c r="N15" i="64"/>
  <c r="J15" i="64"/>
  <c r="I15" i="64"/>
  <c r="E15" i="64"/>
  <c r="D15" i="64"/>
  <c r="AD14" i="64"/>
  <c r="AC14" i="64"/>
  <c r="Y14" i="64"/>
  <c r="X14" i="64"/>
  <c r="T14" i="64"/>
  <c r="S14" i="64"/>
  <c r="O14" i="64"/>
  <c r="N14" i="64"/>
  <c r="J14" i="64"/>
  <c r="I14" i="64"/>
  <c r="E14" i="64"/>
  <c r="D14" i="64"/>
  <c r="AD13" i="64"/>
  <c r="AC13" i="64"/>
  <c r="Y13" i="64"/>
  <c r="X13" i="64"/>
  <c r="T13" i="64"/>
  <c r="S13" i="64"/>
  <c r="O13" i="64"/>
  <c r="N13" i="64"/>
  <c r="J13" i="64"/>
  <c r="I13" i="64"/>
  <c r="E13" i="64"/>
  <c r="D13" i="64"/>
  <c r="AD12" i="64"/>
  <c r="AC12" i="64"/>
  <c r="Y12" i="64"/>
  <c r="X12" i="64"/>
  <c r="T12" i="64"/>
  <c r="S12" i="64"/>
  <c r="O12" i="64"/>
  <c r="N12" i="64"/>
  <c r="J12" i="64"/>
  <c r="I12" i="64"/>
  <c r="E12" i="64"/>
  <c r="D12" i="64"/>
  <c r="AD11" i="64"/>
  <c r="AC11" i="64"/>
  <c r="Y11" i="64"/>
  <c r="X11" i="64"/>
  <c r="T11" i="64"/>
  <c r="S11" i="64"/>
  <c r="O11" i="64"/>
  <c r="N11" i="64"/>
  <c r="J11" i="64"/>
  <c r="I11" i="64"/>
  <c r="E11" i="64"/>
  <c r="D11" i="64"/>
  <c r="AD10" i="64"/>
  <c r="AC10" i="64"/>
  <c r="Y10" i="64"/>
  <c r="X10" i="64"/>
  <c r="T10" i="64"/>
  <c r="S10" i="64"/>
  <c r="O10" i="64"/>
  <c r="N10" i="64"/>
  <c r="J10" i="64"/>
  <c r="I10" i="64"/>
  <c r="D10" i="64"/>
  <c r="AD9" i="64"/>
  <c r="AC9" i="64"/>
  <c r="Y9" i="64"/>
  <c r="X9" i="64"/>
  <c r="T9" i="64"/>
  <c r="S9" i="64"/>
  <c r="O9" i="64"/>
  <c r="N9" i="64"/>
  <c r="J9" i="64"/>
  <c r="I9" i="64"/>
  <c r="D9" i="64"/>
  <c r="AD8" i="64"/>
  <c r="AC8" i="64"/>
  <c r="Y8" i="64"/>
  <c r="X8" i="64"/>
  <c r="T8" i="64"/>
  <c r="S8" i="64"/>
  <c r="O8" i="64"/>
  <c r="N8" i="64"/>
  <c r="J8" i="64"/>
  <c r="I8" i="64"/>
  <c r="D8" i="64"/>
  <c r="AD7" i="64"/>
  <c r="AC7" i="64"/>
  <c r="Y7" i="64"/>
  <c r="X7" i="64"/>
  <c r="T7" i="64"/>
  <c r="S7" i="64"/>
  <c r="O7" i="64"/>
  <c r="N7" i="64"/>
  <c r="J7" i="64"/>
  <c r="I7" i="64"/>
  <c r="D7" i="64"/>
  <c r="AD6" i="64"/>
  <c r="AC6" i="64"/>
  <c r="Y6" i="64"/>
  <c r="X6" i="64"/>
  <c r="T6" i="64"/>
  <c r="S6" i="64"/>
  <c r="O6" i="64"/>
  <c r="N6" i="64"/>
  <c r="J6" i="64"/>
  <c r="I6" i="64"/>
  <c r="D6" i="64"/>
  <c r="AD5" i="64"/>
  <c r="AC5" i="64"/>
  <c r="Z5" i="64"/>
  <c r="Z6" i="64" s="1"/>
  <c r="Z7" i="64" s="1"/>
  <c r="Z8" i="64" s="1"/>
  <c r="Z9" i="64" s="1"/>
  <c r="Z10" i="64" s="1"/>
  <c r="Z11" i="64" s="1"/>
  <c r="Z12" i="64" s="1"/>
  <c r="Z13" i="64" s="1"/>
  <c r="Z14" i="64" s="1"/>
  <c r="Z15" i="64" s="1"/>
  <c r="Z16" i="64" s="1"/>
  <c r="Z17" i="64" s="1"/>
  <c r="Z18" i="64" s="1"/>
  <c r="Z19" i="64" s="1"/>
  <c r="Z20" i="64" s="1"/>
  <c r="Z21" i="64" s="1"/>
  <c r="Z22" i="64" s="1"/>
  <c r="Z23" i="64" s="1"/>
  <c r="Z24" i="64" s="1"/>
  <c r="Z25" i="64" s="1"/>
  <c r="Z26" i="64" s="1"/>
  <c r="Z27" i="64" s="1"/>
  <c r="Z28" i="64" s="1"/>
  <c r="Z29" i="64" s="1"/>
  <c r="Z30" i="64" s="1"/>
  <c r="Z31" i="64" s="1"/>
  <c r="Z32" i="64" s="1"/>
  <c r="Z33" i="64" s="1"/>
  <c r="Y5" i="64"/>
  <c r="X5" i="64"/>
  <c r="U5" i="64"/>
  <c r="U6" i="64" s="1"/>
  <c r="U7" i="64" s="1"/>
  <c r="U8" i="64" s="1"/>
  <c r="U9" i="64" s="1"/>
  <c r="U10" i="64" s="1"/>
  <c r="U11" i="64" s="1"/>
  <c r="U12" i="64" s="1"/>
  <c r="U13" i="64" s="1"/>
  <c r="U14" i="64" s="1"/>
  <c r="U15" i="64" s="1"/>
  <c r="U16" i="64" s="1"/>
  <c r="U17" i="64" s="1"/>
  <c r="U18" i="64" s="1"/>
  <c r="U19" i="64" s="1"/>
  <c r="U20" i="64" s="1"/>
  <c r="U21" i="64" s="1"/>
  <c r="U22" i="64" s="1"/>
  <c r="U23" i="64" s="1"/>
  <c r="U24" i="64" s="1"/>
  <c r="U25" i="64" s="1"/>
  <c r="U26" i="64" s="1"/>
  <c r="U27" i="64" s="1"/>
  <c r="U28" i="64" s="1"/>
  <c r="U29" i="64" s="1"/>
  <c r="U30" i="64" s="1"/>
  <c r="U31" i="64" s="1"/>
  <c r="U32" i="64" s="1"/>
  <c r="U33" i="64" s="1"/>
  <c r="T5" i="64"/>
  <c r="S5" i="64"/>
  <c r="P5" i="64"/>
  <c r="P6" i="64" s="1"/>
  <c r="P7" i="64" s="1"/>
  <c r="P8" i="64" s="1"/>
  <c r="P9" i="64" s="1"/>
  <c r="P10" i="64" s="1"/>
  <c r="P11" i="64" s="1"/>
  <c r="P12" i="64" s="1"/>
  <c r="P13" i="64" s="1"/>
  <c r="P14" i="64" s="1"/>
  <c r="P15" i="64" s="1"/>
  <c r="P16" i="64" s="1"/>
  <c r="P17" i="64" s="1"/>
  <c r="P18" i="64" s="1"/>
  <c r="P19" i="64" s="1"/>
  <c r="P20" i="64" s="1"/>
  <c r="P21" i="64" s="1"/>
  <c r="P22" i="64" s="1"/>
  <c r="P23" i="64" s="1"/>
  <c r="P24" i="64" s="1"/>
  <c r="P25" i="64" s="1"/>
  <c r="P26" i="64" s="1"/>
  <c r="P27" i="64" s="1"/>
  <c r="P28" i="64" s="1"/>
  <c r="P29" i="64" s="1"/>
  <c r="P30" i="64" s="1"/>
  <c r="P31" i="64" s="1"/>
  <c r="P32" i="64" s="1"/>
  <c r="P33" i="64" s="1"/>
  <c r="O5" i="64"/>
  <c r="N5" i="64"/>
  <c r="K5" i="64"/>
  <c r="K6" i="64" s="1"/>
  <c r="K7" i="64" s="1"/>
  <c r="K8" i="64" s="1"/>
  <c r="K9" i="64" s="1"/>
  <c r="K10" i="64" s="1"/>
  <c r="K11" i="64" s="1"/>
  <c r="K12" i="64" s="1"/>
  <c r="K13" i="64" s="1"/>
  <c r="K14" i="64" s="1"/>
  <c r="K15" i="64" s="1"/>
  <c r="K16" i="64" s="1"/>
  <c r="K17" i="64" s="1"/>
  <c r="K18" i="64" s="1"/>
  <c r="K19" i="64" s="1"/>
  <c r="K20" i="64" s="1"/>
  <c r="K21" i="64" s="1"/>
  <c r="K22" i="64" s="1"/>
  <c r="K23" i="64" s="1"/>
  <c r="K24" i="64" s="1"/>
  <c r="K25" i="64" s="1"/>
  <c r="K26" i="64" s="1"/>
  <c r="K27" i="64" s="1"/>
  <c r="K28" i="64" s="1"/>
  <c r="K29" i="64" s="1"/>
  <c r="K30" i="64" s="1"/>
  <c r="K31" i="64" s="1"/>
  <c r="K32" i="64" s="1"/>
  <c r="K33" i="64" s="1"/>
  <c r="J5" i="64"/>
  <c r="I5" i="64"/>
  <c r="F5" i="64"/>
  <c r="F6" i="64" s="1"/>
  <c r="F7" i="64" s="1"/>
  <c r="F8" i="64" s="1"/>
  <c r="F9" i="64" s="1"/>
  <c r="F10" i="64" s="1"/>
  <c r="F11" i="64" s="1"/>
  <c r="F12" i="64" s="1"/>
  <c r="F13" i="64" s="1"/>
  <c r="F14" i="64" s="1"/>
  <c r="F15" i="64" s="1"/>
  <c r="F16" i="64" s="1"/>
  <c r="F17" i="64" s="1"/>
  <c r="F18" i="64" s="1"/>
  <c r="F19" i="64" s="1"/>
  <c r="F20" i="64" s="1"/>
  <c r="F21" i="64" s="1"/>
  <c r="F22" i="64" s="1"/>
  <c r="F23" i="64" s="1"/>
  <c r="F24" i="64" s="1"/>
  <c r="F25" i="64" s="1"/>
  <c r="F26" i="64" s="1"/>
  <c r="F27" i="64" s="1"/>
  <c r="F28" i="64" s="1"/>
  <c r="F29" i="64" s="1"/>
  <c r="F30" i="64" s="1"/>
  <c r="F31" i="64" s="1"/>
  <c r="F32" i="64" s="1"/>
  <c r="F33" i="64" s="1"/>
  <c r="D5" i="64"/>
  <c r="A5" i="64"/>
  <c r="A6" i="64" s="1"/>
  <c r="A7" i="64" s="1"/>
  <c r="A8" i="64" s="1"/>
  <c r="A9" i="64" s="1"/>
  <c r="A10" i="64" s="1"/>
  <c r="A11" i="64" s="1"/>
  <c r="A12" i="64" s="1"/>
  <c r="A13" i="64" s="1"/>
  <c r="A14" i="64" s="1"/>
  <c r="A15" i="64" s="1"/>
  <c r="A16" i="64" s="1"/>
  <c r="A17" i="64" s="1"/>
  <c r="A18" i="64" s="1"/>
  <c r="A19" i="64" s="1"/>
  <c r="A20" i="64" s="1"/>
  <c r="A21" i="64" s="1"/>
  <c r="A22" i="64" s="1"/>
  <c r="A23" i="64" s="1"/>
  <c r="A24" i="64" s="1"/>
  <c r="A25" i="64" s="1"/>
  <c r="A26" i="64" s="1"/>
  <c r="A27" i="64" s="1"/>
  <c r="A28" i="64" s="1"/>
  <c r="A29" i="64" s="1"/>
  <c r="A30" i="64" s="1"/>
  <c r="A31" i="64" s="1"/>
  <c r="A32" i="64" s="1"/>
  <c r="A33" i="64" s="1"/>
  <c r="AD4" i="64"/>
  <c r="AC4" i="64"/>
  <c r="Y4" i="64"/>
  <c r="X4" i="64"/>
  <c r="T4" i="64"/>
  <c r="S4" i="64"/>
  <c r="O4" i="64"/>
  <c r="N4" i="64"/>
  <c r="J4" i="64"/>
  <c r="I4" i="64"/>
  <c r="H115" i="67" l="1"/>
  <c r="H116" i="67" s="1"/>
  <c r="E32" i="17"/>
  <c r="S73" i="10" l="1"/>
  <c r="S69" i="10"/>
  <c r="S67" i="10"/>
  <c r="R69" i="62" l="1"/>
  <c r="Q69" i="62"/>
  <c r="P69" i="62"/>
  <c r="J82" i="62"/>
  <c r="B82" i="62"/>
  <c r="B79" i="62"/>
  <c r="J79" i="62" s="1"/>
  <c r="F75" i="62"/>
  <c r="H67" i="62"/>
  <c r="F57" i="62"/>
  <c r="N49" i="62"/>
  <c r="G49" i="62"/>
  <c r="B44" i="62"/>
  <c r="C42" i="62"/>
  <c r="G32" i="62"/>
  <c r="AF21" i="62"/>
  <c r="W21" i="62"/>
  <c r="AF13" i="62"/>
  <c r="H24" i="62" s="1"/>
  <c r="M24" i="62" s="1"/>
  <c r="F34" i="69" s="1"/>
  <c r="AE8" i="62"/>
  <c r="T2" i="62"/>
  <c r="C40" i="62" l="1"/>
  <c r="Q26" i="62"/>
  <c r="F82" i="62"/>
  <c r="M82" i="62" s="1"/>
  <c r="O76" i="62"/>
  <c r="R80" i="62"/>
  <c r="E44" i="62"/>
  <c r="B75" i="62"/>
  <c r="J75" i="62" s="1"/>
  <c r="O80" i="62" s="1"/>
  <c r="Q28" i="62"/>
  <c r="AA21" i="62"/>
  <c r="J38" i="62"/>
  <c r="F40" i="62" s="1"/>
  <c r="J40" i="62" s="1"/>
  <c r="H68" i="40"/>
  <c r="Q65" i="62" l="1"/>
  <c r="E66" i="62" s="1"/>
  <c r="E67" i="62" s="1"/>
  <c r="J67" i="62" s="1"/>
  <c r="F42" i="62"/>
  <c r="I42" i="62" s="1"/>
  <c r="H44" i="62"/>
  <c r="K44" i="62" s="1"/>
  <c r="R77" i="62" s="1"/>
  <c r="R75" i="62"/>
  <c r="R78" i="62" l="1"/>
  <c r="B57" i="62"/>
  <c r="J57" i="62" s="1"/>
  <c r="Q67" i="62"/>
  <c r="R67" i="62" s="1"/>
  <c r="I69" i="62"/>
  <c r="L69" i="62" s="1"/>
  <c r="P67" i="62"/>
  <c r="O57" i="62" l="1"/>
  <c r="H60" i="62"/>
  <c r="N57" i="62"/>
  <c r="P57" i="62"/>
  <c r="L60" i="62"/>
  <c r="S3" i="10"/>
  <c r="J2" i="114" s="1"/>
  <c r="N3" i="104" l="1"/>
  <c r="M2" i="105"/>
  <c r="K2" i="68"/>
  <c r="L68" i="17"/>
  <c r="O2" i="67"/>
  <c r="S60" i="13"/>
  <c r="O66" i="15"/>
  <c r="N2" i="62"/>
  <c r="O2" i="11"/>
  <c r="Q60" i="62"/>
  <c r="F34" i="27"/>
  <c r="D4" i="27"/>
  <c r="F4" i="27" s="1"/>
  <c r="D33" i="27"/>
  <c r="D32" i="27"/>
  <c r="D31" i="27"/>
  <c r="D30" i="27"/>
  <c r="D29" i="27"/>
  <c r="D28" i="27"/>
  <c r="D27" i="27"/>
  <c r="D26" i="27"/>
  <c r="D25" i="27"/>
  <c r="D24" i="27"/>
  <c r="D23" i="27"/>
  <c r="D22" i="27"/>
  <c r="D21" i="27"/>
  <c r="D20" i="27"/>
  <c r="D19" i="27"/>
  <c r="D18" i="27"/>
  <c r="D17" i="27"/>
  <c r="D16" i="27"/>
  <c r="D15" i="27"/>
  <c r="D14" i="27"/>
  <c r="D13" i="27"/>
  <c r="D12" i="27"/>
  <c r="D11" i="27"/>
  <c r="D10" i="27"/>
  <c r="D9" i="27"/>
  <c r="D8" i="27"/>
  <c r="D7" i="27"/>
  <c r="D6" i="27"/>
  <c r="D5" i="27"/>
  <c r="R60" i="62" l="1"/>
  <c r="S60" i="62" s="1"/>
  <c r="D47" i="25"/>
  <c r="B42" i="25"/>
  <c r="H27" i="25"/>
  <c r="J11" i="25"/>
  <c r="G11" i="25"/>
  <c r="N11" i="25" l="1"/>
  <c r="H47" i="25" s="1"/>
  <c r="S2" i="32"/>
  <c r="J2" i="32"/>
  <c r="E28" i="40" l="1"/>
  <c r="E28" i="62"/>
  <c r="J83" i="40"/>
  <c r="F69" i="62" l="1"/>
  <c r="I8" i="62"/>
  <c r="C32" i="62" s="1"/>
  <c r="K32" i="62" s="1"/>
  <c r="D60" i="62" s="1"/>
  <c r="B44" i="40"/>
  <c r="S131" i="10" l="1"/>
  <c r="K106" i="67" s="1"/>
  <c r="G21" i="12"/>
  <c r="L21" i="12" s="1"/>
  <c r="O91" i="13"/>
  <c r="F91" i="13"/>
  <c r="L106" i="17"/>
  <c r="F106" i="17"/>
  <c r="G25" i="17"/>
  <c r="G54" i="15"/>
  <c r="F70" i="15" s="1"/>
  <c r="G57" i="14"/>
  <c r="F76" i="14" s="1"/>
  <c r="H63" i="14"/>
  <c r="F104" i="17"/>
  <c r="O89" i="13"/>
  <c r="C6" i="16"/>
  <c r="F4" i="17"/>
  <c r="E4" i="18"/>
  <c r="F143" i="15" l="1"/>
  <c r="F139" i="14"/>
  <c r="F141" i="14"/>
  <c r="K25" i="17"/>
  <c r="Q97" i="17" s="1"/>
  <c r="N20" i="13"/>
  <c r="F89" i="13" s="1"/>
  <c r="F107" i="12"/>
  <c r="I75" i="12"/>
  <c r="G73" i="13"/>
  <c r="Q81" i="13"/>
  <c r="H60" i="15"/>
  <c r="G141" i="15" s="1"/>
  <c r="L32" i="17"/>
  <c r="M44" i="12"/>
  <c r="J49" i="12"/>
  <c r="E99" i="17" l="1"/>
  <c r="C52" i="12"/>
  <c r="I52" i="12" s="1"/>
  <c r="H86" i="12"/>
  <c r="M86" i="12" s="1"/>
  <c r="C96" i="12"/>
  <c r="F117" i="10"/>
  <c r="H119" i="67" s="1"/>
  <c r="G54" i="12"/>
  <c r="F75" i="12"/>
  <c r="F81" i="12"/>
  <c r="C75" i="12"/>
  <c r="C54" i="12" l="1"/>
  <c r="J54" i="12"/>
  <c r="P56" i="12"/>
  <c r="S73" i="4"/>
  <c r="N75" i="4"/>
  <c r="N73" i="4"/>
  <c r="S71" i="4"/>
  <c r="K185" i="18" l="1"/>
  <c r="O173" i="18"/>
  <c r="O171" i="18"/>
  <c r="K169" i="18"/>
  <c r="K161" i="18"/>
  <c r="E161" i="18"/>
  <c r="M143" i="18"/>
  <c r="K107" i="18"/>
  <c r="E107" i="18"/>
  <c r="F97" i="18"/>
  <c r="M89" i="18"/>
  <c r="G12" i="18"/>
  <c r="F8" i="18"/>
  <c r="B83" i="40"/>
  <c r="B53" i="32" l="1"/>
  <c r="D40" i="32"/>
  <c r="H30" i="32"/>
  <c r="B36" i="32" s="1"/>
  <c r="N10" i="32"/>
  <c r="I10" i="32"/>
  <c r="O21" i="32" s="1"/>
  <c r="F10" i="32"/>
  <c r="E17" i="32" s="1"/>
  <c r="H17" i="32" s="1"/>
  <c r="B21" i="32" s="1"/>
  <c r="C10" i="32"/>
  <c r="B17" i="32" s="1"/>
  <c r="F98" i="31"/>
  <c r="K74" i="31"/>
  <c r="H55" i="31"/>
  <c r="H46" i="31"/>
  <c r="C46" i="31"/>
  <c r="C55" i="31" s="1"/>
  <c r="I40" i="31"/>
  <c r="C40" i="31"/>
  <c r="I26" i="31"/>
  <c r="C26" i="31"/>
  <c r="O2" i="31"/>
  <c r="C11" i="30"/>
  <c r="C9" i="30"/>
  <c r="F2" i="30"/>
  <c r="F19" i="29"/>
  <c r="F17" i="29"/>
  <c r="F16" i="29"/>
  <c r="F15" i="29"/>
  <c r="F14" i="29"/>
  <c r="F13" i="29"/>
  <c r="A13" i="29"/>
  <c r="A14" i="29" s="1"/>
  <c r="A15" i="29" s="1"/>
  <c r="A16" i="29" s="1"/>
  <c r="F12" i="29"/>
  <c r="F9" i="29"/>
  <c r="F8" i="29"/>
  <c r="F7" i="29"/>
  <c r="F6" i="29"/>
  <c r="F5" i="29"/>
  <c r="F4" i="29"/>
  <c r="F2" i="29"/>
  <c r="F33" i="27"/>
  <c r="F32" i="27"/>
  <c r="F31" i="27"/>
  <c r="F30" i="27"/>
  <c r="F29" i="27"/>
  <c r="F28" i="27"/>
  <c r="F27" i="27"/>
  <c r="F26" i="27"/>
  <c r="F25" i="27"/>
  <c r="F24" i="27"/>
  <c r="F23" i="27"/>
  <c r="F22" i="27"/>
  <c r="F21" i="27"/>
  <c r="F20" i="27"/>
  <c r="F19" i="27"/>
  <c r="F18" i="27"/>
  <c r="F17" i="27"/>
  <c r="F16" i="27"/>
  <c r="F15" i="27"/>
  <c r="F14" i="27"/>
  <c r="F13" i="27"/>
  <c r="F12" i="27"/>
  <c r="F11" i="27"/>
  <c r="F10" i="27"/>
  <c r="F9" i="27"/>
  <c r="F7" i="27"/>
  <c r="F5" i="27"/>
  <c r="F2" i="27"/>
  <c r="F134" i="26"/>
  <c r="F130" i="26"/>
  <c r="D134" i="26" s="1"/>
  <c r="F126" i="26"/>
  <c r="B134" i="26" s="1"/>
  <c r="B126" i="26"/>
  <c r="D122" i="26"/>
  <c r="D130" i="26" s="1"/>
  <c r="B122" i="26"/>
  <c r="F120" i="26"/>
  <c r="D120" i="26"/>
  <c r="B120" i="26"/>
  <c r="D106" i="26"/>
  <c r="F103" i="26"/>
  <c r="B106" i="26" s="1"/>
  <c r="D103" i="26"/>
  <c r="D89" i="26"/>
  <c r="F86" i="26"/>
  <c r="B89" i="26" s="1"/>
  <c r="D86" i="26"/>
  <c r="D72" i="26"/>
  <c r="F69" i="26"/>
  <c r="B72" i="26" s="1"/>
  <c r="D69" i="26"/>
  <c r="D66" i="26"/>
  <c r="F63" i="26"/>
  <c r="B66" i="26" s="1"/>
  <c r="D63" i="26"/>
  <c r="F59" i="26"/>
  <c r="F57" i="26"/>
  <c r="F43" i="26"/>
  <c r="B130" i="26" s="1"/>
  <c r="D43" i="26"/>
  <c r="F37" i="26"/>
  <c r="B63" i="26" s="1"/>
  <c r="E35" i="26"/>
  <c r="F30" i="26"/>
  <c r="G26" i="26"/>
  <c r="B35" i="26" s="1"/>
  <c r="B26" i="26"/>
  <c r="F21" i="26"/>
  <c r="D30" i="26" s="1"/>
  <c r="D21" i="26"/>
  <c r="B21" i="26"/>
  <c r="F12" i="26"/>
  <c r="B12" i="26"/>
  <c r="I2" i="26"/>
  <c r="D17" i="43"/>
  <c r="D15" i="43"/>
  <c r="D19" i="43" s="1"/>
  <c r="H53" i="25"/>
  <c r="D50" i="25"/>
  <c r="K37" i="25"/>
  <c r="K36" i="25"/>
  <c r="H35" i="25"/>
  <c r="K35" i="25" s="1"/>
  <c r="H34" i="25"/>
  <c r="K34" i="25" s="1"/>
  <c r="H33" i="25"/>
  <c r="K33" i="25" s="1"/>
  <c r="H32" i="25"/>
  <c r="K32" i="25" s="1"/>
  <c r="H31" i="25"/>
  <c r="K31" i="25" s="1"/>
  <c r="H30" i="25"/>
  <c r="K30" i="25" s="1"/>
  <c r="H29" i="25"/>
  <c r="K29" i="25" s="1"/>
  <c r="H28" i="25"/>
  <c r="K28" i="25" s="1"/>
  <c r="K27" i="25"/>
  <c r="A17" i="25"/>
  <c r="T2" i="25"/>
  <c r="S53" i="42"/>
  <c r="S52" i="42"/>
  <c r="S51" i="42"/>
  <c r="G50" i="42"/>
  <c r="P52" i="42" s="1"/>
  <c r="C50" i="42"/>
  <c r="G47" i="42"/>
  <c r="F42" i="42"/>
  <c r="J42" i="42" s="1"/>
  <c r="R51" i="42" s="1"/>
  <c r="C40" i="42"/>
  <c r="J36" i="42"/>
  <c r="F38" i="42" s="1"/>
  <c r="K30" i="42"/>
  <c r="G30" i="42"/>
  <c r="H21" i="42"/>
  <c r="N21" i="42" s="1"/>
  <c r="R53" i="42" s="1"/>
  <c r="AF20" i="42"/>
  <c r="W20" i="42"/>
  <c r="AF15" i="42"/>
  <c r="AA20" i="42" s="1"/>
  <c r="AE11" i="42"/>
  <c r="AE6" i="42"/>
  <c r="T2" i="42"/>
  <c r="H49" i="23"/>
  <c r="J46" i="23"/>
  <c r="F46" i="23"/>
  <c r="B46" i="23"/>
  <c r="B32" i="23"/>
  <c r="H32" i="23" s="1"/>
  <c r="F37" i="23" s="1"/>
  <c r="S2" i="23"/>
  <c r="B80" i="40"/>
  <c r="F76" i="40"/>
  <c r="F58" i="40"/>
  <c r="G49" i="40"/>
  <c r="N49" i="40" s="1"/>
  <c r="C42" i="40"/>
  <c r="J36" i="40"/>
  <c r="J34" i="40"/>
  <c r="J38" i="40" s="1"/>
  <c r="F40" i="40" s="1"/>
  <c r="G32" i="40"/>
  <c r="AF21" i="40"/>
  <c r="W21" i="40"/>
  <c r="AF13" i="40"/>
  <c r="AA21" i="40" s="1"/>
  <c r="AE8" i="40"/>
  <c r="T2" i="40"/>
  <c r="G55" i="22"/>
  <c r="S54" i="22"/>
  <c r="S53" i="22"/>
  <c r="S52" i="22"/>
  <c r="C51" i="22"/>
  <c r="G51" i="22" s="1"/>
  <c r="G48" i="22"/>
  <c r="F43" i="22"/>
  <c r="J43" i="22" s="1"/>
  <c r="R52" i="22" s="1"/>
  <c r="C41" i="22"/>
  <c r="J35" i="22"/>
  <c r="J37" i="22"/>
  <c r="F39" i="22" s="1"/>
  <c r="G30" i="22"/>
  <c r="N21" i="22"/>
  <c r="R54" i="22" s="1"/>
  <c r="AF20" i="22"/>
  <c r="W20" i="22"/>
  <c r="AF15" i="22"/>
  <c r="AA20" i="22" s="1"/>
  <c r="AE11" i="22"/>
  <c r="AE6" i="22"/>
  <c r="T2" i="22"/>
  <c r="J48" i="21"/>
  <c r="F48" i="21"/>
  <c r="B48" i="21"/>
  <c r="B39" i="21"/>
  <c r="H39" i="21" s="1"/>
  <c r="H43" i="21" s="1"/>
  <c r="S2" i="21"/>
  <c r="K190" i="20"/>
  <c r="L187" i="20"/>
  <c r="H187" i="20"/>
  <c r="F187" i="20"/>
  <c r="L186" i="20"/>
  <c r="H186" i="20"/>
  <c r="F186" i="20"/>
  <c r="L185" i="20"/>
  <c r="H185" i="20"/>
  <c r="J185" i="20" s="1"/>
  <c r="F185" i="20"/>
  <c r="L184" i="20"/>
  <c r="H184" i="20"/>
  <c r="F184" i="20"/>
  <c r="L183" i="20"/>
  <c r="H183" i="20"/>
  <c r="F183" i="20"/>
  <c r="N182" i="20"/>
  <c r="O182" i="20" s="1"/>
  <c r="L182" i="20"/>
  <c r="H182" i="20"/>
  <c r="F182" i="20"/>
  <c r="B165" i="20"/>
  <c r="B157" i="20"/>
  <c r="B145" i="20"/>
  <c r="B153" i="20" s="1"/>
  <c r="B133" i="20"/>
  <c r="B141" i="20" s="1"/>
  <c r="B121" i="20"/>
  <c r="B109" i="20"/>
  <c r="B117" i="20" s="1"/>
  <c r="E76" i="20"/>
  <c r="B71" i="20"/>
  <c r="F71" i="20" s="1"/>
  <c r="E91" i="20" s="1"/>
  <c r="J67" i="20"/>
  <c r="R63" i="20"/>
  <c r="R61" i="20"/>
  <c r="R59" i="20"/>
  <c r="R57" i="20"/>
  <c r="R55" i="20"/>
  <c r="R53" i="20"/>
  <c r="N46" i="20"/>
  <c r="F63" i="20" s="1"/>
  <c r="J46" i="20"/>
  <c r="G46" i="20"/>
  <c r="D46" i="20"/>
  <c r="N44" i="20"/>
  <c r="F61" i="20" s="1"/>
  <c r="J44" i="20"/>
  <c r="G44" i="20"/>
  <c r="D44" i="20"/>
  <c r="N42" i="20"/>
  <c r="F59" i="20" s="1"/>
  <c r="J42" i="20"/>
  <c r="G42" i="20"/>
  <c r="D42" i="20"/>
  <c r="N40" i="20"/>
  <c r="F57" i="20" s="1"/>
  <c r="J40" i="20"/>
  <c r="G40" i="20"/>
  <c r="D40" i="20"/>
  <c r="N38" i="20"/>
  <c r="F55" i="20" s="1"/>
  <c r="J38" i="20"/>
  <c r="G38" i="20"/>
  <c r="D38" i="20"/>
  <c r="N36" i="20"/>
  <c r="F53" i="20" s="1"/>
  <c r="J36" i="20"/>
  <c r="G36" i="20"/>
  <c r="D36" i="20"/>
  <c r="B28" i="20"/>
  <c r="O19" i="20"/>
  <c r="L19" i="20"/>
  <c r="R19" i="20" s="1"/>
  <c r="E28" i="20" s="1"/>
  <c r="H28" i="20" s="1"/>
  <c r="R2" i="20"/>
  <c r="B91" i="19"/>
  <c r="L86" i="19"/>
  <c r="H91" i="19" s="1"/>
  <c r="E72" i="19"/>
  <c r="B72" i="19"/>
  <c r="G64" i="19"/>
  <c r="K25" i="19"/>
  <c r="G19" i="19"/>
  <c r="E91" i="19" s="1"/>
  <c r="J80" i="19"/>
  <c r="F84" i="19" s="1"/>
  <c r="R2" i="19"/>
  <c r="K293" i="18"/>
  <c r="B293" i="18"/>
  <c r="Q289" i="18"/>
  <c r="H287" i="18"/>
  <c r="K289" i="18" s="1"/>
  <c r="S283" i="18"/>
  <c r="E287" i="18" s="1"/>
  <c r="P283" i="18"/>
  <c r="O281" i="18"/>
  <c r="O279" i="18"/>
  <c r="I281" i="18" s="1"/>
  <c r="K277" i="18"/>
  <c r="L279" i="18" s="1"/>
  <c r="H277" i="18"/>
  <c r="E277" i="18"/>
  <c r="R273" i="18"/>
  <c r="H293" i="18" s="1"/>
  <c r="L273" i="18"/>
  <c r="Q269" i="18"/>
  <c r="K269" i="18"/>
  <c r="H269" i="18"/>
  <c r="E269" i="18"/>
  <c r="M265" i="18"/>
  <c r="S261" i="18"/>
  <c r="F265" i="18" s="1"/>
  <c r="P261" i="18"/>
  <c r="L259" i="18"/>
  <c r="B287" i="18" s="1"/>
  <c r="F259" i="18"/>
  <c r="S255" i="18"/>
  <c r="C259" i="18" s="1"/>
  <c r="P255" i="18"/>
  <c r="R253" i="18"/>
  <c r="J265" i="18" s="1"/>
  <c r="S251" i="18"/>
  <c r="O253" i="18" s="1"/>
  <c r="M251" i="18"/>
  <c r="S247" i="18"/>
  <c r="L253" i="18" s="1"/>
  <c r="M247" i="18"/>
  <c r="K239" i="18"/>
  <c r="B239" i="18"/>
  <c r="Q235" i="18"/>
  <c r="H233" i="18"/>
  <c r="K235" i="18" s="1"/>
  <c r="S229" i="18"/>
  <c r="E233" i="18" s="1"/>
  <c r="P229" i="18"/>
  <c r="O227" i="18"/>
  <c r="O225" i="18"/>
  <c r="I227" i="18" s="1"/>
  <c r="K223" i="18"/>
  <c r="L225" i="18" s="1"/>
  <c r="H223" i="18"/>
  <c r="E223" i="18"/>
  <c r="R219" i="18"/>
  <c r="H239" i="18" s="1"/>
  <c r="L219" i="18"/>
  <c r="Q215" i="18"/>
  <c r="K215" i="18"/>
  <c r="H215" i="18"/>
  <c r="E215" i="18"/>
  <c r="M211" i="18"/>
  <c r="S207" i="18"/>
  <c r="F211" i="18" s="1"/>
  <c r="P207" i="18"/>
  <c r="L205" i="18"/>
  <c r="O219" i="18" s="1"/>
  <c r="F205" i="18"/>
  <c r="S201" i="18"/>
  <c r="C205" i="18" s="1"/>
  <c r="P201" i="18"/>
  <c r="R199" i="18"/>
  <c r="J211" i="18" s="1"/>
  <c r="S197" i="18"/>
  <c r="O199" i="18" s="1"/>
  <c r="M197" i="18"/>
  <c r="S193" i="18"/>
  <c r="L199" i="18" s="1"/>
  <c r="M193" i="18"/>
  <c r="B185" i="18"/>
  <c r="H169" i="18"/>
  <c r="E169" i="18"/>
  <c r="L165" i="18"/>
  <c r="H161" i="18"/>
  <c r="P153" i="18"/>
  <c r="F151" i="18"/>
  <c r="P147" i="18"/>
  <c r="S143" i="18"/>
  <c r="P145" i="18" s="1"/>
  <c r="M139" i="18"/>
  <c r="S139" i="18" s="1"/>
  <c r="M145" i="18" s="1"/>
  <c r="S145" i="18" s="1"/>
  <c r="J157" i="18" s="1"/>
  <c r="B131" i="18"/>
  <c r="P121" i="18"/>
  <c r="H115" i="18"/>
  <c r="E115" i="18"/>
  <c r="L111" i="18"/>
  <c r="H107" i="18"/>
  <c r="P99" i="18"/>
  <c r="P93" i="18"/>
  <c r="S89" i="18"/>
  <c r="P91" i="18" s="1"/>
  <c r="M85" i="18"/>
  <c r="S85" i="18" s="1"/>
  <c r="M91" i="18" s="1"/>
  <c r="J45" i="18"/>
  <c r="F45" i="18"/>
  <c r="E39" i="18"/>
  <c r="O33" i="18"/>
  <c r="U2" i="18"/>
  <c r="F117" i="17"/>
  <c r="E59" i="17"/>
  <c r="D45" i="17"/>
  <c r="D37" i="17"/>
  <c r="G37" i="17"/>
  <c r="N2" i="17"/>
  <c r="M34" i="16"/>
  <c r="K21" i="16"/>
  <c r="Q6" i="16"/>
  <c r="R3" i="16"/>
  <c r="O102" i="15"/>
  <c r="J98" i="15"/>
  <c r="H96" i="15"/>
  <c r="K90" i="15"/>
  <c r="H88" i="15"/>
  <c r="H79" i="15"/>
  <c r="H77" i="15"/>
  <c r="O52" i="15"/>
  <c r="K50" i="15"/>
  <c r="G46" i="15"/>
  <c r="D46" i="15"/>
  <c r="G39" i="15"/>
  <c r="D37" i="15"/>
  <c r="H26" i="15"/>
  <c r="G37" i="15" s="1"/>
  <c r="S2" i="15"/>
  <c r="O99" i="14"/>
  <c r="F97" i="14"/>
  <c r="F91" i="14"/>
  <c r="F82" i="14"/>
  <c r="N54" i="14"/>
  <c r="G41" i="14"/>
  <c r="D39" i="14"/>
  <c r="H28" i="14"/>
  <c r="G39" i="14" s="1"/>
  <c r="P2" i="14"/>
  <c r="M2" i="14"/>
  <c r="J41" i="13"/>
  <c r="D43" i="13" s="1"/>
  <c r="J33" i="13"/>
  <c r="G29" i="13"/>
  <c r="Q2" i="13"/>
  <c r="J67" i="12"/>
  <c r="J62" i="12"/>
  <c r="J44" i="12"/>
  <c r="L37" i="12"/>
  <c r="J47" i="12"/>
  <c r="Q2" i="12"/>
  <c r="T2" i="11"/>
  <c r="S191" i="10"/>
  <c r="P129" i="10"/>
  <c r="K96" i="10"/>
  <c r="AC77" i="10"/>
  <c r="O75" i="10"/>
  <c r="O73" i="10"/>
  <c r="I73" i="10"/>
  <c r="E73" i="10"/>
  <c r="I69" i="10"/>
  <c r="I67" i="10"/>
  <c r="I52" i="10"/>
  <c r="P50" i="10"/>
  <c r="L50" i="10"/>
  <c r="I35" i="10"/>
  <c r="S13" i="10"/>
  <c r="M13" i="10"/>
  <c r="S11" i="10"/>
  <c r="S7" i="10"/>
  <c r="G7" i="10"/>
  <c r="G5" i="10"/>
  <c r="F2" i="26"/>
  <c r="G3" i="10"/>
  <c r="S1" i="10"/>
  <c r="A94" i="9"/>
  <c r="A95" i="9" s="1"/>
  <c r="I75" i="9"/>
  <c r="H75" i="9"/>
  <c r="H74" i="9"/>
  <c r="I74" i="9" s="1"/>
  <c r="I73" i="9"/>
  <c r="I72" i="9"/>
  <c r="I71" i="9"/>
  <c r="A68" i="9"/>
  <c r="A69" i="9" s="1"/>
  <c r="M52" i="9"/>
  <c r="E52" i="9"/>
  <c r="Q26" i="9"/>
  <c r="P26" i="9"/>
  <c r="O26" i="9"/>
  <c r="J26" i="9"/>
  <c r="Q25" i="9"/>
  <c r="Q24" i="9"/>
  <c r="Q23" i="9"/>
  <c r="Q22" i="9"/>
  <c r="Q21" i="9"/>
  <c r="Q20" i="9"/>
  <c r="G20" i="9"/>
  <c r="D4" i="9"/>
  <c r="M2" i="9"/>
  <c r="I2" i="9"/>
  <c r="F2" i="9"/>
  <c r="T2" i="8"/>
  <c r="M2" i="8"/>
  <c r="E5" i="5"/>
  <c r="S3" i="5"/>
  <c r="G3" i="5"/>
  <c r="S1" i="5"/>
  <c r="T1" i="4"/>
  <c r="B1" i="1"/>
  <c r="D160" i="10" l="1"/>
  <c r="F149" i="10"/>
  <c r="AE88" i="10"/>
  <c r="AC91" i="10"/>
  <c r="AC92" i="10"/>
  <c r="F36" i="43"/>
  <c r="AC88" i="10"/>
  <c r="O53" i="20"/>
  <c r="E85" i="20" s="1"/>
  <c r="J187" i="20"/>
  <c r="J186" i="20"/>
  <c r="J184" i="20"/>
  <c r="J183" i="20"/>
  <c r="J182" i="20"/>
  <c r="K188" i="20" s="1"/>
  <c r="K189" i="20" s="1"/>
  <c r="O63" i="20"/>
  <c r="E161" i="20" s="1"/>
  <c r="O55" i="20"/>
  <c r="E113" i="20" s="1"/>
  <c r="O57" i="20"/>
  <c r="E125" i="20" s="1"/>
  <c r="O59" i="20"/>
  <c r="E137" i="20" s="1"/>
  <c r="O61" i="20"/>
  <c r="E149" i="20" s="1"/>
  <c r="B129" i="20"/>
  <c r="S149" i="10"/>
  <c r="S165" i="10"/>
  <c r="D36" i="32"/>
  <c r="G36" i="32" s="1"/>
  <c r="B40" i="32" s="1"/>
  <c r="G40" i="32" s="1"/>
  <c r="E53" i="32" s="1"/>
  <c r="H53" i="32" s="1"/>
  <c r="B57" i="32" s="1"/>
  <c r="Q107" i="12"/>
  <c r="S73" i="13"/>
  <c r="D21" i="43"/>
  <c r="E13" i="43"/>
  <c r="E21" i="32"/>
  <c r="H21" i="32" s="1"/>
  <c r="B47" i="32" s="1"/>
  <c r="H47" i="32" s="1"/>
  <c r="E57" i="32" s="1"/>
  <c r="L99" i="17"/>
  <c r="I70" i="9"/>
  <c r="Q25" i="42"/>
  <c r="Q23" i="42"/>
  <c r="L21" i="32"/>
  <c r="R21" i="32" s="1"/>
  <c r="N17" i="32"/>
  <c r="H38" i="11"/>
  <c r="H4" i="67"/>
  <c r="H39" i="67" s="1"/>
  <c r="P53" i="22"/>
  <c r="AU60" i="22"/>
  <c r="G25" i="19"/>
  <c r="O25" i="19" s="1"/>
  <c r="H29" i="19" s="1"/>
  <c r="M29" i="19" s="1"/>
  <c r="B76" i="20"/>
  <c r="H76" i="20" s="1"/>
  <c r="B81" i="20" s="1"/>
  <c r="G81" i="20" s="1"/>
  <c r="B85" i="20" s="1"/>
  <c r="H4" i="11"/>
  <c r="H72" i="19"/>
  <c r="B76" i="19" s="1"/>
  <c r="H24" i="40"/>
  <c r="M24" i="40" s="1"/>
  <c r="L91" i="19"/>
  <c r="B95" i="19" s="1"/>
  <c r="G95" i="19" s="1"/>
  <c r="K101" i="19" s="1"/>
  <c r="F8" i="27"/>
  <c r="F6" i="27"/>
  <c r="K39" i="25"/>
  <c r="E42" i="25" s="1"/>
  <c r="H42" i="25" s="1"/>
  <c r="M47" i="25" s="1"/>
  <c r="P47" i="25" s="1"/>
  <c r="J80" i="40"/>
  <c r="K37" i="15"/>
  <c r="J46" i="15"/>
  <c r="L117" i="10"/>
  <c r="M122" i="67" s="1"/>
  <c r="Q122" i="67" s="1"/>
  <c r="S115" i="10"/>
  <c r="L119" i="67" s="1"/>
  <c r="L115" i="10"/>
  <c r="J37" i="17"/>
  <c r="K39" i="14"/>
  <c r="J48" i="14"/>
  <c r="C52" i="42"/>
  <c r="D126" i="26"/>
  <c r="L171" i="18"/>
  <c r="I173" i="18" s="1"/>
  <c r="S91" i="18"/>
  <c r="J103" i="18" s="1"/>
  <c r="C39" i="22"/>
  <c r="J39" i="22" s="1"/>
  <c r="F41" i="22" s="1"/>
  <c r="I41" i="22" s="1"/>
  <c r="C48" i="22" s="1"/>
  <c r="C38" i="42"/>
  <c r="J38" i="42" s="1"/>
  <c r="F40" i="42" s="1"/>
  <c r="I40" i="42" s="1"/>
  <c r="C47" i="42" s="1"/>
  <c r="C40" i="40"/>
  <c r="J40" i="40" s="1"/>
  <c r="E7" i="43"/>
  <c r="F7" i="43" s="1"/>
  <c r="E10" i="43"/>
  <c r="B86" i="26"/>
  <c r="B43" i="26"/>
  <c r="B30" i="26"/>
  <c r="B69" i="26"/>
  <c r="E8" i="43"/>
  <c r="E12" i="43"/>
  <c r="E11" i="43"/>
  <c r="B103" i="26"/>
  <c r="E9" i="43"/>
  <c r="N24" i="18"/>
  <c r="H6" i="14"/>
  <c r="S119" i="10"/>
  <c r="M4" i="17"/>
  <c r="F125" i="10"/>
  <c r="R134" i="67" s="1"/>
  <c r="H8" i="15"/>
  <c r="E68" i="15" s="1"/>
  <c r="B233" i="18"/>
  <c r="N71" i="10"/>
  <c r="C53" i="22"/>
  <c r="H59" i="17"/>
  <c r="K59" i="17" s="1"/>
  <c r="L145" i="10" s="1"/>
  <c r="G45" i="17"/>
  <c r="J45" i="17" s="1"/>
  <c r="F151" i="10"/>
  <c r="L160" i="10"/>
  <c r="F161" i="10"/>
  <c r="N161" i="10"/>
  <c r="F162" i="10"/>
  <c r="N162" i="10"/>
  <c r="H163" i="10"/>
  <c r="P163" i="10"/>
  <c r="J164" i="10"/>
  <c r="D165" i="10"/>
  <c r="L165" i="10"/>
  <c r="M151" i="10"/>
  <c r="F160" i="10"/>
  <c r="N160" i="10"/>
  <c r="H161" i="10"/>
  <c r="P161" i="10"/>
  <c r="H162" i="10"/>
  <c r="P162" i="10"/>
  <c r="J163" i="10"/>
  <c r="D164" i="10"/>
  <c r="L164" i="10"/>
  <c r="F165" i="10"/>
  <c r="N165" i="10"/>
  <c r="L149" i="10"/>
  <c r="H160" i="10"/>
  <c r="P160" i="10"/>
  <c r="J161" i="10"/>
  <c r="S159" i="10"/>
  <c r="J162" i="10"/>
  <c r="D163" i="10"/>
  <c r="L163" i="10"/>
  <c r="F164" i="10"/>
  <c r="N164" i="10"/>
  <c r="H165" i="10"/>
  <c r="P165" i="10"/>
  <c r="J160" i="10"/>
  <c r="D161" i="10"/>
  <c r="L161" i="10"/>
  <c r="D162" i="10"/>
  <c r="L162" i="10"/>
  <c r="F163" i="10"/>
  <c r="N163" i="10"/>
  <c r="H164" i="10"/>
  <c r="P164" i="10"/>
  <c r="J165" i="10"/>
  <c r="B277" i="18"/>
  <c r="B169" i="18"/>
  <c r="B115" i="18"/>
  <c r="K115" i="18" s="1"/>
  <c r="B223" i="18"/>
  <c r="B28" i="18"/>
  <c r="H4" i="12"/>
  <c r="G47" i="12" s="1"/>
  <c r="N47" i="12" s="1"/>
  <c r="H8" i="13"/>
  <c r="H4" i="14"/>
  <c r="D28" i="14" s="1"/>
  <c r="L28" i="14" s="1"/>
  <c r="H35" i="14" s="1"/>
  <c r="D41" i="14" s="1"/>
  <c r="H6" i="15"/>
  <c r="J14" i="16"/>
  <c r="O273" i="18"/>
  <c r="H8" i="12"/>
  <c r="F12" i="12" s="1"/>
  <c r="H8" i="14"/>
  <c r="E73" i="14" s="1"/>
  <c r="H10" i="15"/>
  <c r="L6" i="16"/>
  <c r="F6" i="17"/>
  <c r="S143" i="10"/>
  <c r="H4" i="13"/>
  <c r="C11" i="13" s="1"/>
  <c r="F119" i="10"/>
  <c r="L123" i="10"/>
  <c r="S125" i="10"/>
  <c r="H134" i="67" s="1"/>
  <c r="H135" i="67" s="1"/>
  <c r="H136" i="67" s="1"/>
  <c r="H137" i="67" s="1"/>
  <c r="H10" i="14"/>
  <c r="H4" i="15"/>
  <c r="D26" i="15" s="1"/>
  <c r="L26" i="15" s="1"/>
  <c r="H33" i="15" s="1"/>
  <c r="D39" i="15" s="1"/>
  <c r="E239" i="18"/>
  <c r="E185" i="18"/>
  <c r="E25" i="22"/>
  <c r="L227" i="18"/>
  <c r="N235" i="18"/>
  <c r="L281" i="18"/>
  <c r="E293" i="18"/>
  <c r="I4" i="22"/>
  <c r="I6" i="40"/>
  <c r="C30" i="42"/>
  <c r="L153" i="10"/>
  <c r="J24" i="18"/>
  <c r="R24" i="18" s="1"/>
  <c r="L33" i="18" s="1"/>
  <c r="R33" i="18" s="1"/>
  <c r="B39" i="18" s="1"/>
  <c r="N289" i="18"/>
  <c r="J2" i="12"/>
  <c r="P69" i="12" s="1"/>
  <c r="K2" i="15"/>
  <c r="K3" i="16"/>
  <c r="L110" i="17"/>
  <c r="J2" i="13"/>
  <c r="K2" i="14"/>
  <c r="K2" i="17"/>
  <c r="K2" i="20"/>
  <c r="K2" i="21"/>
  <c r="N2" i="22"/>
  <c r="K2" i="25"/>
  <c r="K2" i="18"/>
  <c r="K2" i="19"/>
  <c r="N2" i="40"/>
  <c r="K2" i="23"/>
  <c r="N2" i="42"/>
  <c r="N54" i="19" l="1"/>
  <c r="P54" i="19" s="1"/>
  <c r="H107" i="67"/>
  <c r="F11" i="13"/>
  <c r="J11" i="13" s="1"/>
  <c r="C29" i="13" s="1"/>
  <c r="J37" i="13"/>
  <c r="O37" i="13" s="1"/>
  <c r="G106" i="10" s="1" a="1"/>
  <c r="G106" i="10" s="1"/>
  <c r="F14" i="18" s="1"/>
  <c r="H85" i="20"/>
  <c r="B172" i="20" s="1"/>
  <c r="S151" i="10"/>
  <c r="K23" i="22"/>
  <c r="Q23" i="22" s="1"/>
  <c r="C30" i="22"/>
  <c r="K30" i="22" s="1"/>
  <c r="K25" i="22"/>
  <c r="Q25" i="22" s="1"/>
  <c r="F8" i="43"/>
  <c r="F9" i="43" s="1"/>
  <c r="F10" i="43" s="1"/>
  <c r="F11" i="43" s="1"/>
  <c r="J39" i="15"/>
  <c r="J100" i="15" s="1"/>
  <c r="J113" i="15" s="1"/>
  <c r="F131" i="10" s="1"/>
  <c r="J41" i="14"/>
  <c r="F94" i="14" s="1"/>
  <c r="Q103" i="12"/>
  <c r="Q99" i="12" s="1"/>
  <c r="E44" i="40"/>
  <c r="F32" i="43"/>
  <c r="L119" i="10"/>
  <c r="G56" i="12"/>
  <c r="R52" i="42"/>
  <c r="K47" i="42"/>
  <c r="G52" i="42" s="1"/>
  <c r="J52" i="42" s="1"/>
  <c r="B64" i="19"/>
  <c r="M64" i="19" s="1"/>
  <c r="B84" i="19" s="1"/>
  <c r="L84" i="19" s="1"/>
  <c r="D54" i="19"/>
  <c r="K26" i="40"/>
  <c r="Q26" i="40" s="1"/>
  <c r="F133" i="10"/>
  <c r="K107" i="67" s="1"/>
  <c r="C85" i="14"/>
  <c r="K48" i="22"/>
  <c r="G53" i="22" s="1"/>
  <c r="J53" i="22" s="1"/>
  <c r="R53" i="22"/>
  <c r="H68" i="15"/>
  <c r="C70" i="15" s="1"/>
  <c r="O70" i="15" s="1"/>
  <c r="H81" i="15" s="1"/>
  <c r="H73" i="14"/>
  <c r="C76" i="14" s="1"/>
  <c r="R81" i="40"/>
  <c r="B76" i="40"/>
  <c r="J76" i="40" s="1"/>
  <c r="O81" i="40" s="1"/>
  <c r="I8" i="40"/>
  <c r="C32" i="40" s="1"/>
  <c r="K32" i="40" s="1"/>
  <c r="D61" i="40" s="1"/>
  <c r="F70" i="40"/>
  <c r="F42" i="40"/>
  <c r="I42" i="40" s="1"/>
  <c r="Q66" i="40"/>
  <c r="E67" i="40" s="1"/>
  <c r="E68" i="40" s="1"/>
  <c r="J68" i="40" s="1"/>
  <c r="S137" i="10"/>
  <c r="H50" i="25"/>
  <c r="F83" i="40"/>
  <c r="M83" i="40" s="1"/>
  <c r="H44" i="40" s="1"/>
  <c r="K44" i="40" s="1"/>
  <c r="R78" i="40" s="1"/>
  <c r="O77" i="40"/>
  <c r="K28" i="40"/>
  <c r="Q28" i="40" s="1"/>
  <c r="C97" i="14"/>
  <c r="K97" i="14" s="1"/>
  <c r="C12" i="12"/>
  <c r="J12" i="12" s="1"/>
  <c r="G19" i="12" s="1"/>
  <c r="F115" i="10" s="1"/>
  <c r="R119" i="67" s="1"/>
  <c r="D52" i="14"/>
  <c r="L52" i="14" s="1"/>
  <c r="E131" i="18"/>
  <c r="L117" i="18"/>
  <c r="O117" i="18" s="1"/>
  <c r="I119" i="18" s="1"/>
  <c r="H39" i="18"/>
  <c r="C45" i="18" s="1"/>
  <c r="M45" i="18" s="1"/>
  <c r="B269" i="18" s="1"/>
  <c r="I28" i="18"/>
  <c r="I63" i="17"/>
  <c r="C63" i="17"/>
  <c r="G10" i="17"/>
  <c r="F12" i="17"/>
  <c r="C8" i="17"/>
  <c r="G8" i="17"/>
  <c r="H50" i="15"/>
  <c r="N50" i="15" s="1"/>
  <c r="K79" i="15"/>
  <c r="O79" i="15" s="1"/>
  <c r="C10" i="17"/>
  <c r="C12" i="17"/>
  <c r="AA83" i="10" l="1"/>
  <c r="L35" i="12"/>
  <c r="L34" i="12"/>
  <c r="L33" i="12"/>
  <c r="C32" i="12"/>
  <c r="L32" i="12" s="1"/>
  <c r="R79" i="40"/>
  <c r="K18" i="16"/>
  <c r="B91" i="20"/>
  <c r="G91" i="20" s="1"/>
  <c r="E109" i="20"/>
  <c r="I109" i="20" s="1"/>
  <c r="E157" i="20"/>
  <c r="I157" i="20" s="1"/>
  <c r="E121" i="20"/>
  <c r="I121" i="20" s="1"/>
  <c r="E133" i="20"/>
  <c r="I133" i="20" s="1"/>
  <c r="E145" i="20"/>
  <c r="I145" i="20" s="1"/>
  <c r="S153" i="10"/>
  <c r="F153" i="10"/>
  <c r="F12" i="43"/>
  <c r="J29" i="13"/>
  <c r="M28" i="16"/>
  <c r="M31" i="16" s="1"/>
  <c r="L131" i="10"/>
  <c r="I6" i="16"/>
  <c r="P6" i="16" s="1"/>
  <c r="K8" i="16" s="1"/>
  <c r="P8" i="16" s="1"/>
  <c r="K10" i="16" s="1"/>
  <c r="P10" i="16" s="1"/>
  <c r="S69" i="13"/>
  <c r="P49" i="42"/>
  <c r="P51" i="42"/>
  <c r="J54" i="42"/>
  <c r="E76" i="19"/>
  <c r="H76" i="19" s="1"/>
  <c r="E27" i="23"/>
  <c r="B37" i="23" s="1"/>
  <c r="J37" i="23" s="1"/>
  <c r="M46" i="23" s="1"/>
  <c r="P46" i="23" s="1"/>
  <c r="O49" i="23" s="1"/>
  <c r="S71" i="10" s="1"/>
  <c r="K81" i="15"/>
  <c r="N81" i="15" s="1"/>
  <c r="W8" i="16"/>
  <c r="X8" i="16"/>
  <c r="L133" i="10"/>
  <c r="F106" i="67" s="1"/>
  <c r="P50" i="22"/>
  <c r="B58" i="40"/>
  <c r="J58" i="40" s="1"/>
  <c r="L61" i="40" s="1"/>
  <c r="I70" i="40"/>
  <c r="L70" i="40" s="1"/>
  <c r="P68" i="40"/>
  <c r="Q68" i="40"/>
  <c r="R68" i="40" s="1"/>
  <c r="K50" i="25"/>
  <c r="N53" i="25" s="1"/>
  <c r="R76" i="40"/>
  <c r="H61" i="40"/>
  <c r="K77" i="15"/>
  <c r="N77" i="15" s="1"/>
  <c r="G98" i="15" s="1"/>
  <c r="F28" i="16"/>
  <c r="K12" i="17"/>
  <c r="K18" i="17" s="1"/>
  <c r="K10" i="17"/>
  <c r="H18" i="16"/>
  <c r="H21" i="16"/>
  <c r="M153" i="18"/>
  <c r="S153" i="18" s="1"/>
  <c r="M255" i="18"/>
  <c r="N47" i="18"/>
  <c r="Q47" i="18" s="1"/>
  <c r="B161" i="18"/>
  <c r="Q161" i="18" s="1"/>
  <c r="B107" i="18"/>
  <c r="Q107" i="18" s="1"/>
  <c r="M261" i="18"/>
  <c r="B215" i="18"/>
  <c r="M147" i="18"/>
  <c r="S147" i="18" s="1"/>
  <c r="C151" i="18" s="1"/>
  <c r="L151" i="18" s="1"/>
  <c r="M201" i="18"/>
  <c r="M99" i="18"/>
  <c r="S99" i="18" s="1"/>
  <c r="M93" i="18"/>
  <c r="S93" i="18" s="1"/>
  <c r="C97" i="18" s="1"/>
  <c r="L97" i="18" s="1"/>
  <c r="M207" i="18"/>
  <c r="K8" i="17"/>
  <c r="P52" i="22"/>
  <c r="C55" i="22"/>
  <c r="J55" i="22" s="1"/>
  <c r="J31" i="16"/>
  <c r="H90" i="15"/>
  <c r="N90" i="15" s="1"/>
  <c r="N106" i="67" l="1"/>
  <c r="N107" i="67"/>
  <c r="C114" i="17"/>
  <c r="R58" i="40"/>
  <c r="S58" i="40" s="1"/>
  <c r="Q58" i="40"/>
  <c r="M14" i="16"/>
  <c r="K111" i="14"/>
  <c r="R86" i="13"/>
  <c r="F123" i="10" s="1"/>
  <c r="F33" i="13"/>
  <c r="M33" i="13" s="1"/>
  <c r="H56" i="13" s="1"/>
  <c r="J43" i="13"/>
  <c r="N43" i="13" s="1"/>
  <c r="G46" i="13" s="1"/>
  <c r="L46" i="13" s="1"/>
  <c r="B149" i="20"/>
  <c r="J172" i="20"/>
  <c r="B137" i="20"/>
  <c r="H172" i="20"/>
  <c r="F172" i="20"/>
  <c r="B125" i="20"/>
  <c r="B161" i="20"/>
  <c r="L172" i="20"/>
  <c r="D172" i="20"/>
  <c r="B113" i="20"/>
  <c r="F13" i="43"/>
  <c r="F23" i="43" s="1"/>
  <c r="F26" i="43" s="1"/>
  <c r="F30" i="43" s="1"/>
  <c r="F34" i="43" s="1"/>
  <c r="P28" i="16"/>
  <c r="D37" i="16" s="1"/>
  <c r="O76" i="14"/>
  <c r="C79" i="14" s="1"/>
  <c r="I79" i="14" s="1"/>
  <c r="F88" i="14" s="1"/>
  <c r="M49" i="16"/>
  <c r="F57" i="42"/>
  <c r="M57" i="42" s="1"/>
  <c r="R50" i="42" s="1"/>
  <c r="P50" i="42"/>
  <c r="P51" i="22"/>
  <c r="F58" i="22"/>
  <c r="M58" i="22" s="1"/>
  <c r="R51" i="22" s="1"/>
  <c r="G14" i="16"/>
  <c r="P70" i="40"/>
  <c r="Q61" i="40"/>
  <c r="F31" i="16"/>
  <c r="P31" i="16" s="1"/>
  <c r="G37" i="16" s="1"/>
  <c r="V44" i="16"/>
  <c r="K96" i="15"/>
  <c r="N96" i="15" s="1"/>
  <c r="G100" i="15" s="1"/>
  <c r="K88" i="15"/>
  <c r="N88" i="15" s="1"/>
  <c r="K92" i="15" s="1"/>
  <c r="F34" i="16"/>
  <c r="P34" i="16" s="1"/>
  <c r="J37" i="16" s="1"/>
  <c r="S141" i="10"/>
  <c r="K114" i="67" s="1"/>
  <c r="O111" i="18"/>
  <c r="R111" i="18" s="1"/>
  <c r="B125" i="18"/>
  <c r="F103" i="18"/>
  <c r="M103" i="18"/>
  <c r="M229" i="18"/>
  <c r="M283" i="18"/>
  <c r="K175" i="18"/>
  <c r="O175" i="18" s="1"/>
  <c r="E179" i="18" s="1"/>
  <c r="M121" i="18"/>
  <c r="S121" i="18" s="1"/>
  <c r="E125" i="18" s="1"/>
  <c r="O165" i="18"/>
  <c r="R165" i="18" s="1"/>
  <c r="B179" i="18"/>
  <c r="F157" i="18"/>
  <c r="M157" i="18"/>
  <c r="F52" i="17"/>
  <c r="K52" i="17" s="1"/>
  <c r="I114" i="17"/>
  <c r="D47" i="17"/>
  <c r="J47" i="17" s="1"/>
  <c r="L49" i="17" s="1"/>
  <c r="K54" i="17" s="1"/>
  <c r="G39" i="17"/>
  <c r="L39" i="17" s="1"/>
  <c r="K41" i="17" s="1"/>
  <c r="P14" i="16" l="1"/>
  <c r="L24" i="16" s="1"/>
  <c r="H161" i="20"/>
  <c r="G165" i="20" s="1"/>
  <c r="M165" i="20" s="1"/>
  <c r="H125" i="20"/>
  <c r="G129" i="20" s="1"/>
  <c r="M129" i="20" s="1"/>
  <c r="H137" i="20"/>
  <c r="G141" i="20" s="1"/>
  <c r="M141" i="20" s="1"/>
  <c r="H113" i="20"/>
  <c r="G117" i="20" s="1"/>
  <c r="M117" i="20" s="1"/>
  <c r="H149" i="20"/>
  <c r="G153" i="20" s="1"/>
  <c r="M153" i="20" s="1"/>
  <c r="N172" i="20"/>
  <c r="K8" i="21" s="1"/>
  <c r="E34" i="21" s="1"/>
  <c r="B43" i="21" s="1"/>
  <c r="N43" i="21" s="1"/>
  <c r="M48" i="21" s="1"/>
  <c r="P48" i="21" s="1"/>
  <c r="O51" i="21" s="1"/>
  <c r="W44" i="16"/>
  <c r="D46" i="16" s="1"/>
  <c r="F135" i="10"/>
  <c r="J86" i="13"/>
  <c r="L125" i="10"/>
  <c r="T134" i="67" s="1"/>
  <c r="C82" i="14"/>
  <c r="I82" i="14"/>
  <c r="D21" i="16"/>
  <c r="O21" i="16" s="1"/>
  <c r="I24" i="16" s="1"/>
  <c r="D18" i="16"/>
  <c r="O18" i="16" s="1"/>
  <c r="F24" i="16" s="1"/>
  <c r="L114" i="17"/>
  <c r="C117" i="17" s="1"/>
  <c r="I117" i="17" s="1"/>
  <c r="J126" i="17" s="1"/>
  <c r="M98" i="15"/>
  <c r="P98" i="15" s="1"/>
  <c r="L135" i="10"/>
  <c r="L143" i="10"/>
  <c r="F143" i="10"/>
  <c r="Q70" i="40"/>
  <c r="R70" i="40" s="1"/>
  <c r="R61" i="40"/>
  <c r="S61" i="40" s="1"/>
  <c r="M100" i="15"/>
  <c r="P100" i="15" s="1"/>
  <c r="S135" i="10"/>
  <c r="G67" i="12"/>
  <c r="N67" i="12"/>
  <c r="G62" i="12"/>
  <c r="N62" i="12" s="1"/>
  <c r="M75" i="12"/>
  <c r="Q75" i="12" s="1"/>
  <c r="F44" i="12"/>
  <c r="C61" i="17"/>
  <c r="H179" i="18"/>
  <c r="I181" i="18" s="1"/>
  <c r="H125" i="18"/>
  <c r="K127" i="18" s="1"/>
  <c r="L173" i="18"/>
  <c r="L181" i="18"/>
  <c r="H185" i="18"/>
  <c r="L119" i="18"/>
  <c r="O119" i="18" s="1"/>
  <c r="N127" i="18"/>
  <c r="H131" i="18"/>
  <c r="K131" i="18" s="1"/>
  <c r="F61" i="17"/>
  <c r="I71" i="10" l="1"/>
  <c r="M37" i="16"/>
  <c r="P37" i="16" s="1"/>
  <c r="N186" i="20"/>
  <c r="O186" i="20" s="1"/>
  <c r="P153" i="20"/>
  <c r="P129" i="20"/>
  <c r="N184" i="20"/>
  <c r="O184" i="20" s="1"/>
  <c r="N185" i="20"/>
  <c r="O185" i="20" s="1"/>
  <c r="P141" i="20"/>
  <c r="N187" i="20"/>
  <c r="O187" i="20" s="1"/>
  <c r="P165" i="20"/>
  <c r="N183" i="20"/>
  <c r="O183" i="20" s="1"/>
  <c r="P117" i="20"/>
  <c r="H51" i="21"/>
  <c r="L82" i="14"/>
  <c r="F85" i="14" s="1"/>
  <c r="I85" i="14" s="1"/>
  <c r="C88" i="14" s="1"/>
  <c r="I88" i="14" s="1"/>
  <c r="S133" i="10" s="1"/>
  <c r="O24" i="16"/>
  <c r="F141" i="10"/>
  <c r="L63" i="17"/>
  <c r="F145" i="10" s="1"/>
  <c r="N115" i="67" s="1"/>
  <c r="L141" i="10"/>
  <c r="N114" i="67" s="1"/>
  <c r="C120" i="17"/>
  <c r="H120" i="17" s="1"/>
  <c r="H122" i="17" s="1"/>
  <c r="L122" i="17" s="1"/>
  <c r="I61" i="17"/>
  <c r="O181" i="18"/>
  <c r="Q127" i="18"/>
  <c r="D71" i="10" l="1"/>
  <c r="J49" i="16"/>
  <c r="I91" i="14"/>
  <c r="I94" i="14"/>
  <c r="C91" i="14"/>
  <c r="C94" i="14"/>
  <c r="K40" i="16"/>
  <c r="P40" i="16" s="1"/>
  <c r="K42" i="16" s="1"/>
  <c r="P42" i="16" s="1"/>
  <c r="F134" i="17"/>
  <c r="F126" i="17"/>
  <c r="C134" i="17"/>
  <c r="C126" i="17"/>
  <c r="S145" i="10"/>
  <c r="K115" i="67" s="1"/>
  <c r="L91" i="14" l="1"/>
  <c r="L137" i="10" s="1"/>
  <c r="K108" i="67" s="1"/>
  <c r="L94" i="14"/>
  <c r="F137" i="10" s="1"/>
  <c r="N108" i="67" s="1"/>
  <c r="K134" i="17"/>
  <c r="C137" i="17" s="1"/>
  <c r="H137" i="17" s="1"/>
  <c r="G139" i="17" s="1"/>
  <c r="L139" i="17" s="1"/>
  <c r="M126" i="17"/>
  <c r="C129" i="17" s="1"/>
  <c r="H129" i="17" s="1"/>
  <c r="G131" i="17" s="1"/>
  <c r="L131" i="17" s="1"/>
  <c r="G57" i="16" l="1"/>
  <c r="J46" i="16"/>
  <c r="M46" i="16"/>
  <c r="J57" i="16"/>
  <c r="E28" i="18"/>
  <c r="P57" i="16" l="1"/>
  <c r="K59" i="16" s="1"/>
  <c r="P59" i="16" s="1"/>
  <c r="K61" i="16" s="1"/>
  <c r="P61" i="16" s="1"/>
  <c r="P46" i="16"/>
  <c r="G49" i="16" s="1"/>
  <c r="P49" i="16" s="1"/>
  <c r="K51" i="16" s="1"/>
  <c r="P51" i="16" s="1"/>
  <c r="K53" i="16" s="1"/>
  <c r="P53" i="1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<sst xmlns="http://schemas.openxmlformats.org/spreadsheetml/2006/main" count="8514" uniqueCount="2671">
  <si>
    <t>Version</t>
  </si>
  <si>
    <t>Yes/No</t>
  </si>
  <si>
    <t>YN-Optional</t>
  </si>
  <si>
    <t>SandySoilOptions</t>
  </si>
  <si>
    <t>Limiting Condition</t>
  </si>
  <si>
    <t>CoarseFragments</t>
  </si>
  <si>
    <t>SoilTexture7080</t>
  </si>
  <si>
    <t>SoilTextureOSTP</t>
  </si>
  <si>
    <t>SlopeShape</t>
  </si>
  <si>
    <t>Hue</t>
  </si>
  <si>
    <t>ValueChroma</t>
  </si>
  <si>
    <t>RedoxKind</t>
  </si>
  <si>
    <t>RedoxIndicators</t>
  </si>
  <si>
    <t>Parent Material</t>
  </si>
  <si>
    <t>StructureShape</t>
  </si>
  <si>
    <t>StructureGrade</t>
  </si>
  <si>
    <t>StructureConsistence</t>
  </si>
  <si>
    <t>Slopedir</t>
  </si>
  <si>
    <t>LandscapePosition</t>
  </si>
  <si>
    <t>Landscape Position</t>
  </si>
  <si>
    <t>VegType</t>
  </si>
  <si>
    <t xml:space="preserve">ObservationType </t>
  </si>
  <si>
    <t>Slope</t>
  </si>
  <si>
    <t>MPCA Type</t>
  </si>
  <si>
    <t>STA</t>
  </si>
  <si>
    <t>SHLR</t>
  </si>
  <si>
    <t>Rock Below Pipe Inches</t>
  </si>
  <si>
    <t>Buoyancy Tanks</t>
  </si>
  <si>
    <t>Tank Size</t>
  </si>
  <si>
    <t>DepthAlarm</t>
  </si>
  <si>
    <t>Tank Connection</t>
  </si>
  <si>
    <t>Alarm Measure</t>
  </si>
  <si>
    <t>Tank Material</t>
  </si>
  <si>
    <t>SizeMult</t>
  </si>
  <si>
    <t>PerfSpace</t>
  </si>
  <si>
    <t>PerfDia</t>
  </si>
  <si>
    <t>MinHead</t>
  </si>
  <si>
    <t>VolumePipe</t>
  </si>
  <si>
    <t>PipeDia</t>
  </si>
  <si>
    <t>DistHeadLoss</t>
  </si>
  <si>
    <t>DistType</t>
  </si>
  <si>
    <t>DistMedia</t>
  </si>
  <si>
    <t>DispersalMedia</t>
  </si>
  <si>
    <t>Manifold Connection</t>
  </si>
  <si>
    <t>MediaLoadRate</t>
  </si>
  <si>
    <t>DepthPipe</t>
  </si>
  <si>
    <t>Reduction</t>
  </si>
  <si>
    <t>Pump Tank Type</t>
  </si>
  <si>
    <t>Distribution Type</t>
  </si>
  <si>
    <t>PumpTankType</t>
  </si>
  <si>
    <t>PumpType</t>
  </si>
  <si>
    <t>EfflScreen</t>
  </si>
  <si>
    <t>Bedrooms</t>
  </si>
  <si>
    <t>FlowClass</t>
  </si>
  <si>
    <t>CLR</t>
  </si>
  <si>
    <t>AtGradeUp</t>
  </si>
  <si>
    <t>AtGrade Down</t>
  </si>
  <si>
    <t>MoundAbsorptionRatio</t>
  </si>
  <si>
    <t>MediaDepth</t>
  </si>
  <si>
    <t>Laterals</t>
  </si>
  <si>
    <t>EndCenter</t>
  </si>
  <si>
    <t>WebSoil Survey Rating</t>
  </si>
  <si>
    <t>Shoreland Classification</t>
  </si>
  <si>
    <t>Distribution Media</t>
  </si>
  <si>
    <t>Trench Distribution</t>
  </si>
  <si>
    <t>Bed Dristribution</t>
  </si>
  <si>
    <t>Pipe Diameter</t>
  </si>
  <si>
    <t>Separation Distance</t>
  </si>
  <si>
    <t>Non STA</t>
  </si>
  <si>
    <t>Non STA Unit</t>
  </si>
  <si>
    <t>Pump Other</t>
  </si>
  <si>
    <t>Tank Status</t>
  </si>
  <si>
    <t>Pumping to:</t>
  </si>
  <si>
    <t>Tank Reuse</t>
  </si>
  <si>
    <t>Analyte</t>
  </si>
  <si>
    <t>Soil Treatment Area Type</t>
  </si>
  <si>
    <t>PumpTankDesc</t>
  </si>
  <si>
    <t>Type of Wastewater</t>
  </si>
  <si>
    <t>Treatment Level</t>
  </si>
  <si>
    <t>Nutrients</t>
  </si>
  <si>
    <t>ST vs HT</t>
  </si>
  <si>
    <t>WaterSupply Line Comments</t>
  </si>
  <si>
    <t>OtherEstabType</t>
  </si>
  <si>
    <t>OtherEstabUnit</t>
  </si>
  <si>
    <t>Yes</t>
  </si>
  <si>
    <t>Pressure distribution</t>
  </si>
  <si>
    <t>Redoximorphic Features/Saturated Soils</t>
  </si>
  <si>
    <t>&lt;35%</t>
  </si>
  <si>
    <t>Medium Sand</t>
  </si>
  <si>
    <t>Linear, Linear</t>
  </si>
  <si>
    <t>10R</t>
  </si>
  <si>
    <t>2/1</t>
  </si>
  <si>
    <t>None</t>
  </si>
  <si>
    <t>Alluvium</t>
  </si>
  <si>
    <t>Single grain</t>
  </si>
  <si>
    <t>Structureless</t>
  </si>
  <si>
    <t>Loose</t>
  </si>
  <si>
    <t>North</t>
  </si>
  <si>
    <t>Depression</t>
  </si>
  <si>
    <t>Summit</t>
  </si>
  <si>
    <t>Lawn</t>
  </si>
  <si>
    <t>Probe</t>
  </si>
  <si>
    <t>0</t>
  </si>
  <si>
    <t>Type I</t>
  </si>
  <si>
    <t>Trench</t>
  </si>
  <si>
    <t>Septic</t>
  </si>
  <si>
    <t>Series</t>
  </si>
  <si>
    <t>Bottom of Tank Up</t>
  </si>
  <si>
    <t>Concrete</t>
  </si>
  <si>
    <t>1/8</t>
  </si>
  <si>
    <t>Gravity</t>
  </si>
  <si>
    <t>Drainfield rock</t>
  </si>
  <si>
    <t>Rock</t>
  </si>
  <si>
    <t xml:space="preserve">Center </t>
  </si>
  <si>
    <t>Dosing</t>
  </si>
  <si>
    <t>Gravity Distribution</t>
  </si>
  <si>
    <t xml:space="preserve">Demand Dosing </t>
  </si>
  <si>
    <t>Demand Dosing Soil Treatment</t>
  </si>
  <si>
    <t>I</t>
  </si>
  <si>
    <t>End</t>
  </si>
  <si>
    <t>Not Limited</t>
  </si>
  <si>
    <t>Lake - General Development</t>
  </si>
  <si>
    <t>Chamber</t>
  </si>
  <si>
    <t>Gravity - Drop Box</t>
  </si>
  <si>
    <t>Pressure</t>
  </si>
  <si>
    <t>Peat Filter</t>
  </si>
  <si>
    <t>ATU</t>
  </si>
  <si>
    <t>New</t>
  </si>
  <si>
    <t>All New</t>
  </si>
  <si>
    <t>BOD</t>
  </si>
  <si>
    <t>Demand to Pressure</t>
  </si>
  <si>
    <t>Residential</t>
  </si>
  <si>
    <t>C</t>
  </si>
  <si>
    <t>A</t>
  </si>
  <si>
    <t>Nitrogen</t>
  </si>
  <si>
    <t>ST</t>
  </si>
  <si>
    <t>No known waterlines within 50' of system</t>
  </si>
  <si>
    <t>Airport, bus station, rail depot</t>
  </si>
  <si>
    <t>add for each nonresident meal</t>
  </si>
  <si>
    <t>No</t>
  </si>
  <si>
    <t>5 feet of separation</t>
  </si>
  <si>
    <t>Bed Rock (including soil with &gt;50% coarse fragments)</t>
  </si>
  <si>
    <t>35-50%</t>
  </si>
  <si>
    <t>Coarse Sand</t>
  </si>
  <si>
    <t>Linear, Concave</t>
  </si>
  <si>
    <t>2.5YR</t>
  </si>
  <si>
    <t>2/2</t>
  </si>
  <si>
    <t>Concentrations</t>
  </si>
  <si>
    <t>S1</t>
  </si>
  <si>
    <t>Bedrock</t>
  </si>
  <si>
    <t>Granular</t>
  </si>
  <si>
    <t>Weak</t>
  </si>
  <si>
    <t>Friable</t>
  </si>
  <si>
    <t>Northeast</t>
  </si>
  <si>
    <t>Back/ Side Slope</t>
  </si>
  <si>
    <t>Shoulder</t>
  </si>
  <si>
    <t>Grass</t>
  </si>
  <si>
    <t>Auger</t>
  </si>
  <si>
    <t>Type II</t>
  </si>
  <si>
    <t>Gravity Bed</t>
  </si>
  <si>
    <t>Parallel</t>
  </si>
  <si>
    <t>Top of Riser Down</t>
  </si>
  <si>
    <t>Plastic</t>
  </si>
  <si>
    <t>3/16</t>
  </si>
  <si>
    <t>Drainfield rock &amp; pea gravel</t>
  </si>
  <si>
    <t>Registered Product:</t>
  </si>
  <si>
    <t>Equalization</t>
  </si>
  <si>
    <t>Pressure Distribution-Level</t>
  </si>
  <si>
    <t>Equalization/Time Dosing</t>
  </si>
  <si>
    <t>Time Dosing Soil Treatment</t>
  </si>
  <si>
    <t>1/16</t>
  </si>
  <si>
    <t>II</t>
  </si>
  <si>
    <t>Center</t>
  </si>
  <si>
    <t>Slightly Limited</t>
  </si>
  <si>
    <t>Lake- Recreational</t>
  </si>
  <si>
    <t>Chamber Low Profile</t>
  </si>
  <si>
    <t>Gravity - Other</t>
  </si>
  <si>
    <t>Sand Filter</t>
  </si>
  <si>
    <t>Media Filter</t>
  </si>
  <si>
    <t>Pressure (Non STA)</t>
  </si>
  <si>
    <t>Existing</t>
  </si>
  <si>
    <t>Adv Treatment</t>
  </si>
  <si>
    <t>New &amp; Existing</t>
  </si>
  <si>
    <t>TSS</t>
  </si>
  <si>
    <t>Bed</t>
  </si>
  <si>
    <t>Demand to Gravity</t>
  </si>
  <si>
    <t>Commercial</t>
  </si>
  <si>
    <t>B</t>
  </si>
  <si>
    <t>A-2</t>
  </si>
  <si>
    <t>Phosphorus</t>
  </si>
  <si>
    <t>HT</t>
  </si>
  <si>
    <t>System is greater than 10 feet away from any known water supply lines.</t>
  </si>
  <si>
    <t>Assembly hall</t>
  </si>
  <si>
    <t>alley</t>
  </si>
  <si>
    <t>NA</t>
  </si>
  <si>
    <t>Optional</t>
  </si>
  <si>
    <t>Serial distribution in 15% sections</t>
  </si>
  <si>
    <t>Flood Elevation</t>
  </si>
  <si>
    <t>&gt;50%</t>
  </si>
  <si>
    <t>Loamy Medium  Sand</t>
  </si>
  <si>
    <t>Linear, Convex</t>
  </si>
  <si>
    <t>5YR</t>
  </si>
  <si>
    <t>2.5/0</t>
  </si>
  <si>
    <t>Depletions</t>
  </si>
  <si>
    <t>S2</t>
  </si>
  <si>
    <t>Colluvium</t>
  </si>
  <si>
    <t>Platy</t>
  </si>
  <si>
    <t>Moderate</t>
  </si>
  <si>
    <t>Firm</t>
  </si>
  <si>
    <t>Northwest</t>
  </si>
  <si>
    <t>Foot Slope</t>
  </si>
  <si>
    <t>Back/Side Slope</t>
  </si>
  <si>
    <t>Grove</t>
  </si>
  <si>
    <t>Pit</t>
  </si>
  <si>
    <t>Type III</t>
  </si>
  <si>
    <t>Pressurized Bed</t>
  </si>
  <si>
    <t>Fiberglass</t>
  </si>
  <si>
    <t>7/32</t>
  </si>
  <si>
    <t>Pressure (non-level)</t>
  </si>
  <si>
    <t>Sand</t>
  </si>
  <si>
    <t>Recirculation</t>
  </si>
  <si>
    <t>Pressure Distribution-Unlevel</t>
  </si>
  <si>
    <t>Time Dosing Treatment Unit</t>
  </si>
  <si>
    <t>III</t>
  </si>
  <si>
    <t>Moderately Limited</t>
  </si>
  <si>
    <t>Lake - Natural Environment</t>
  </si>
  <si>
    <t>Chamber High Capacity</t>
  </si>
  <si>
    <t>STEP</t>
  </si>
  <si>
    <t>All Existing</t>
  </si>
  <si>
    <t>FOG</t>
  </si>
  <si>
    <t>Mound</t>
  </si>
  <si>
    <t>Time to Pressure</t>
  </si>
  <si>
    <t>High-Strength</t>
  </si>
  <si>
    <t>B2</t>
  </si>
  <si>
    <t>Nitrogen &amp; Phosphorus</t>
  </si>
  <si>
    <t>Bar or lounge (no meals)</t>
  </si>
  <si>
    <t>auditorium seat</t>
  </si>
  <si>
    <t>Edit Date:</t>
  </si>
  <si>
    <t>Recommended</t>
  </si>
  <si>
    <t>Restricted percolation rates/high clay content soils</t>
  </si>
  <si>
    <t>Loamy Coarse Sand</t>
  </si>
  <si>
    <t>Convex, Linear</t>
  </si>
  <si>
    <t>7.5YR</t>
  </si>
  <si>
    <t>2.5/1</t>
  </si>
  <si>
    <t>Depleted Matrix</t>
  </si>
  <si>
    <t>S3</t>
  </si>
  <si>
    <t>Cut/Fill</t>
  </si>
  <si>
    <t>Blocky</t>
  </si>
  <si>
    <t>Strong</t>
  </si>
  <si>
    <t>Extremely Firm</t>
  </si>
  <si>
    <t>South</t>
  </si>
  <si>
    <t>Plain</t>
  </si>
  <si>
    <t>Forest</t>
  </si>
  <si>
    <t>Type IV</t>
  </si>
  <si>
    <t>At-Grade</t>
  </si>
  <si>
    <t>1/4</t>
  </si>
  <si>
    <t>Other</t>
  </si>
  <si>
    <t>Demand Dosing Treatment Unit</t>
  </si>
  <si>
    <t>IV</t>
  </si>
  <si>
    <t>Very Limited</t>
  </si>
  <si>
    <t>EzFlow</t>
  </si>
  <si>
    <t>Collection - STEP</t>
  </si>
  <si>
    <t>CBOD</t>
  </si>
  <si>
    <t>Time to Gravity</t>
  </si>
  <si>
    <t>B-2</t>
  </si>
  <si>
    <t>Barber shop*</t>
  </si>
  <si>
    <t>bed</t>
  </si>
  <si>
    <t>Depth of Observation</t>
  </si>
  <si>
    <t>Fine Sand</t>
  </si>
  <si>
    <t>Convex, Convex</t>
  </si>
  <si>
    <t>10YR</t>
  </si>
  <si>
    <t>2.5/2</t>
  </si>
  <si>
    <t xml:space="preserve">Depleted Matrix &amp; Concentrations </t>
  </si>
  <si>
    <t>S4</t>
  </si>
  <si>
    <t>Lacustrine</t>
  </si>
  <si>
    <t>Prismatic</t>
  </si>
  <si>
    <t>Massive</t>
  </si>
  <si>
    <t>Rigid</t>
  </si>
  <si>
    <t>Southeast</t>
  </si>
  <si>
    <t>Manmade</t>
  </si>
  <si>
    <t>Toe Slope</t>
  </si>
  <si>
    <t>Ag. Land</t>
  </si>
  <si>
    <t>Type V</t>
  </si>
  <si>
    <t>Holding Tank</t>
  </si>
  <si>
    <t>Extremely Limited</t>
  </si>
  <si>
    <t>River - Agricultural</t>
  </si>
  <si>
    <t>Eljen GSF</t>
  </si>
  <si>
    <t>Drip</t>
  </si>
  <si>
    <t xml:space="preserve">Time to Treatment </t>
  </si>
  <si>
    <t>A2</t>
  </si>
  <si>
    <t>Beauty salon*</t>
  </si>
  <si>
    <t>Very Fine Sand</t>
  </si>
  <si>
    <t>Convex, Concave</t>
  </si>
  <si>
    <t>2.5Y</t>
  </si>
  <si>
    <t>2.5/3</t>
  </si>
  <si>
    <t xml:space="preserve">Depleted Matrix &amp; Depletions </t>
  </si>
  <si>
    <t>T1</t>
  </si>
  <si>
    <t>Loess</t>
  </si>
  <si>
    <t>Southwest</t>
  </si>
  <si>
    <t>Stream/Terrace</t>
  </si>
  <si>
    <t>Row Crops</t>
  </si>
  <si>
    <t>Septic/Dosing Combo</t>
  </si>
  <si>
    <t>River - Tributary</t>
  </si>
  <si>
    <t>Industrial building*</t>
  </si>
  <si>
    <t>parking space</t>
  </si>
  <si>
    <t>Loamy Fine Sand</t>
  </si>
  <si>
    <t>Concave, Convex</t>
  </si>
  <si>
    <t>5Y</t>
  </si>
  <si>
    <t>3/1</t>
  </si>
  <si>
    <t>T2</t>
  </si>
  <si>
    <t>Organic</t>
  </si>
  <si>
    <t>East</t>
  </si>
  <si>
    <t>Pasture</t>
  </si>
  <si>
    <t>River - Forested</t>
  </si>
  <si>
    <t>Bowling alley</t>
  </si>
  <si>
    <t>car space</t>
  </si>
  <si>
    <t>Loamy Very Fine Sand</t>
  </si>
  <si>
    <t>Concave, Concave</t>
  </si>
  <si>
    <t>GLEY</t>
  </si>
  <si>
    <t>3/2</t>
  </si>
  <si>
    <t>T3</t>
  </si>
  <si>
    <t>Outwash</t>
  </si>
  <si>
    <t>West</t>
  </si>
  <si>
    <t>Alfalfa</t>
  </si>
  <si>
    <t>River - Transition</t>
  </si>
  <si>
    <t>Cabin, resort</t>
  </si>
  <si>
    <t>car stall</t>
  </si>
  <si>
    <t>Medium Sandy Loam</t>
  </si>
  <si>
    <t>Concave, Linear</t>
  </si>
  <si>
    <t>N</t>
  </si>
  <si>
    <t>3/3</t>
  </si>
  <si>
    <t>T4</t>
  </si>
  <si>
    <t>Till</t>
  </si>
  <si>
    <t>Level</t>
  </si>
  <si>
    <t>River - Remote</t>
  </si>
  <si>
    <t>Cafeteria</t>
  </si>
  <si>
    <t>chair</t>
  </si>
  <si>
    <t>Coarse Sandy Loam</t>
  </si>
  <si>
    <t>3/4</t>
  </si>
  <si>
    <t>T5</t>
  </si>
  <si>
    <t>River - Urban</t>
  </si>
  <si>
    <t>Camp, day without meals</t>
  </si>
  <si>
    <t>child</t>
  </si>
  <si>
    <t>Loam</t>
  </si>
  <si>
    <t>3/6</t>
  </si>
  <si>
    <t>T6</t>
  </si>
  <si>
    <t>Camp, day and night with meals</t>
  </si>
  <si>
    <t>convenience store customer</t>
  </si>
  <si>
    <t>Fine Sandy Loam</t>
  </si>
  <si>
    <t>4/1</t>
  </si>
  <si>
    <t>S1, T2</t>
  </si>
  <si>
    <t>Camp, day with meals</t>
  </si>
  <si>
    <t>customer</t>
  </si>
  <si>
    <t>Very Fine Sandy Loam</t>
  </si>
  <si>
    <t>4/2</t>
  </si>
  <si>
    <t>S1, T3</t>
  </si>
  <si>
    <t>employee</t>
  </si>
  <si>
    <t>Silt Loam</t>
  </si>
  <si>
    <t>4/3</t>
  </si>
  <si>
    <t>S1, T4</t>
  </si>
  <si>
    <t>Silt</t>
  </si>
  <si>
    <t>4/4</t>
  </si>
  <si>
    <t>S1, T5</t>
  </si>
  <si>
    <t>Institutional meals</t>
  </si>
  <si>
    <t>Clay Loam</t>
  </si>
  <si>
    <t>4/6</t>
  </si>
  <si>
    <t>S1, T6</t>
  </si>
  <si>
    <t>Labor camp</t>
  </si>
  <si>
    <t>passenger</t>
  </si>
  <si>
    <t>Sandy Clay Loam</t>
  </si>
  <si>
    <t>4/8</t>
  </si>
  <si>
    <t>S2, T2</t>
  </si>
  <si>
    <t>Labor camp (semi permanent)</t>
  </si>
  <si>
    <t>patient</t>
  </si>
  <si>
    <t>Silty Clay Loam</t>
  </si>
  <si>
    <t>5/1</t>
  </si>
  <si>
    <t>S2, T3</t>
  </si>
  <si>
    <t>Laundromat</t>
  </si>
  <si>
    <t>person</t>
  </si>
  <si>
    <t>Sandy Clay</t>
  </si>
  <si>
    <t>5/2</t>
  </si>
  <si>
    <t>S2, T4</t>
  </si>
  <si>
    <t>Medical office*</t>
  </si>
  <si>
    <t>campsite with sewer hook-up (per person)</t>
  </si>
  <si>
    <t>Silty Clay</t>
  </si>
  <si>
    <t>5/3</t>
  </si>
  <si>
    <t>S2, T5</t>
  </si>
  <si>
    <t>Mental health hospital*</t>
  </si>
  <si>
    <t>practitioner</t>
  </si>
  <si>
    <t>Clay</t>
  </si>
  <si>
    <t>5/4</t>
  </si>
  <si>
    <t>S2, T6</t>
  </si>
  <si>
    <t>Motel</t>
  </si>
  <si>
    <t>resident</t>
  </si>
  <si>
    <t>5/6</t>
  </si>
  <si>
    <t>S3, T1</t>
  </si>
  <si>
    <t>Nursing home, other adult congregate living</t>
  </si>
  <si>
    <t>restroom</t>
  </si>
  <si>
    <t>5/8</t>
  </si>
  <si>
    <t>S3, T2</t>
  </si>
  <si>
    <t>Office</t>
  </si>
  <si>
    <t>seat</t>
  </si>
  <si>
    <t>Fill Soil</t>
  </si>
  <si>
    <t>6/1</t>
  </si>
  <si>
    <t>S3, T3</t>
  </si>
  <si>
    <t>Other public institution</t>
  </si>
  <si>
    <t>seat (open 16  hours or less, single service articles)</t>
  </si>
  <si>
    <t>6/2</t>
  </si>
  <si>
    <t>S3, T4</t>
  </si>
  <si>
    <t>Park or   swimming pool</t>
  </si>
  <si>
    <t>seat (open 16 hours or less)</t>
  </si>
  <si>
    <t>6/3</t>
  </si>
  <si>
    <t>S3, T5</t>
  </si>
  <si>
    <t>Permanent mobile  home</t>
  </si>
  <si>
    <t>seat (open more    than 16 hours)</t>
  </si>
  <si>
    <t>6/4</t>
  </si>
  <si>
    <t>S3, T6</t>
  </si>
  <si>
    <t>Prison or jail</t>
  </si>
  <si>
    <t>seat (open more  than 16 hours,  single service   articles)</t>
  </si>
  <si>
    <t>6/6</t>
  </si>
  <si>
    <t>S4, T1</t>
  </si>
  <si>
    <t>Public lavatory</t>
  </si>
  <si>
    <t>service bay</t>
  </si>
  <si>
    <t>6/8</t>
  </si>
  <si>
    <t>S4, T2</t>
  </si>
  <si>
    <t>Public shower</t>
  </si>
  <si>
    <t>Service station* customer</t>
  </si>
  <si>
    <t>7/1</t>
  </si>
  <si>
    <t>S4, T3</t>
  </si>
  <si>
    <t>Resort</t>
  </si>
  <si>
    <t>shower taken</t>
  </si>
  <si>
    <t>7/2</t>
  </si>
  <si>
    <t>S4, T4</t>
  </si>
  <si>
    <t>Restaurant (carry  out including caterers)</t>
  </si>
  <si>
    <t>campsite with sewer hook-up (per site/space)</t>
  </si>
  <si>
    <t>7/3</t>
  </si>
  <si>
    <t>S4, T5</t>
  </si>
  <si>
    <t>Restaurant (does not include bar or lounge)</t>
  </si>
  <si>
    <t>campsite without sewer hook-up, with central toilet or shower facility (per site)</t>
  </si>
  <si>
    <t>7/4</t>
  </si>
  <si>
    <t>S4, T6</t>
  </si>
  <si>
    <t>Restaurant (drive‑ in)</t>
  </si>
  <si>
    <t>campsite without sewer hook-up, with central toilet or shower facility, served by dump station (per site)</t>
  </si>
  <si>
    <t>7/6</t>
  </si>
  <si>
    <t>Restaurant (short  order)</t>
  </si>
  <si>
    <t>square foot</t>
  </si>
  <si>
    <t>7/8</t>
  </si>
  <si>
    <t>Retail resort store</t>
  </si>
  <si>
    <t>station</t>
  </si>
  <si>
    <t>8/1</t>
  </si>
  <si>
    <t>Retail store</t>
  </si>
  <si>
    <t>student</t>
  </si>
  <si>
    <t>8/2</t>
  </si>
  <si>
    <t>Rooming house</t>
  </si>
  <si>
    <t>toilet</t>
  </si>
  <si>
    <t>8/3</t>
  </si>
  <si>
    <t>.</t>
  </si>
  <si>
    <t>School (boarding)</t>
  </si>
  <si>
    <t>user</t>
  </si>
  <si>
    <t>8/4</t>
  </si>
  <si>
    <t>Gravity or Pressure</t>
  </si>
  <si>
    <t>School (no gym, no cafeteria, and no showers)</t>
  </si>
  <si>
    <t>visitor</t>
  </si>
  <si>
    <t>8/6</t>
  </si>
  <si>
    <t>School (with cafeteria, gym, and showers)</t>
  </si>
  <si>
    <t>with food vendor space</t>
  </si>
  <si>
    <t>8/8</t>
  </si>
  <si>
    <t>Other Est. - At-Risk</t>
  </si>
  <si>
    <t>School (with cafeteria, no gym and no showers)</t>
  </si>
  <si>
    <t>Other Est. - HSW</t>
  </si>
  <si>
    <t>Shopping center</t>
  </si>
  <si>
    <t>Other Est. - Resid.</t>
  </si>
  <si>
    <t>Stadium</t>
  </si>
  <si>
    <t>Theater</t>
  </si>
  <si>
    <t>Visitor center</t>
  </si>
  <si>
    <t>1.</t>
  </si>
  <si>
    <t>Preliminary Evaluation</t>
  </si>
  <si>
    <t>11.</t>
  </si>
  <si>
    <t>Mound Materials</t>
  </si>
  <si>
    <t>21.</t>
  </si>
  <si>
    <t xml:space="preserve">Pump Selection - Collection </t>
  </si>
  <si>
    <t>2.</t>
  </si>
  <si>
    <t>Field Evaluation</t>
  </si>
  <si>
    <t>12.</t>
  </si>
  <si>
    <t>Pressure Distribution Soil Treatment</t>
  </si>
  <si>
    <t>22.</t>
  </si>
  <si>
    <t>Flow equalization</t>
  </si>
  <si>
    <t>3.</t>
  </si>
  <si>
    <t>Soil Observation Log (7)</t>
  </si>
  <si>
    <t>13.</t>
  </si>
  <si>
    <t>Non-Level Pressure Distribution (STA)</t>
  </si>
  <si>
    <t>23.</t>
  </si>
  <si>
    <t>Flow Estimate for Existing Dwellings</t>
  </si>
  <si>
    <t>4.</t>
  </si>
  <si>
    <t>Percolation Test</t>
  </si>
  <si>
    <t>14.</t>
  </si>
  <si>
    <t>24.</t>
  </si>
  <si>
    <t>Measured Flow-Other Establishment</t>
  </si>
  <si>
    <t>5.</t>
  </si>
  <si>
    <t>Design Details Summary</t>
  </si>
  <si>
    <t>15.</t>
  </si>
  <si>
    <t>Pump Tank Demand (STA)</t>
  </si>
  <si>
    <t>25.</t>
  </si>
  <si>
    <t>Estimated Flow-Other Establishment</t>
  </si>
  <si>
    <t>6.</t>
  </si>
  <si>
    <t>Site Sketch &amp; Evaluation</t>
  </si>
  <si>
    <t>16.</t>
  </si>
  <si>
    <t>Pump Tank Time Dose (STA)</t>
  </si>
  <si>
    <t>26.</t>
  </si>
  <si>
    <t>Final Flow Total</t>
  </si>
  <si>
    <t>7.</t>
  </si>
  <si>
    <t>17.</t>
  </si>
  <si>
    <t>Tank Buoyancy (2)</t>
  </si>
  <si>
    <t>27.</t>
  </si>
  <si>
    <t>LISTS &amp; MSTS Flow &amp; System Summary</t>
  </si>
  <si>
    <t>8.</t>
  </si>
  <si>
    <t>18.</t>
  </si>
  <si>
    <t>Optional Tank Details</t>
  </si>
  <si>
    <t>28.</t>
  </si>
  <si>
    <t>9.</t>
  </si>
  <si>
    <t>19.</t>
  </si>
  <si>
    <t>Organic Loading</t>
  </si>
  <si>
    <t>29.</t>
  </si>
  <si>
    <t>Estimated Waste Strength</t>
  </si>
  <si>
    <t>10.</t>
  </si>
  <si>
    <t>20.</t>
  </si>
  <si>
    <t>Pumps for Non STA applications (4)</t>
  </si>
  <si>
    <t>These worksheets were created in Microsoft Excel and work while using Excel.  You may be able to read the documents with a software program that can open .xls documents but some actions of the workbook may not work.</t>
  </si>
  <si>
    <t>There are two ways you can utilize this workbook:</t>
  </si>
  <si>
    <t>1. You can use the Excel worksheet on a computer and fill in the values on a computer &amp; print out the results or email them.  Using this function you must be sure to enable macros if asked by Excel, or</t>
  </si>
  <si>
    <t>2. You can print blank copies of the worksheets and fill them out by hand.</t>
  </si>
  <si>
    <t>SECURITY LEVEL &amp; MACROS</t>
  </si>
  <si>
    <t>This file contains macros which are imbedded formulas to do some of the calculations.  In order for these to work:</t>
  </si>
  <si>
    <t xml:space="preserve">1.  Your security level must be medium or low (not the default of high). This can be changed under Tools, Macro, Security. 
In Office 2007, click the Microsoft Office Button, then click the Excel Options. Select the Trust Center, Settings, and then click Macro Settings to enable. </t>
  </si>
  <si>
    <t>2.  If prompted enable the macros.</t>
  </si>
  <si>
    <t>INPUTS</t>
  </si>
  <si>
    <t>CHECK BOXES</t>
  </si>
  <si>
    <t>There are many check boxes within the worksheets.  If they are not working, you are most likely is in "design mode" in excel.  To fix this, from the menu, select View, Toolbars, and then select "Control Toolbox".  A new toolbar will appear in your menu bar, click the button that looks like a ruler and a speed square to get out of design mode.  Now the check boxes should work.</t>
  </si>
  <si>
    <t>DROP DOWN MENUS</t>
  </si>
  <si>
    <t>ORDER TO ENTER DATA</t>
  </si>
  <si>
    <t>The workbook tabs should be filled out from left to right in the tabs at the bottom of the suite.  You need to start the design process in the suite by starting in the "Prelim" tab.  This tab has information that will be carried forward to other tabs.  The other tabs should be then done in this order:  Field, Soil log, Design Details &amp; Summary, One of the Soil treatment types, If necessary: Pressure Distribution, Pump, Pump Tank, and Tank Buoyancy.  There are additional worksheet tabs to help with other establishments or cluster systems.  Once all pieces have been designed, the suite can be signed and printed in several different ways for submittal to the local government unit for approval.</t>
  </si>
  <si>
    <t>ADDING SIGNATURES</t>
  </si>
  <si>
    <t xml:space="preserve">PRINTING </t>
  </si>
  <si>
    <t>The worksheets should display and print at 100%. This makes the worksheets readable and able to be filled in by hand.  
The worksheets can be printed in either color or black and white.  You may need to set your computer/printer to grayscale option or you may wish to change the colored portions of the worksheets.  You may want to print to PDF and then combine the files into one document to submit electronically.  Be sure to include the management plan and site plan as well as any other required documents before submitting to the LGU.</t>
  </si>
  <si>
    <t>SAVING and SHARING</t>
  </si>
  <si>
    <t>Saving:  Each design should be saved with a unique file name. Keep an original version of the workbook with no data entered.  This master copy can have your additions like company name, signature, etc. added for future ease of use.  Use the File: "Save as" and rename.  Have the drop down as an "Excel Workbook"(*.xlsx) file type. 
Sharing:  There are several ways to create a .pdf of your design.  The best first steps are to hide the tabs you do not wish to use or share.  This is done by using a "right click" on those tabs you want to hide and then select "hide".  If you want those tabs later, right click in the tabs area and select "unhide"  then choose those that you want to recover.  With only the tabs you want showing, you can print using a PDF writer (like adobe acrobat) and print sheets or the workbook depending on what you want.  A second method is to use File; "Save as" then "more options", select .pdf for type, use "options" and you can select "entire workbook" to make a pdf of all not hidden tabs in your design.    A third second method is you can select the tabs with a "shift + click" and "Save as" and select ( .pdf) in the file type drop down below the name of you wish the file to be named.  This will make all the tabs selected into one pdf document. 
The other option is to go to "Review"..."Protection"..."Protect Worksheet" and save the file for that particular job.
There is one tab hidden called " Drop Down Lists"  Do not delete this tab or all the pull down lists will not work.</t>
  </si>
  <si>
    <t>CREDITS</t>
  </si>
  <si>
    <t>1. Contact Information</t>
  </si>
  <si>
    <t>Property Owner/Client:</t>
  </si>
  <si>
    <t>Date Completed:</t>
  </si>
  <si>
    <t>Site Address:</t>
  </si>
  <si>
    <t>Project ID:</t>
  </si>
  <si>
    <t>Email:</t>
  </si>
  <si>
    <t>Phone:</t>
  </si>
  <si>
    <t>Mailing Address:</t>
  </si>
  <si>
    <t>Alt Phone:</t>
  </si>
  <si>
    <t>Legal Description:</t>
  </si>
  <si>
    <t>Parcel ID:</t>
  </si>
  <si>
    <t>SEC:</t>
  </si>
  <si>
    <t>TWP:</t>
  </si>
  <si>
    <t>RNG:</t>
  </si>
  <si>
    <t>2.  Flow and General System Information</t>
  </si>
  <si>
    <t>A. Client-Provided Information</t>
  </si>
  <si>
    <t>Project Type:</t>
  </si>
  <si>
    <t>Project Use:</t>
  </si>
  <si>
    <t>Residential use:</t>
  </si>
  <si>
    <r>
      <t># Bedrooms</t>
    </r>
    <r>
      <rPr>
        <i/>
        <sz val="10"/>
        <rFont val="Trebuchet MS"/>
        <family val="2"/>
      </rPr>
      <t xml:space="preserve">: </t>
    </r>
    <r>
      <rPr>
        <sz val="12"/>
        <rFont val="Times New Roman"/>
        <family val="1"/>
      </rPr>
      <t/>
    </r>
  </si>
  <si>
    <t xml:space="preserve"> Dwelling sq.ft.:</t>
  </si>
  <si>
    <t>Unfinished sq.ft.:</t>
  </si>
  <si>
    <t># Adults:</t>
  </si>
  <si>
    <t># Children:</t>
  </si>
  <si>
    <t># Teenagers:</t>
  </si>
  <si>
    <t xml:space="preserve">In-home business (Y/N): </t>
  </si>
  <si>
    <t>If yes, describe:</t>
  </si>
  <si>
    <r>
      <t xml:space="preserve">Water-using devices:                           </t>
    </r>
    <r>
      <rPr>
        <i/>
        <sz val="9"/>
        <rFont val="Trebuchet MS"/>
        <family val="2"/>
      </rPr>
      <t>(check all that apply)</t>
    </r>
  </si>
  <si>
    <t>* Clear water source - should not go into system</t>
  </si>
  <si>
    <t>Additional current or future uses:</t>
  </si>
  <si>
    <t>Anticipated non-domestic waste:</t>
  </si>
  <si>
    <t>The above is complete &amp; accurate:</t>
  </si>
  <si>
    <t>Client signature &amp; date</t>
  </si>
  <si>
    <t>B.  Designer-determined Flow and Anticipated Waste Strength Information</t>
  </si>
  <si>
    <t>Attach additional information as necessary.</t>
  </si>
  <si>
    <t>Design Flow:</t>
  </si>
  <si>
    <t>GPD</t>
  </si>
  <si>
    <t xml:space="preserve"> Anticipated Waste Type:</t>
  </si>
  <si>
    <t>Maximum Concentration</t>
  </si>
  <si>
    <t>BOD:</t>
  </si>
  <si>
    <t>mg/L</t>
  </si>
  <si>
    <t>Oil &amp; Grease</t>
  </si>
  <si>
    <t>3.  Preliminary Site Information</t>
  </si>
  <si>
    <t>A.  Water Supply Wells</t>
  </si>
  <si>
    <t>#</t>
  </si>
  <si>
    <t>Description</t>
  </si>
  <si>
    <t>Mn. ID#</t>
  </si>
  <si>
    <t>Well Depth (ft.)</t>
  </si>
  <si>
    <t>Casing Depth (ft.)</t>
  </si>
  <si>
    <t>Confining Layer</t>
  </si>
  <si>
    <t>STA Setback</t>
  </si>
  <si>
    <t>Source</t>
  </si>
  <si>
    <t>Additional Well Information:</t>
  </si>
  <si>
    <t>Site within 200' of noncommunity transient well (Y/N)</t>
  </si>
  <si>
    <t>Yes, source:</t>
  </si>
  <si>
    <t>Site within a drinking water supply management area (Y/N)</t>
  </si>
  <si>
    <t>Site in Well Head Protection inner wellhead management zone (Y/N)</t>
  </si>
  <si>
    <t>Buried water supply pipes within 50 ft of proposed system (Y/N)</t>
  </si>
  <si>
    <t>Water Supply Pipe Comments:</t>
  </si>
  <si>
    <t>B. Site located in a shoreland district/area?</t>
  </si>
  <si>
    <t>Yes, name:</t>
  </si>
  <si>
    <t>Elevation of ordinary high water level:</t>
  </si>
  <si>
    <t>ft</t>
  </si>
  <si>
    <t>Source:</t>
  </si>
  <si>
    <t>Classification:</t>
  </si>
  <si>
    <t>Tank Setback:</t>
  </si>
  <si>
    <t>ft.  STA Setback:</t>
  </si>
  <si>
    <t>ft.</t>
  </si>
  <si>
    <t>C. Site located in a floodplain?</t>
  </si>
  <si>
    <t>Yes, Type(s):</t>
  </si>
  <si>
    <t>Floodplain designation/elevation (10 Year):</t>
  </si>
  <si>
    <t>Floodplain designation/elevation (100 Year):</t>
  </si>
  <si>
    <t>D. Property Line Id / Source:</t>
  </si>
  <si>
    <t>E. ID distance of relevant setbacks on map:</t>
  </si>
  <si>
    <t>4.  Preliminary Soil Profile Information From Web Soil Survey (attach map &amp; description)</t>
  </si>
  <si>
    <t>Map Units:</t>
  </si>
  <si>
    <t>Slope Range:</t>
  </si>
  <si>
    <t>%</t>
  </si>
  <si>
    <t>List landforms:</t>
  </si>
  <si>
    <t>Landform position(s):</t>
  </si>
  <si>
    <t>Parent materials:</t>
  </si>
  <si>
    <t>Depth to Bedrock/Restrictive Feature:</t>
  </si>
  <si>
    <t>in</t>
  </si>
  <si>
    <t>Depth to Watertable:</t>
  </si>
  <si>
    <t>Map Unit 
Ratings</t>
  </si>
  <si>
    <t>Septic Tank Absorption Field- At-grade:</t>
  </si>
  <si>
    <t>Septic Tank Absorption Field- Mound:</t>
  </si>
  <si>
    <t>Septic Tank Absorption Field- Trench:</t>
  </si>
  <si>
    <t>5.  Local Government Unit Information</t>
  </si>
  <si>
    <t>Name of LGU:</t>
  </si>
  <si>
    <t>LGU Contact:</t>
  </si>
  <si>
    <t>LGU-specific setbacks:</t>
  </si>
  <si>
    <t>LGU-specific design requirements:</t>
  </si>
  <si>
    <t>LGU-specific installation requirements:</t>
  </si>
  <si>
    <t>Notes:</t>
  </si>
  <si>
    <t>1. Project Information</t>
  </si>
  <si>
    <t>2.  Utility and Structure Information</t>
  </si>
  <si>
    <t>Utility Locations Identified</t>
  </si>
  <si>
    <r>
      <t>Locate and Verify (</t>
    </r>
    <r>
      <rPr>
        <i/>
        <sz val="10"/>
        <rFont val="Trebuchet MS"/>
        <family val="2"/>
      </rPr>
      <t>see Site Evaluation map</t>
    </r>
    <r>
      <rPr>
        <sz val="10"/>
        <rFont val="Trebuchet MS"/>
        <family val="2"/>
      </rPr>
      <t>)</t>
    </r>
  </si>
  <si>
    <t>3.  Site Information</t>
  </si>
  <si>
    <t>Vegetation type(s):</t>
  </si>
  <si>
    <t>Landscape position:</t>
  </si>
  <si>
    <t>Percent slope:</t>
  </si>
  <si>
    <t>Slope shape:</t>
  </si>
  <si>
    <t>Slope direction:</t>
  </si>
  <si>
    <t>Describe the flooding or run-on potential of site:</t>
  </si>
  <si>
    <t>Describe the need for Type III or Type IV system:</t>
  </si>
  <si>
    <t>Note:</t>
  </si>
  <si>
    <t>Proposed soil treatment area protected? (Y/N):</t>
  </si>
  <si>
    <t xml:space="preserve">4.  General Soils Information </t>
  </si>
  <si>
    <t>Filled, Compacted, Disturbed areas (Y/N):</t>
  </si>
  <si>
    <t>Soil observations were conducted in the proposed system location (Y/N):</t>
  </si>
  <si>
    <t>A soil observation in the most limiting area of the proposed system (Y/N):</t>
  </si>
  <si>
    <t>Number of soil observations:</t>
  </si>
  <si>
    <t>Soil observation logs attached (Y/N):</t>
  </si>
  <si>
    <t>Percolation tests performed &amp; attached (Y/N):</t>
  </si>
  <si>
    <t>5.  Phase I. Reporting Information</t>
  </si>
  <si>
    <t>Depth</t>
  </si>
  <si>
    <t>Elevation</t>
  </si>
  <si>
    <t>Limiting Condition*:</t>
  </si>
  <si>
    <t>*Most Restrictive Depth Identified from List Below</t>
  </si>
  <si>
    <t>Periodically saturated soil:</t>
  </si>
  <si>
    <t>Soil Texture:</t>
  </si>
  <si>
    <t>Standing water:</t>
  </si>
  <si>
    <t>Percolation Rate:</t>
  </si>
  <si>
    <t>min/inch</t>
  </si>
  <si>
    <t>Bedrock:</t>
  </si>
  <si>
    <t>Soil Hyd Loading Rate:</t>
  </si>
  <si>
    <t>gpd/sq.ft</t>
  </si>
  <si>
    <t>Benchmark Elevation:</t>
  </si>
  <si>
    <t>Elevations and Benchmark on map? (Y/N):</t>
  </si>
  <si>
    <t>Benchmark Elevation Location:</t>
  </si>
  <si>
    <t>Differences between soil survey and field evaluation:</t>
  </si>
  <si>
    <t>Site evaluation issues / comments:</t>
  </si>
  <si>
    <t>Anticipated construction issues:</t>
  </si>
  <si>
    <t>Soil Observation Log</t>
  </si>
  <si>
    <t>Client:</t>
  </si>
  <si>
    <t>Location / Address:</t>
  </si>
  <si>
    <t>Soil parent material(s): (Check all that apply)</t>
  </si>
  <si>
    <t>Landscape Position:</t>
  </si>
  <si>
    <t>Slope %:</t>
  </si>
  <si>
    <t>Flooding/Run-On potential:</t>
  </si>
  <si>
    <t>Vegetation:</t>
  </si>
  <si>
    <t>Soil survey map units:</t>
  </si>
  <si>
    <t>Surface Elevation-Relative to benchmark:</t>
  </si>
  <si>
    <t>Date/Time of Day/Weather Conditions:</t>
  </si>
  <si>
    <t>Limiting Layer Elevation:</t>
  </si>
  <si>
    <t>Observation #/Location:</t>
  </si>
  <si>
    <t>Observation Type:</t>
  </si>
  <si>
    <t>Depth (in)</t>
  </si>
  <si>
    <t>Texture</t>
  </si>
  <si>
    <t>Rock Frag. %</t>
  </si>
  <si>
    <t>Matrix Color(s)</t>
  </si>
  <si>
    <t>Mottle Color(s)</t>
  </si>
  <si>
    <t>Redox Kind(s)</t>
  </si>
  <si>
    <t>Indicator(s)</t>
  </si>
  <si>
    <t>I-------- Structure-----------I</t>
  </si>
  <si>
    <t>Shape</t>
  </si>
  <si>
    <t>Grade</t>
  </si>
  <si>
    <t>Consistence</t>
  </si>
  <si>
    <t>Subsoil Indicator(s) of Saturation:</t>
  </si>
  <si>
    <t>S1. Depleted matrix (value &gt;/=4 and chroma &lt;/=2)</t>
  </si>
  <si>
    <t>S2. Distinct gray or red redox features (any Matrix Hue)</t>
  </si>
  <si>
    <t>S3. Matrix Hue of 5Y with a chroma &lt;/= 3</t>
  </si>
  <si>
    <r>
      <t xml:space="preserve">S4. Matrix Hue of 7.5 YR or redder with </t>
    </r>
    <r>
      <rPr>
        <u/>
        <sz val="10"/>
        <color rgb="FF000000"/>
        <rFont val="Trebuchet MS"/>
        <family val="2"/>
      </rPr>
      <t>faint</t>
    </r>
    <r>
      <rPr>
        <sz val="10"/>
        <color indexed="8"/>
        <rFont val="Trebuchet MS"/>
        <family val="2"/>
      </rPr>
      <t xml:space="preserve"> redox concentrations or redox depletions</t>
    </r>
  </si>
  <si>
    <t>Topsoil Indicator(s) of Saturation:</t>
  </si>
  <si>
    <t>T1. Wetland Vegetation</t>
  </si>
  <si>
    <t>T2. Depressional Landscape</t>
  </si>
  <si>
    <t>T3. Organic texture or organic modifiers</t>
  </si>
  <si>
    <t>T4. N 2.5/ 0 color</t>
  </si>
  <si>
    <t>T5. Redox features in topsoil</t>
  </si>
  <si>
    <t>T6. Hydraulic indicators</t>
  </si>
  <si>
    <t>Comments:</t>
  </si>
  <si>
    <t>I hereby certify that I have completed this work in accordance with all applicable ordinances, rules and laws.</t>
  </si>
  <si>
    <t>(Designer/Inspector)</t>
  </si>
  <si>
    <t>(Signature)</t>
  </si>
  <si>
    <t>(License #)</t>
  </si>
  <si>
    <t>(Date)</t>
  </si>
  <si>
    <t>Observation #/Type/Location:</t>
  </si>
  <si>
    <r>
      <t>Depth to Standing Water</t>
    </r>
    <r>
      <rPr>
        <sz val="9"/>
        <color rgb="FF000000"/>
        <rFont val="Trebuchet MS"/>
        <family val="2"/>
      </rPr>
      <t>-inches</t>
    </r>
    <r>
      <rPr>
        <sz val="10"/>
        <color indexed="8"/>
        <rFont val="Trebuchet MS"/>
        <family val="2"/>
      </rPr>
      <t>:</t>
    </r>
  </si>
  <si>
    <t>Consistence:</t>
  </si>
  <si>
    <t>Intact specimen not available</t>
  </si>
  <si>
    <t>Slight force between fingers</t>
  </si>
  <si>
    <t>Moderate force between fingers</t>
  </si>
  <si>
    <t>Moderate force between hands or slight foot pressure</t>
  </si>
  <si>
    <t>Foot pressure</t>
  </si>
  <si>
    <t>Shape:</t>
  </si>
  <si>
    <t>The peds are approximately spherical or polyhedral and are commonly found in topsoil. These are the small, rounded peds that hang onto roots when soil is turned over.</t>
  </si>
  <si>
    <t>The peds are flat and plate like. They are oriented horizontally and are usually overlapping. Platy structure is commonly found in forested areas just below the leaf litter or shallow topsoil.</t>
  </si>
  <si>
    <t>The peds are block-like or polyhedral, and are bounded by flat or slightly rounded surface that are castings of the faces of surrounding peds. Blocky structure is commonly found in the lower topsoil and subsoil.</t>
  </si>
  <si>
    <t>Flat or slightly rounded vertical faces bound the individual peds.  Peds are distinctly longer vertically, and faces are typically casts or molds of adjoining peds. Prismatic structure is commonly found in the lower subsoil.</t>
  </si>
  <si>
    <t>Single Grain</t>
  </si>
  <si>
    <t>The structure found in a sandy soil. The individual particles are not held together.</t>
  </si>
  <si>
    <t>Grade:</t>
  </si>
  <si>
    <t>No peds, sandy soil</t>
  </si>
  <si>
    <t>Poorly formed, indistinct peds, barely observable in place</t>
  </si>
  <si>
    <t>Well formed, distinct peds, moderately durable and evident, but not distinct in undisturbed soil</t>
  </si>
  <si>
    <t>(LGU/Designer/Inspector)</t>
  </si>
  <si>
    <t>(Cert #)</t>
  </si>
  <si>
    <t>Durable peds that are quite evident in un-displaced soil, adhere weakly to one another, withstand displacement, and become separated when soil is disturbed</t>
  </si>
  <si>
    <t>No observable aggregates, or no orderly arrangement of natural lines of weakness</t>
  </si>
  <si>
    <t xml:space="preserve"> Design Elevations</t>
  </si>
  <si>
    <t>V 2024</t>
  </si>
  <si>
    <t>Property Address:</t>
  </si>
  <si>
    <t>From Prlim</t>
  </si>
  <si>
    <t>Map scale:</t>
  </si>
  <si>
    <t>Elevations in feet</t>
  </si>
  <si>
    <t>Benchmark:</t>
  </si>
  <si>
    <t xml:space="preserve">BM Location - </t>
  </si>
  <si>
    <t>Primary STA</t>
  </si>
  <si>
    <t>STA Area</t>
  </si>
  <si>
    <t>Soil Observation:</t>
  </si>
  <si>
    <t>Restictive Layer</t>
  </si>
  <si>
    <t>Corner 1</t>
  </si>
  <si>
    <t>SO 1</t>
  </si>
  <si>
    <t>inches</t>
  </si>
  <si>
    <t>Corner 2</t>
  </si>
  <si>
    <t>SO 2</t>
  </si>
  <si>
    <t>Corners</t>
  </si>
  <si>
    <t>Corner 3</t>
  </si>
  <si>
    <t>SO 3</t>
  </si>
  <si>
    <t>Corner 4</t>
  </si>
  <si>
    <t>SO 4</t>
  </si>
  <si>
    <t xml:space="preserve">      ↑</t>
  </si>
  <si>
    <t>Average Slope</t>
  </si>
  <si>
    <t>SO 5</t>
  </si>
  <si>
    <t>4     N</t>
  </si>
  <si>
    <t>SO 6</t>
  </si>
  <si>
    <t>Indicate North on Site Plan and Label Corners</t>
  </si>
  <si>
    <t>SO 7</t>
  </si>
  <si>
    <r>
      <t xml:space="preserve">Mound Dimensions </t>
    </r>
    <r>
      <rPr>
        <b/>
        <i/>
        <sz val="8"/>
        <rFont val="Trebuchet MS"/>
        <family val="2"/>
      </rPr>
      <t xml:space="preserve"> </t>
    </r>
    <r>
      <rPr>
        <i/>
        <sz val="8"/>
        <rFont val="Trebuchet MS"/>
        <family val="2"/>
      </rPr>
      <t>details in mound design</t>
    </r>
  </si>
  <si>
    <t>Upslope Elevation (ground)</t>
  </si>
  <si>
    <t>Width</t>
  </si>
  <si>
    <t>Length</t>
  </si>
  <si>
    <t>From Mound Design Depth of Rock and Dimensions</t>
  </si>
  <si>
    <t>in @</t>
  </si>
  <si>
    <t>ft x</t>
  </si>
  <si>
    <t>ft  Rockbed</t>
  </si>
  <si>
    <t xml:space="preserve">Rockbed </t>
  </si>
  <si>
    <t>ft  Absorption Area</t>
  </si>
  <si>
    <t>Math From elevations</t>
  </si>
  <si>
    <t>Bottom of Laterals (+0.5' min)</t>
  </si>
  <si>
    <t>ft  Berm</t>
  </si>
  <si>
    <t>Top of Media (+0.2' min)</t>
  </si>
  <si>
    <t>Top of System (+1.0')</t>
  </si>
  <si>
    <t>Atgrade</t>
  </si>
  <si>
    <r>
      <t xml:space="preserve">At Grade Dimensions </t>
    </r>
    <r>
      <rPr>
        <i/>
        <sz val="8"/>
        <rFont val="Trebuchet MS"/>
        <family val="2"/>
      </rPr>
      <t xml:space="preserve"> details in atgrade design</t>
    </r>
  </si>
  <si>
    <t>From Atgrade Design depth of rock</t>
  </si>
  <si>
    <t/>
  </si>
  <si>
    <t>Trenches</t>
  </si>
  <si>
    <t>details in trench design</t>
  </si>
  <si>
    <t>Total Length</t>
  </si>
  <si>
    <t>ft long</t>
  </si>
  <si>
    <t>Total Area</t>
  </si>
  <si>
    <r>
      <t>ft</t>
    </r>
    <r>
      <rPr>
        <vertAlign val="superscript"/>
        <sz val="10"/>
        <rFont val="Trebuchet MS"/>
        <family val="2"/>
      </rPr>
      <t>2</t>
    </r>
  </si>
  <si>
    <t>From Trench Design</t>
  </si>
  <si>
    <t>Ground Elevation</t>
  </si>
  <si>
    <t>Min. Depth</t>
  </si>
  <si>
    <t>Max. Depth</t>
  </si>
  <si>
    <t>Trench Length</t>
  </si>
  <si>
    <t>Trenches at</t>
  </si>
  <si>
    <t>#1</t>
  </si>
  <si>
    <t>#2</t>
  </si>
  <si>
    <t>#3</t>
  </si>
  <si>
    <t>#4</t>
  </si>
  <si>
    <t>#5</t>
  </si>
  <si>
    <t>#6</t>
  </si>
  <si>
    <t>#7</t>
  </si>
  <si>
    <t>Bed Corners</t>
  </si>
  <si>
    <r>
      <t xml:space="preserve">Bed Dimensions </t>
    </r>
    <r>
      <rPr>
        <sz val="8"/>
        <rFont val="Trebuchet MS"/>
        <family val="2"/>
      </rPr>
      <t>details in bed design</t>
    </r>
  </si>
  <si>
    <t>Bottom of Bed (excavation depth)</t>
  </si>
  <si>
    <t>Alternate STA</t>
  </si>
  <si>
    <t>Soil Obeservation Elev</t>
  </si>
  <si>
    <t>Create Soil Obs Alt Site Tabs</t>
  </si>
  <si>
    <t>SO 1 Alt</t>
  </si>
  <si>
    <t>SO 2 Alt</t>
  </si>
  <si>
    <t>SO 3 Alt</t>
  </si>
  <si>
    <t>SO 4 Alt</t>
  </si>
  <si>
    <t>Sewer Pipe Elevation (estimated)</t>
  </si>
  <si>
    <t>Sewer Pipe At house</t>
  </si>
  <si>
    <t>Length of Building Sewer</t>
  </si>
  <si>
    <t>Drop in Building Sewer to tank</t>
  </si>
  <si>
    <t>ft - Minimum at 1 % Slope</t>
  </si>
  <si>
    <t>Tank Elevation</t>
  </si>
  <si>
    <t>Depth below Grade</t>
  </si>
  <si>
    <t>ST #/HT #</t>
  </si>
  <si>
    <t>Pull from tank page</t>
  </si>
  <si>
    <t>ST 1/HT 1</t>
  </si>
  <si>
    <t>Tank Ground</t>
  </si>
  <si>
    <t>ST 2/HT 2</t>
  </si>
  <si>
    <t>Tank Inlet Invert</t>
  </si>
  <si>
    <t>Tank Outlet Invert</t>
  </si>
  <si>
    <t>ST 3/HT 3</t>
  </si>
  <si>
    <t>ST 4/HT 4</t>
  </si>
  <si>
    <t>PT 1</t>
  </si>
  <si>
    <t>Pump Tank  Ground</t>
  </si>
  <si>
    <t>PT 2</t>
  </si>
  <si>
    <t>Pump Tank  Inlet Invert</t>
  </si>
  <si>
    <t>Pump Intake</t>
  </si>
  <si>
    <t>Elevation Diference - Supply Line to Distribution</t>
  </si>
  <si>
    <t>Elevation Difference (for pump system)</t>
  </si>
  <si>
    <t>Supply Pipe Length:</t>
  </si>
  <si>
    <t xml:space="preserve"> For Mound: - +0.5' above Sand Height - Pump Intake: </t>
  </si>
  <si>
    <t>Supply Pipe Elevation Change</t>
  </si>
  <si>
    <t xml:space="preserve"> For Trenches: - Min. Elev. Trench #1 - Pump Intake: </t>
  </si>
  <si>
    <t>Elevation Difference Pump to Distribution</t>
  </si>
  <si>
    <t>Btm of Lateral - Pump Intake</t>
  </si>
  <si>
    <t>Mapping Checklist</t>
  </si>
  <si>
    <t>For Pressure Bed:</t>
  </si>
  <si>
    <t>Locate</t>
  </si>
  <si>
    <t>Easements</t>
  </si>
  <si>
    <t>Setbacks</t>
  </si>
  <si>
    <t>Yellow Require Entry</t>
  </si>
  <si>
    <t>Pink have a formula but you can overright it one time then that cell is like a yellow</t>
  </si>
  <si>
    <t>Blue have a formula or pull data from other parts of the suite</t>
  </si>
  <si>
    <t>Elevations</t>
  </si>
  <si>
    <t>Textures:</t>
  </si>
  <si>
    <t>*Sand Modifiers:</t>
  </si>
  <si>
    <t>Co</t>
  </si>
  <si>
    <t>Coarse</t>
  </si>
  <si>
    <t>SiC</t>
  </si>
  <si>
    <t>M</t>
  </si>
  <si>
    <t>Medium</t>
  </si>
  <si>
    <t>SC</t>
  </si>
  <si>
    <t>F</t>
  </si>
  <si>
    <t>Fine</t>
  </si>
  <si>
    <t>CL</t>
  </si>
  <si>
    <t>VF</t>
  </si>
  <si>
    <t>Very Fine</t>
  </si>
  <si>
    <t>SiCL</t>
  </si>
  <si>
    <t>SCL</t>
  </si>
  <si>
    <t>T6. Hydric indicators</t>
  </si>
  <si>
    <t>Si</t>
  </si>
  <si>
    <t>SiL</t>
  </si>
  <si>
    <t>L</t>
  </si>
  <si>
    <t>SL</t>
  </si>
  <si>
    <t>Sandy Loam*</t>
  </si>
  <si>
    <t>LS</t>
  </si>
  <si>
    <t>Loamy Sand*</t>
  </si>
  <si>
    <t>S</t>
  </si>
  <si>
    <t>Sand*</t>
  </si>
  <si>
    <t>Slope Shape:</t>
  </si>
  <si>
    <t xml:space="preserve">Slope shape is described in two directions: 
up and down slope (perpendicular to the contour), and across slope (along the horizontal contour); 
e.g. Linear, Convex or LV'. </t>
  </si>
  <si>
    <t>Site  Evalulation Map</t>
  </si>
  <si>
    <t>Contact Information</t>
  </si>
  <si>
    <t xml:space="preserve">Project ID:   </t>
  </si>
  <si>
    <t>Percolation Test Data</t>
  </si>
  <si>
    <t>Additional Perc. Test Data</t>
  </si>
  <si>
    <t>2.  General Percolation Information</t>
  </si>
  <si>
    <t>Test hole:   #3</t>
  </si>
  <si>
    <t>Location:</t>
  </si>
  <si>
    <t>Depth**:</t>
  </si>
  <si>
    <t>Diameter</t>
  </si>
  <si>
    <t>Date prepared and/or soaked:</t>
  </si>
  <si>
    <t>Soil texture description:</t>
  </si>
  <si>
    <t xml:space="preserve">Elevation:  </t>
  </si>
  <si>
    <t>feet</t>
  </si>
  <si>
    <t>Soil Texture</t>
  </si>
  <si>
    <t>Method of scratching sidewall:</t>
  </si>
  <si>
    <t>** 12 in. for mounds &amp; at-grades, depth of absorption area for trenches and beds</t>
  </si>
  <si>
    <t>Is pre-soak required*?</t>
  </si>
  <si>
    <t>If No, how long for 12" to soak away</t>
  </si>
  <si>
    <t>min</t>
  </si>
  <si>
    <t>Soak* start time:</t>
  </si>
  <si>
    <t>Soak* end time:</t>
  </si>
  <si>
    <t>hrs. of soak</t>
  </si>
  <si>
    <t>Measurement readings to be completed to the closest 0.05 inch (1/16") to be considered a correct perc test.</t>
  </si>
  <si>
    <t>Method to maintain 12 in of water during soak</t>
  </si>
  <si>
    <t>Reading</t>
  </si>
  <si>
    <t>Start Time</t>
  </si>
  <si>
    <t>End Time</t>
  </si>
  <si>
    <t>Start Reading (in)</t>
  </si>
  <si>
    <t>End Reading (in)</t>
  </si>
  <si>
    <t>Perc rate (mpi)</t>
  </si>
  <si>
    <t>% Difference Last 3 Rates</t>
  </si>
  <si>
    <t>Pass</t>
  </si>
  <si>
    <t>* Not required in fast perc soils</t>
  </si>
  <si>
    <t>3.  Summary of Percolation Test Data</t>
  </si>
  <si>
    <t xml:space="preserve">Design Percolation Rate (maximum of all tests attached) = </t>
  </si>
  <si>
    <t>mpi</t>
  </si>
  <si>
    <t>Map of Perc Test Locations</t>
  </si>
  <si>
    <t>Chosen Percolation Rate for Test Hole #3:</t>
  </si>
  <si>
    <t>Test hole:   #4</t>
  </si>
  <si>
    <t>Chosen Percolation Rate for Test Hole #4:</t>
  </si>
  <si>
    <t>Test hole:  #1</t>
  </si>
  <si>
    <t>Test hole:  #5</t>
  </si>
  <si>
    <t xml:space="preserve">Measurement readings to be completed to the closest 0.05 inch (1/16") to be considered a correct perc test.  </t>
  </si>
  <si>
    <t>Fractions to decimal = Top ÷ Bottom  1/16" = 0.06"</t>
  </si>
  <si>
    <t>Chosen Percolation Rate for Test Hole #1:</t>
  </si>
  <si>
    <t>Chosen Percolation Rate for Test Hole #5:</t>
  </si>
  <si>
    <t>Test hole:   #2</t>
  </si>
  <si>
    <t>Test hole:  #6</t>
  </si>
  <si>
    <t>Chosen Percolation Rate for Test Hole #2:</t>
  </si>
  <si>
    <t>Chosen Percolation Rate for Test Hole #6:</t>
  </si>
  <si>
    <t xml:space="preserve"> Proposed Design Map</t>
  </si>
  <si>
    <t>System Corners:</t>
  </si>
  <si>
    <t>Soil Borings:</t>
  </si>
  <si>
    <t>Tank Outlet:</t>
  </si>
  <si>
    <t xml:space="preserve">  NW:</t>
  </si>
  <si>
    <t xml:space="preserve">  #1:</t>
  </si>
  <si>
    <t xml:space="preserve">  NE:</t>
  </si>
  <si>
    <t xml:space="preserve">  #2:</t>
  </si>
  <si>
    <t xml:space="preserve">  SW:</t>
  </si>
  <si>
    <t xml:space="preserve">  #3:</t>
  </si>
  <si>
    <t xml:space="preserve">  SE:</t>
  </si>
  <si>
    <t>System Corners</t>
  </si>
  <si>
    <t>Benchmark Elev:</t>
  </si>
  <si>
    <t>Benchmark Location:</t>
  </si>
  <si>
    <t>Other:</t>
  </si>
  <si>
    <t xml:space="preserve">  #4:</t>
  </si>
  <si>
    <t xml:space="preserve"> Design Elevations Summary</t>
  </si>
  <si>
    <t>Elevations From Soil Logs</t>
  </si>
  <si>
    <t>Soil Observation Location Elev</t>
  </si>
  <si>
    <t>Restrictive Layer Depth</t>
  </si>
  <si>
    <t>Restrictive Layer Elev</t>
  </si>
  <si>
    <t>Most of this page fill in from details in the "Field", " Details &amp; Summary", "Soils", and Designed Components</t>
  </si>
  <si>
    <t xml:space="preserve">Upslope Elevation of Mound Calculated from design or entered </t>
  </si>
  <si>
    <t>Sand Top Designed</t>
  </si>
  <si>
    <t>ft  x</t>
  </si>
  <si>
    <t>If entered - Formula stops working unless you start with a new suite</t>
  </si>
  <si>
    <t>Distribution Bottom 7080 Min</t>
  </si>
  <si>
    <t>Top of Media (+0.3' min)</t>
  </si>
  <si>
    <r>
      <t xml:space="preserve">Top of System (+1.0') </t>
    </r>
    <r>
      <rPr>
        <sz val="8"/>
        <rFont val="Trebuchet MS"/>
        <family val="2"/>
      </rPr>
      <t>Rockbed edge</t>
    </r>
  </si>
  <si>
    <t xml:space="preserve"> Upslope Elevation of bed</t>
  </si>
  <si>
    <t>ft  Rockbed/Absorption</t>
  </si>
  <si>
    <t>Design Depth</t>
  </si>
  <si>
    <t>Enter Ground Elevation of each trench and the trench length if not equal</t>
  </si>
  <si>
    <t>Enter Upslope Elevation of bed and the corner elevations</t>
  </si>
  <si>
    <t>Soil Observation Elev</t>
  </si>
  <si>
    <t>Length of pipe (ft) x 1 in ÷ 8 ft ÷ 12</t>
  </si>
  <si>
    <t xml:space="preserve"> </t>
  </si>
  <si>
    <t>ST = Septic Tank, HT = Holding Tank, PT = Pump Tank</t>
  </si>
  <si>
    <t>Elevation Difference - Supply Line to Distribution</t>
  </si>
  <si>
    <t xml:space="preserve"> For Mound: - +0.5' above Sand Height - Pump Intake</t>
  </si>
  <si>
    <t xml:space="preserve"> For Trenches: - Min. Elev. Trench #1 - Pump Intake</t>
  </si>
  <si>
    <t>ft - Minimum at 1 % Slope = Length of pipe (ft) x 1 in ÷ 8 ft ÷ 12</t>
  </si>
  <si>
    <t xml:space="preserve"> For Atgrade: Bottom of Lateral Height - Pump Intake</t>
  </si>
  <si>
    <t xml:space="preserve"> For Bed: Bottom of Lateral Height - Pump Intake</t>
  </si>
  <si>
    <t xml:space="preserve">Elevation to Rod Reading = Height of instrument + Benchmark - Elevation </t>
  </si>
  <si>
    <t>Rod Reading =</t>
  </si>
  <si>
    <t>+</t>
  </si>
  <si>
    <t>-</t>
  </si>
  <si>
    <t>PROJECT INFORMATION</t>
  </si>
  <si>
    <t>Date:</t>
  </si>
  <si>
    <t>Email Address:</t>
  </si>
  <si>
    <t>DESIGN FLOW &amp; WASTE STRENGTH</t>
  </si>
  <si>
    <t>Attach waste strength data/estimated strength for Other Establishments to the Design</t>
  </si>
  <si>
    <t xml:space="preserve"> TSS:</t>
  </si>
  <si>
    <t>Oil &amp; Grease:</t>
  </si>
  <si>
    <t>Treatment Level:</t>
  </si>
  <si>
    <t>Select Treatment Level C for 
residential septic tank effluent</t>
  </si>
  <si>
    <t>HOLDING TANK SIZING</t>
  </si>
  <si>
    <t>Holding Tank Sizing: see 7080.2290</t>
  </si>
  <si>
    <t>Minimum Capacity: Residential =1000 gal or 400 gal/bedroom, Other Establishment = Design Flow x 5.0,  Minimum size 1000 gallons</t>
  </si>
  <si>
    <r>
      <rPr>
        <i/>
        <sz val="10"/>
        <rFont val="Trebuchet MS"/>
        <family val="2"/>
      </rPr>
      <t>Code Minimum</t>
    </r>
    <r>
      <rPr>
        <sz val="10"/>
        <rFont val="Trebuchet MS"/>
        <family val="2"/>
      </rPr>
      <t xml:space="preserve"> </t>
    </r>
    <r>
      <rPr>
        <b/>
        <sz val="10"/>
        <rFont val="Trebuchet MS"/>
        <family val="2"/>
      </rPr>
      <t xml:space="preserve">Holding Tank </t>
    </r>
    <r>
      <rPr>
        <sz val="10"/>
        <rFont val="Trebuchet MS"/>
        <family val="2"/>
      </rPr>
      <t>Capacity:</t>
    </r>
  </si>
  <si>
    <t>Gallons</t>
  </si>
  <si>
    <t>with</t>
  </si>
  <si>
    <t>Tanks or Compartments</t>
  </si>
  <si>
    <r>
      <rPr>
        <i/>
        <sz val="10"/>
        <rFont val="Trebuchet MS"/>
        <family val="2"/>
      </rPr>
      <t>Recommended</t>
    </r>
    <r>
      <rPr>
        <sz val="10"/>
        <rFont val="Trebuchet MS"/>
        <family val="2"/>
      </rPr>
      <t xml:space="preserve"> </t>
    </r>
    <r>
      <rPr>
        <b/>
        <sz val="10"/>
        <rFont val="Trebuchet MS"/>
        <family val="2"/>
      </rPr>
      <t>Holding Tank</t>
    </r>
    <r>
      <rPr>
        <sz val="10"/>
        <rFont val="Trebuchet MS"/>
        <family val="2"/>
      </rPr>
      <t xml:space="preserve"> Capacity:</t>
    </r>
  </si>
  <si>
    <t>The holding tank(s) will be:</t>
  </si>
  <si>
    <t>Existing tank reuse requires a tank integrity assessment</t>
  </si>
  <si>
    <t>Type of High Level Alarm:</t>
  </si>
  <si>
    <t>(Alarm Set @ 75% tank capacity measured from inlet to bottom)</t>
  </si>
  <si>
    <t>SEPTIC TANK SIZING</t>
  </si>
  <si>
    <t>A.</t>
  </si>
  <si>
    <t>Residential dwellings:</t>
  </si>
  <si>
    <t>Number of Bedrooms (Residential):</t>
  </si>
  <si>
    <r>
      <rPr>
        <i/>
        <sz val="10"/>
        <rFont val="Trebuchet MS"/>
        <family val="2"/>
      </rPr>
      <t>Code Minimum</t>
    </r>
    <r>
      <rPr>
        <sz val="10"/>
        <rFont val="Trebuchet MS"/>
        <family val="2"/>
      </rPr>
      <t xml:space="preserve"> </t>
    </r>
    <r>
      <rPr>
        <b/>
        <sz val="10"/>
        <rFont val="Trebuchet MS"/>
        <family val="2"/>
      </rPr>
      <t>Septic Tank</t>
    </r>
    <r>
      <rPr>
        <sz val="10"/>
        <rFont val="Trebuchet MS"/>
        <family val="2"/>
      </rPr>
      <t xml:space="preserve"> Capacity:</t>
    </r>
  </si>
  <si>
    <r>
      <rPr>
        <i/>
        <sz val="10"/>
        <rFont val="Trebuchet MS"/>
        <family val="2"/>
      </rPr>
      <t>Recommended</t>
    </r>
    <r>
      <rPr>
        <sz val="10"/>
        <rFont val="Trebuchet MS"/>
        <family val="2"/>
      </rPr>
      <t xml:space="preserve"> </t>
    </r>
    <r>
      <rPr>
        <b/>
        <sz val="10"/>
        <rFont val="Trebuchet MS"/>
        <family val="2"/>
      </rPr>
      <t>Septic Tank</t>
    </r>
    <r>
      <rPr>
        <sz val="10"/>
        <rFont val="Trebuchet MS"/>
        <family val="2"/>
      </rPr>
      <t xml:space="preserve"> Capacity:</t>
    </r>
  </si>
  <si>
    <t>The septic tank(s) will be:</t>
  </si>
  <si>
    <t>Effluent Screen &amp; Alarm (Y/N):</t>
  </si>
  <si>
    <t>Model/Type:</t>
  </si>
  <si>
    <t>B.</t>
  </si>
  <si>
    <t>Other Establishments:</t>
  </si>
  <si>
    <t>Waste received by:</t>
  </si>
  <si>
    <t>GPD x</t>
  </si>
  <si>
    <t>Days Hyd. Retention Time</t>
  </si>
  <si>
    <r>
      <t xml:space="preserve"> </t>
    </r>
    <r>
      <rPr>
        <i/>
        <sz val="10"/>
        <rFont val="Trebuchet MS"/>
        <family val="2"/>
      </rPr>
      <t>7080 Minimum</t>
    </r>
    <r>
      <rPr>
        <sz val="10"/>
        <rFont val="Trebuchet MS"/>
        <family val="2"/>
      </rPr>
      <t xml:space="preserve"> </t>
    </r>
    <r>
      <rPr>
        <b/>
        <sz val="10"/>
        <rFont val="Trebuchet MS"/>
        <family val="2"/>
      </rPr>
      <t xml:space="preserve">Septic Tank </t>
    </r>
    <r>
      <rPr>
        <sz val="10"/>
        <rFont val="Trebuchet MS"/>
        <family val="2"/>
      </rPr>
      <t>Capacity:</t>
    </r>
  </si>
  <si>
    <r>
      <rPr>
        <i/>
        <sz val="10"/>
        <rFont val="Trebuchet MS"/>
        <family val="2"/>
      </rPr>
      <t>Designed</t>
    </r>
    <r>
      <rPr>
        <b/>
        <sz val="10"/>
        <rFont val="Trebuchet MS"/>
        <family val="2"/>
      </rPr>
      <t xml:space="preserve"> Septic Tank</t>
    </r>
    <r>
      <rPr>
        <sz val="10"/>
        <rFont val="Trebuchet MS"/>
        <family val="2"/>
      </rPr>
      <t xml:space="preserve"> Capacity:</t>
    </r>
  </si>
  <si>
    <t xml:space="preserve"> * Other Establishments Require Department of Labor and Industry Approval and Inspection for Building Sewer *</t>
  </si>
  <si>
    <r>
      <t xml:space="preserve">PUMP TANK SIZING   </t>
    </r>
    <r>
      <rPr>
        <i/>
        <sz val="10"/>
        <color rgb="FFFF0000"/>
        <rFont val="Trebuchet MS"/>
        <family val="2"/>
      </rPr>
      <t xml:space="preserve"> Sizing: see 7080.2100  </t>
    </r>
  </si>
  <si>
    <t>Soil Treatment Dosing Tank</t>
  </si>
  <si>
    <t>Other Component Dosing Tank:</t>
  </si>
  <si>
    <t>Pump Tank Capacity (7080 Minimum):</t>
  </si>
  <si>
    <t>Gal</t>
  </si>
  <si>
    <t>Pump Tank Capacity (Designed):</t>
  </si>
  <si>
    <t>Pump Req:</t>
  </si>
  <si>
    <t>GPM</t>
  </si>
  <si>
    <t>Total Head</t>
  </si>
  <si>
    <t>Supply Pipe Dia.</t>
  </si>
  <si>
    <t>Dose Vol:</t>
  </si>
  <si>
    <t>gal</t>
  </si>
  <si>
    <t>* Flow measurement device must be incorporated for any system with a pump *</t>
  </si>
  <si>
    <t>Type</t>
  </si>
  <si>
    <t>Dist.</t>
  </si>
  <si>
    <t>SYSTEM  AND DISTRIBUTION TYPE</t>
  </si>
  <si>
    <t>Code</t>
  </si>
  <si>
    <t>Soil Treatment Type:</t>
  </si>
  <si>
    <t>Distribution Type:</t>
  </si>
  <si>
    <t xml:space="preserve">Elevation Benchmark: </t>
  </si>
  <si>
    <t xml:space="preserve">Benchmark Location: </t>
  </si>
  <si>
    <t>MPCA System Type:</t>
  </si>
  <si>
    <t>Distribution Media:</t>
  </si>
  <si>
    <t>System Elev</t>
  </si>
  <si>
    <t>Type III/IV/V Details:</t>
  </si>
  <si>
    <t>SITE EVALUATION SUMMARY:</t>
  </si>
  <si>
    <t>Dist. BtM</t>
  </si>
  <si>
    <t>Describe Limiting Condition:</t>
  </si>
  <si>
    <t>T&amp;B</t>
  </si>
  <si>
    <t>Layers with &gt;35% Rock Fragments? (yes/no)</t>
  </si>
  <si>
    <t>If yes, describe below:  % rock and layer thickness, amount of</t>
  </si>
  <si>
    <t>AT</t>
  </si>
  <si>
    <t xml:space="preserve"> soil credit and any additional information for addressing the rock fragments in this design.</t>
  </si>
  <si>
    <t>MD</t>
  </si>
  <si>
    <t>Elevations are critical for system compliance.</t>
  </si>
  <si>
    <t>Limiting Condition:</t>
  </si>
  <si>
    <t>Minimum Req'd Separation:</t>
  </si>
  <si>
    <t>Mound Minimum Sand Depth:</t>
  </si>
  <si>
    <t>Designed Distribution Media Bottom Elevation*:</t>
  </si>
  <si>
    <t>Designed Separation:</t>
  </si>
  <si>
    <t>Elevation Check?</t>
  </si>
  <si>
    <t>Elevation meets min Separation</t>
  </si>
  <si>
    <t>*This is the minimum elevation of the bottom of the distribution media for required separation related to the established benchmark</t>
  </si>
  <si>
    <t>Check elevation for separation</t>
  </si>
  <si>
    <t>A. Soil Texture:</t>
  </si>
  <si>
    <t>B. Soil Hyd. Loading Rate:</t>
  </si>
  <si>
    <r>
      <t>GPD/ft</t>
    </r>
    <r>
      <rPr>
        <vertAlign val="superscript"/>
        <sz val="10"/>
        <rFont val="Trebuchet MS"/>
        <family val="2"/>
      </rPr>
      <t>2</t>
    </r>
  </si>
  <si>
    <t xml:space="preserve"> C: Percolation Rate:</t>
  </si>
  <si>
    <t>MPI</t>
  </si>
  <si>
    <t>Contour Loading Rates  Type I system ≤ 12</t>
  </si>
  <si>
    <t>D. Contour Loading Rate:</t>
  </si>
  <si>
    <t>Maximum in Rule</t>
  </si>
  <si>
    <t>Full Size System, Natural Soil, &gt; 12 inches separation, Normal Wastewater, Perc &lt; 120 MPI</t>
  </si>
  <si>
    <t>E. Measured Land Slope:</t>
  </si>
  <si>
    <t>6-12</t>
  </si>
  <si>
    <t>Bad Sites</t>
  </si>
  <si>
    <t>Reduced Size System, &lt;12 inches separation, Disturbed Soils, Perc &lt; 120 MPI</t>
  </si>
  <si>
    <t>&lt;6</t>
  </si>
  <si>
    <t>Problematic Ugly Sites</t>
  </si>
  <si>
    <t>Disturbed Soil, Perc &gt; 120 MPI</t>
  </si>
  <si>
    <t>Trench:</t>
  </si>
  <si>
    <t>Dispersal Area</t>
  </si>
  <si>
    <t>sq.ft</t>
  </si>
  <si>
    <t>Sidewall Depth</t>
  </si>
  <si>
    <t>Trench Width</t>
  </si>
  <si>
    <t>Total Lineal Feet</t>
  </si>
  <si>
    <t>No. of Trenches</t>
  </si>
  <si>
    <t>Code Max. Trench Depth</t>
  </si>
  <si>
    <t>Contour Loading Rate</t>
  </si>
  <si>
    <t>Minimum Length</t>
  </si>
  <si>
    <t xml:space="preserve">ft   </t>
  </si>
  <si>
    <t>Designed Trench Depth</t>
  </si>
  <si>
    <t>Bed:</t>
  </si>
  <si>
    <t>Maximum Bed Depth</t>
  </si>
  <si>
    <t>Bed Width</t>
  </si>
  <si>
    <t>Bed Length</t>
  </si>
  <si>
    <t>Designed Bed Depth</t>
  </si>
  <si>
    <t>Mound:</t>
  </si>
  <si>
    <t>Media Length</t>
  </si>
  <si>
    <t>Media Width</t>
  </si>
  <si>
    <t>Absorption Width</t>
  </si>
  <si>
    <t>Clean Sand Lift</t>
  </si>
  <si>
    <t>Berm Width  (0-1%)</t>
  </si>
  <si>
    <t>Upslope Berm Width</t>
  </si>
  <si>
    <t>Downslope Berm</t>
  </si>
  <si>
    <t>Endslope Berm Width</t>
  </si>
  <si>
    <t>Total System Length</t>
  </si>
  <si>
    <t>System Width</t>
  </si>
  <si>
    <t>gal/ft</t>
  </si>
  <si>
    <t>At-Grade:</t>
  </si>
  <si>
    <t>Upslope Berm</t>
  </si>
  <si>
    <t>Finished Height</t>
  </si>
  <si>
    <t>System Length</t>
  </si>
  <si>
    <t>Endslope Berm</t>
  </si>
  <si>
    <t>Level &amp; Equal Pressure Distribution Soil Treatment Area</t>
  </si>
  <si>
    <t>No. of Laterals</t>
  </si>
  <si>
    <t>Lateral Diameter</t>
  </si>
  <si>
    <t>Lateral Spacing</t>
  </si>
  <si>
    <t>Perforation Spacing</t>
  </si>
  <si>
    <t>Perforation Diameter</t>
  </si>
  <si>
    <t>in    Drainback Volume</t>
  </si>
  <si>
    <t>Min Dose Volume</t>
  </si>
  <si>
    <t>gal   Max Dose Volume</t>
  </si>
  <si>
    <t>Total Dosing Volume</t>
  </si>
  <si>
    <t>Non-Level and Unequal Pressure Distribution Soil Treatment Area</t>
  </si>
  <si>
    <t>Elevation (ft)</t>
  </si>
  <si>
    <t>Pipe Size (in)</t>
  </si>
  <si>
    <t>Pipe Volume (gal/ft)</t>
  </si>
  <si>
    <t>Pipe Length (ft)</t>
  </si>
  <si>
    <t>Perf Size (in)</t>
  </si>
  <si>
    <t>Spacing (ft)</t>
  </si>
  <si>
    <t>Spacing (in)</t>
  </si>
  <si>
    <t>Minimum Dose Volume</t>
  </si>
  <si>
    <t>Lateral 1</t>
  </si>
  <si>
    <t>Maximum Dose Volume</t>
  </si>
  <si>
    <t>Lateral 2</t>
  </si>
  <si>
    <t>Lateral 3</t>
  </si>
  <si>
    <t>Lateral 4</t>
  </si>
  <si>
    <t>Lateral 5</t>
  </si>
  <si>
    <t>Lateral 6</t>
  </si>
  <si>
    <r>
      <t xml:space="preserve">Organic Loading and Additional Info for HSW or Type IV/V Design  -  </t>
    </r>
    <r>
      <rPr>
        <b/>
        <sz val="10"/>
        <color rgb="FFFF0000"/>
        <rFont val="Trebuchet MS"/>
        <family val="2"/>
      </rPr>
      <t>See Organic Loading tab</t>
    </r>
  </si>
  <si>
    <t>Organic Loading to Soil Treatment (Based on Waste Strength Data and Organic Loading Design)</t>
  </si>
  <si>
    <t>Organic Loading Based on:</t>
  </si>
  <si>
    <r>
      <rPr>
        <b/>
        <sz val="10"/>
        <rFont val="Trebuchet MS"/>
        <family val="2"/>
      </rPr>
      <t>B.</t>
    </r>
    <r>
      <rPr>
        <sz val="10"/>
        <rFont val="Trebuchet MS"/>
        <family val="2"/>
      </rPr>
      <t xml:space="preserve">  Minimum required area</t>
    </r>
  </si>
  <si>
    <t>Technology Strength Reduction (Treatment Level or HSW)</t>
  </si>
  <si>
    <t>Starting Waste Strength</t>
  </si>
  <si>
    <t>Treatment designed to meet:</t>
  </si>
  <si>
    <t>Pretreatment Technology:</t>
  </si>
  <si>
    <t>*Must Meet or Exceed Target Level</t>
  </si>
  <si>
    <t>Model:</t>
  </si>
  <si>
    <t>Units:</t>
  </si>
  <si>
    <t>Disinfection Technology:</t>
  </si>
  <si>
    <t>*Required for Levels A &amp; B</t>
  </si>
  <si>
    <t>Comments/Special Design Considerations:</t>
  </si>
  <si>
    <t>(Designer)</t>
  </si>
  <si>
    <t xml:space="preserve"> Trench Design Worksheet</t>
  </si>
  <si>
    <t>SYSTEM SIZING:</t>
  </si>
  <si>
    <t xml:space="preserve">Project ID:  </t>
  </si>
  <si>
    <r>
      <t>Design Flow</t>
    </r>
    <r>
      <rPr>
        <sz val="8"/>
        <rFont val="Trebuchet MS"/>
        <family val="2"/>
      </rPr>
      <t>:</t>
    </r>
  </si>
  <si>
    <t>Code Maximum Depth:</t>
  </si>
  <si>
    <t>Designers Maximum Depth:</t>
  </si>
  <si>
    <t>C.</t>
  </si>
  <si>
    <r>
      <t>Soil Loading Rate</t>
    </r>
    <r>
      <rPr>
        <sz val="9"/>
        <rFont val="Trebuchet MS"/>
        <family val="2"/>
      </rPr>
      <t>:</t>
    </r>
  </si>
  <si>
    <t>GPD/sq.ft</t>
  </si>
  <si>
    <t>Contour Loading Rate:</t>
  </si>
  <si>
    <t>D.</t>
  </si>
  <si>
    <r>
      <t xml:space="preserve">Required Bottom Area: Design Flow(1A) </t>
    </r>
    <r>
      <rPr>
        <sz val="10"/>
        <rFont val="AmerType Md BT"/>
        <family val="1"/>
      </rPr>
      <t>÷</t>
    </r>
    <r>
      <rPr>
        <sz val="10"/>
        <rFont val="Trebuchet MS"/>
        <family val="2"/>
      </rPr>
      <t xml:space="preserve"> Soil Loading Rate(1C)</t>
    </r>
  </si>
  <si>
    <r>
      <t>GPD</t>
    </r>
    <r>
      <rPr>
        <sz val="9"/>
        <rFont val="AmerType Md BT"/>
        <family val="1"/>
      </rPr>
      <t xml:space="preserve"> ÷</t>
    </r>
  </si>
  <si>
    <r>
      <t xml:space="preserve"> GPD/sq.ft</t>
    </r>
    <r>
      <rPr>
        <vertAlign val="superscript"/>
        <sz val="9"/>
        <rFont val="Trebuchet MS"/>
        <family val="2"/>
      </rPr>
      <t xml:space="preserve">    </t>
    </r>
    <r>
      <rPr>
        <sz val="9"/>
        <rFont val="Trebuchet MS"/>
        <family val="2"/>
      </rPr>
      <t>=</t>
    </r>
  </si>
  <si>
    <r>
      <rPr>
        <b/>
        <sz val="10"/>
        <color rgb="FFFF0000"/>
        <rFont val="Trebuchet MS"/>
        <family val="2"/>
      </rPr>
      <t>Optional</t>
    </r>
    <r>
      <rPr>
        <b/>
        <sz val="10"/>
        <rFont val="Trebuchet MS"/>
        <family val="2"/>
      </rPr>
      <t xml:space="preserve"> </t>
    </r>
    <r>
      <rPr>
        <sz val="10"/>
        <rFont val="Trebuchet MS"/>
        <family val="2"/>
      </rPr>
      <t xml:space="preserve">Upsizing of Dispersal Media Area </t>
    </r>
  </si>
  <si>
    <t>E.</t>
  </si>
  <si>
    <t>Larger Area Size or Organic Sizing of Area (see organic loading sheet - 2G)</t>
  </si>
  <si>
    <t>F.</t>
  </si>
  <si>
    <t>Designed Bottom Area:</t>
  </si>
  <si>
    <t>G.</t>
  </si>
  <si>
    <t>Select Dispersal Media:</t>
  </si>
  <si>
    <t>If Registered Media</t>
  </si>
  <si>
    <t>H.</t>
  </si>
  <si>
    <t>Select Distribution Method:</t>
  </si>
  <si>
    <t>I.</t>
  </si>
  <si>
    <t>Is distribution media installed in contact with sand or loamy sand or with a percolation rate of 0.1 to 5 mpi?</t>
  </si>
  <si>
    <t>If yes, Indicate distribution or treatment method:</t>
  </si>
  <si>
    <t>TRENCH CONFIGURATION</t>
  </si>
  <si>
    <r>
      <t>Initial required trench bottom area (ft</t>
    </r>
    <r>
      <rPr>
        <vertAlign val="superscript"/>
        <sz val="10"/>
        <rFont val="Trebuchet MS"/>
        <family val="2"/>
      </rPr>
      <t>2</t>
    </r>
    <r>
      <rPr>
        <sz val="10"/>
        <rFont val="Trebuchet MS"/>
        <family val="2"/>
      </rPr>
      <t>): (from 1.D)</t>
    </r>
  </si>
  <si>
    <t>Sidewall Absorption (inches)</t>
  </si>
  <si>
    <t>Bottom Area Reduction</t>
  </si>
  <si>
    <t>Bottom Area Multiplier</t>
  </si>
  <si>
    <t>Design trench bottom area</t>
  </si>
  <si>
    <t>6 to 11</t>
  </si>
  <si>
    <t>0%</t>
  </si>
  <si>
    <t>Product Side Wall Height (inches)</t>
  </si>
  <si>
    <t>12 to 17</t>
  </si>
  <si>
    <t>18 to 23</t>
  </si>
  <si>
    <t>Sidewall Height (as registered):</t>
  </si>
  <si>
    <t>inches   =</t>
  </si>
  <si>
    <t>Check registered product information for specific application details  and design</t>
  </si>
  <si>
    <t>Design Bottom Area:</t>
  </si>
  <si>
    <t>sqft</t>
  </si>
  <si>
    <t>Trench Width (as registered):</t>
  </si>
  <si>
    <t xml:space="preserve">Total Designed Trench Length: Bottom Area (2C)  ÷ Trench Width(2D) </t>
  </si>
  <si>
    <r>
      <t xml:space="preserve"> sq.ft     </t>
    </r>
    <r>
      <rPr>
        <sz val="10"/>
        <rFont val="Arial"/>
        <family val="2"/>
      </rPr>
      <t>÷</t>
    </r>
  </si>
  <si>
    <t>ft   =</t>
  </si>
  <si>
    <r>
      <t>Calculate Minimum length of each trench based on Contour Loading Rate: Design Flow(1A) ÷ CLR (1C</t>
    </r>
    <r>
      <rPr>
        <vertAlign val="subscript"/>
        <sz val="10"/>
        <rFont val="Trebuchet MS"/>
        <family val="2"/>
      </rPr>
      <t>2</t>
    </r>
    <r>
      <rPr>
        <sz val="10"/>
        <rFont val="Trebuchet MS"/>
        <family val="2"/>
      </rPr>
      <t xml:space="preserve">) = </t>
    </r>
  </si>
  <si>
    <t>gpd ÷</t>
  </si>
  <si>
    <t>gal/ft     =</t>
  </si>
  <si>
    <t>Rapidly Permeable Soil Design Considerations:</t>
  </si>
  <si>
    <t>15% Trench Distribution = Required Bottom Area (2C) x 15%.</t>
  </si>
  <si>
    <t>sq.ft     X    15%       =</t>
  </si>
  <si>
    <t>Length Trenches at 15 %: Trench area (2G) ÷ Trench Width(2D)</t>
  </si>
  <si>
    <r>
      <t xml:space="preserve">sq.ft      </t>
    </r>
    <r>
      <rPr>
        <sz val="10"/>
        <rFont val="Arial"/>
        <family val="2"/>
      </rPr>
      <t>÷</t>
    </r>
    <r>
      <rPr>
        <sz val="10"/>
        <rFont val="Trebuchet MS"/>
        <family val="2"/>
      </rPr>
      <t xml:space="preserve">  </t>
    </r>
  </si>
  <si>
    <r>
      <t xml:space="preserve">Based on 15% sections </t>
    </r>
    <r>
      <rPr>
        <sz val="8"/>
        <rFont val="Trebuchet MS"/>
        <family val="2"/>
      </rPr>
      <t xml:space="preserve"> (2E)/(2G)</t>
    </r>
  </si>
  <si>
    <t>Number of Trenches:</t>
  </si>
  <si>
    <r>
      <t>Based on CLR minimum length</t>
    </r>
    <r>
      <rPr>
        <sz val="8"/>
        <rFont val="Trebuchet MS"/>
        <family val="2"/>
      </rPr>
      <t xml:space="preserve">  (2E)/(2F)</t>
    </r>
    <r>
      <rPr>
        <sz val="10"/>
        <rFont val="Trebuchet MS"/>
        <family val="2"/>
      </rPr>
      <t>.</t>
    </r>
  </si>
  <si>
    <t>Designed Number of Trenches:</t>
  </si>
  <si>
    <t>Equal Length per Trench = Actual Trench Length(2E)  ÷ Number of Trenches(2H)</t>
  </si>
  <si>
    <t>ft   ÷</t>
  </si>
  <si>
    <t xml:space="preserve">         =</t>
  </si>
  <si>
    <t>J.</t>
  </si>
  <si>
    <t>Select Trench Spacing :</t>
  </si>
  <si>
    <t>(typically 5 - 12 ft from center to center)</t>
  </si>
  <si>
    <t>K.</t>
  </si>
  <si>
    <t>Calculate Lawn Area: Total Trench Length(2E) X Trench Spacing(2J)</t>
  </si>
  <si>
    <t>ft   X</t>
  </si>
  <si>
    <t>ft    =</t>
  </si>
  <si>
    <t>sq.ft lawn area</t>
  </si>
  <si>
    <t>ESTIMATED ROCK MATERIALS</t>
  </si>
  <si>
    <t>Select Depth Required to Cover Distribution Pipe:</t>
  </si>
  <si>
    <t>(0.33 ft for pressure, 0.5 ft for gravity)</t>
  </si>
  <si>
    <t xml:space="preserve">Calculate Rock Volume: </t>
  </si>
  <si>
    <t>(Sidewall Height(2B)  + Depth to Cover Pipe(3A))  X Bottom Area(2C) = cubic feet ÷ 27 = cubic yards</t>
  </si>
  <si>
    <t>(</t>
  </si>
  <si>
    <t>ft    +</t>
  </si>
  <si>
    <t>ft )  X</t>
  </si>
  <si>
    <t>=</t>
  </si>
  <si>
    <t>cu.ft</t>
  </si>
  <si>
    <t>÷ 27</t>
  </si>
  <si>
    <t>cu.yd</t>
  </si>
  <si>
    <t>Trench to be constructed to dimensions in design.  This is an estimate of materials needed.  Individual construction practices may vary quantities.</t>
  </si>
  <si>
    <t>ESTIMATED REGISTERED PRODUCTS MATERIALS</t>
  </si>
  <si>
    <t>Total Length to be Installed:</t>
  </si>
  <si>
    <t>Check registered product information for specific application details and design</t>
  </si>
  <si>
    <t xml:space="preserve"> Total Designed for Install (4B)  - Total Trench Required(2E)    (must be a positive number)</t>
  </si>
  <si>
    <t>Total ft   -</t>
  </si>
  <si>
    <t xml:space="preserve">ft required   = </t>
  </si>
  <si>
    <t>Dimension Summary</t>
  </si>
  <si>
    <t>Trench Width (in)</t>
  </si>
  <si>
    <t>One 4" Inspection pipe per trench</t>
  </si>
  <si>
    <t>Minimum 12 inch cover</t>
  </si>
  <si>
    <t>Elevation based on Benchmark</t>
  </si>
  <si>
    <t>Total Feet</t>
  </si>
  <si>
    <r>
      <t xml:space="preserve">Media Depth (in) </t>
    </r>
    <r>
      <rPr>
        <i/>
        <sz val="10"/>
        <rFont val="Trebuchet MS"/>
        <family val="2"/>
      </rPr>
      <t>Below Pipe</t>
    </r>
    <r>
      <rPr>
        <sz val="10"/>
        <rFont val="Trebuchet MS"/>
        <family val="2"/>
      </rPr>
      <t xml:space="preserve"> </t>
    </r>
  </si>
  <si>
    <t>Product Total Height (inches)</t>
  </si>
  <si>
    <t>Number of Trenches</t>
  </si>
  <si>
    <t>Max Depth (in) Designed</t>
  </si>
  <si>
    <t>Required Separation (in)</t>
  </si>
  <si>
    <t>Limiting Condition (in)</t>
  </si>
  <si>
    <t>Bed Design Worksheet</t>
  </si>
  <si>
    <r>
      <t xml:space="preserve">Hydraulic Absorption Required Bottom Area: Design Flow (1A) </t>
    </r>
    <r>
      <rPr>
        <sz val="10"/>
        <rFont val="AmerType Md BT"/>
        <family val="1"/>
      </rPr>
      <t>÷</t>
    </r>
    <r>
      <rPr>
        <sz val="10"/>
        <rFont val="Trebuchet MS"/>
        <family val="2"/>
      </rPr>
      <t xml:space="preserve"> Soil Loading Rate (1C)</t>
    </r>
  </si>
  <si>
    <r>
      <t>GPD</t>
    </r>
    <r>
      <rPr>
        <sz val="10"/>
        <rFont val="AmerType Md BT"/>
        <family val="1"/>
      </rPr>
      <t xml:space="preserve"> ÷</t>
    </r>
  </si>
  <si>
    <t>Product:</t>
  </si>
  <si>
    <t xml:space="preserve">If distribution media is installed in contact with sand or loamy sand or with a percolation rate of 0.1 to 5 mpi </t>
  </si>
  <si>
    <t>indicate distribution or treatment method:</t>
  </si>
  <si>
    <t>BED CONFIGURATION: (Less than 6% slope required)</t>
  </si>
  <si>
    <t>Select size Multiplier:</t>
  </si>
  <si>
    <t xml:space="preserve">1.0 = pressurized or 1.5 = gravity </t>
  </si>
  <si>
    <t xml:space="preserve">Required Bed Area =Hydraulic Absorption area (1D) or Upsized Bed Area (1E) X Size Multiplier (2A) = </t>
  </si>
  <si>
    <t>sq.ft     X</t>
  </si>
  <si>
    <t xml:space="preserve">    = </t>
  </si>
  <si>
    <t>Select Bed Width:</t>
  </si>
  <si>
    <t>12' max for gravity distribution, 25' max for pressure distribution</t>
  </si>
  <si>
    <t>Calculate Bed Length: Designed Bottom Area (2B)  ÷ Bed Width (2C)  = Bed Length</t>
  </si>
  <si>
    <r>
      <t xml:space="preserve">sq.ft   </t>
    </r>
    <r>
      <rPr>
        <sz val="10"/>
        <rFont val="Arial"/>
        <family val="2"/>
      </rPr>
      <t>÷</t>
    </r>
  </si>
  <si>
    <t>ft =</t>
  </si>
  <si>
    <t xml:space="preserve">ft </t>
  </si>
  <si>
    <t xml:space="preserve"> Contour Loading Rate:  Bed Width (2C) x SHLR (1C)</t>
  </si>
  <si>
    <t>x</t>
  </si>
  <si>
    <t>ESTIMATED MATERIAL CALCULATION: ROCK</t>
  </si>
  <si>
    <t>If drainfield rock is being used, select sidewall height</t>
  </si>
  <si>
    <t>Media Volume: (Media Depth(3A)  + depth to cover pipe) X Designed Bottom Area(2B) = cu.ft</t>
  </si>
  <si>
    <t>ft +</t>
  </si>
  <si>
    <t>ft)  X</t>
  </si>
  <si>
    <t>sq.ft     =</t>
  </si>
  <si>
    <t>Calculate Volume in cubic yards: Media volume in cubic feet (3B)  ÷ 27 = cubic yards</t>
  </si>
  <si>
    <t>cu.ft  ÷     27    =</t>
  </si>
  <si>
    <t>Bed to be constructed to dimensions in design.  This is an estimate of materials needed.  Individual construction practices may vary quantities.</t>
  </si>
  <si>
    <t>ESTIMATED MATERIAL CALCULATION: REGISTERED PRODUCTS - CHAMBERS AND EZFLOW</t>
  </si>
  <si>
    <t>Low Profile</t>
  </si>
  <si>
    <t>Minimum</t>
  </si>
  <si>
    <t>High Capacity</t>
  </si>
  <si>
    <t xml:space="preserve">D.  </t>
  </si>
  <si>
    <t>Component depth (see Registration)</t>
  </si>
  <si>
    <t>End View</t>
  </si>
  <si>
    <t>Max Depth (in)- Design</t>
  </si>
  <si>
    <t>Bed Width  (ft)</t>
  </si>
  <si>
    <t>Top View</t>
  </si>
  <si>
    <t>One 4" Inspection pipe per bed required</t>
  </si>
  <si>
    <t>Pressure Distribution Pipes must be no less 12 inches and no more than 24 inches from the edges</t>
  </si>
  <si>
    <t>Bed Width (ft)</t>
  </si>
  <si>
    <t>Bottom Area (sq.ft)</t>
  </si>
  <si>
    <t>Bed Length  (ft)</t>
  </si>
  <si>
    <t>Manifold Connection:</t>
  </si>
  <si>
    <t>Perforation Size:</t>
  </si>
  <si>
    <t>(in)</t>
  </si>
  <si>
    <t>Perforation Spacing:</t>
  </si>
  <si>
    <t xml:space="preserve"> At-Grade Design Worksheet</t>
  </si>
  <si>
    <t>DISPERSAL MEDIA SIZING:</t>
  </si>
  <si>
    <t>% Land Slope:</t>
  </si>
  <si>
    <t>Soil Loading Rate:</t>
  </si>
  <si>
    <t>GPD/ft</t>
  </si>
  <si>
    <t>Absorption Bed Width = Contour Loading Rate (1D) ÷ Soil Loading Rate (1B)</t>
  </si>
  <si>
    <t>Cannot exceed 15 feet</t>
  </si>
  <si>
    <t>GPD/ft   ÷</t>
  </si>
  <si>
    <t>GPD/ft =</t>
  </si>
  <si>
    <t xml:space="preserve">Absorption Bed Length = Design Flow (1A)  ÷ Contour Loading Rate(1D) </t>
  </si>
  <si>
    <t>GPD   ÷</t>
  </si>
  <si>
    <t>Hydraulic Absorption Bed Area = Design Flow (1A) ÷ Soil Loading Rate (1B)</t>
  </si>
  <si>
    <t>gpd   ÷</t>
  </si>
  <si>
    <t>GPD/sq.ft           =</t>
  </si>
  <si>
    <t>Required Bed Area = Greater of Hydraulic (G) or Upsized Bed Area (H)</t>
  </si>
  <si>
    <t>Required Bed Length = Required Bed Area (sq.ft)(I.) ÷ Absorption Width(E.)</t>
  </si>
  <si>
    <t>J. 1</t>
  </si>
  <si>
    <t>If a longer dispersal media is desired, enter Length(ft):</t>
  </si>
  <si>
    <t xml:space="preserve">K. </t>
  </si>
  <si>
    <t>Type of Distribution Media:</t>
  </si>
  <si>
    <t>BERM SIZING:</t>
  </si>
  <si>
    <t>Determine System Height = Full depth of media +  12" cover)</t>
  </si>
  <si>
    <t>1. a</t>
  </si>
  <si>
    <t>1. b</t>
  </si>
  <si>
    <r>
      <t xml:space="preserve">Registered Media Height (in) + 12" Cover  </t>
    </r>
    <r>
      <rPr>
        <i/>
        <sz val="9"/>
        <color rgb="FFFF0000"/>
        <rFont val="Trebuchet MS"/>
        <family val="2"/>
      </rPr>
      <t>See product registration information for Media Height</t>
    </r>
  </si>
  <si>
    <t>ft   +</t>
  </si>
  <si>
    <r>
      <t xml:space="preserve">ft   +   </t>
    </r>
    <r>
      <rPr>
        <sz val="12"/>
        <rFont val="Trebuchet MS"/>
        <family val="2"/>
      </rPr>
      <t>1</t>
    </r>
    <r>
      <rPr>
        <sz val="10"/>
        <rFont val="Trebuchet MS"/>
        <family val="2"/>
      </rPr>
      <t xml:space="preserve"> ft    =</t>
    </r>
  </si>
  <si>
    <t>Media Depth (in)</t>
  </si>
  <si>
    <t xml:space="preserve">Media Depth (ft) </t>
  </si>
  <si>
    <t>Determine Upslope Berm Width</t>
  </si>
  <si>
    <t>Upslope Multiplier based on percent slope (see Slope Multiplier Table)</t>
  </si>
  <si>
    <t>On Slopes &gt;1% Upslope Width = Upslope Multiplier (2B1) X System Height (2A)</t>
  </si>
  <si>
    <t>X</t>
  </si>
  <si>
    <t>On Slopes &lt;1%, Upslope Width = (0.5 X Absorption Bed Width (1E)) +5 ft</t>
  </si>
  <si>
    <t>( 0.5</t>
  </si>
  <si>
    <t xml:space="preserve">ft ) + 5 ft = </t>
  </si>
  <si>
    <t>Choose B.2 or B.3 depending on slope</t>
  </si>
  <si>
    <t>Determine Downslope Berm Width</t>
  </si>
  <si>
    <t>Downslope Multiplier based on percent slope (see Table):</t>
  </si>
  <si>
    <t>Downslope Width = Downslope Multiplier(2C1) X System Height(2A)</t>
  </si>
  <si>
    <t>ft     =</t>
  </si>
  <si>
    <t>Absorption Bed Width(1E) + 5 feet</t>
  </si>
  <si>
    <t>On slopes &gt;1%, Downslope Berm Width equals greater of C2 and C3 =</t>
  </si>
  <si>
    <t>On slopes &lt;1%, Downslope Berm Width equals 0.5 X Absorption Bed Width (1E) + 5 feet</t>
  </si>
  <si>
    <t>(  0.5  X</t>
  </si>
  <si>
    <t>ft  +</t>
  </si>
  <si>
    <t xml:space="preserve">5 ft  = </t>
  </si>
  <si>
    <t>Choose C4 or C5 depending on slope:</t>
  </si>
  <si>
    <t>Endslope Multiplier (Minimum 4.0)</t>
  </si>
  <si>
    <t>Endslope Width = Endslope Multiplier(2D) X System Height (2A)</t>
  </si>
  <si>
    <t>(Endslope Minimum of 6 feet)</t>
  </si>
  <si>
    <t>ft      =</t>
  </si>
  <si>
    <t>System Width = The sum of the Upslope Width(2B4)  + Downslope Width(2E)</t>
  </si>
  <si>
    <t>System Length = Sum of the Endslope Width(2E) + Absorption Bed Length(1F) + Endslope Width(2E)</t>
  </si>
  <si>
    <t>AT-GRADE DIMENSIONS:</t>
  </si>
  <si>
    <t>(Feet)</t>
  </si>
  <si>
    <t>Note:  For 0 to 1% slopes, Absorption Width is measured from the pipe and divided equally in both directions.  For slopes &gt; 1%, Absorption Width is measured downhill from the pipe.</t>
  </si>
  <si>
    <t>Required Separation:</t>
  </si>
  <si>
    <t>Elevation Limiting Layer:</t>
  </si>
  <si>
    <t>Elevation required Separation:</t>
  </si>
  <si>
    <r>
      <t xml:space="preserve">Media Depth </t>
    </r>
    <r>
      <rPr>
        <i/>
        <sz val="10"/>
        <rFont val="Trebuchet MS"/>
        <family val="2"/>
      </rPr>
      <t xml:space="preserve"> Below Pipe </t>
    </r>
  </si>
  <si>
    <t>Elevation Distribution Media BTM:</t>
  </si>
  <si>
    <t>Lateral Pipe Diameter:</t>
  </si>
  <si>
    <t>If Split with Non-Level Pressure Distribution Used: See Non-Level Pressure Distribution Form</t>
  </si>
  <si>
    <t>APPROXIMATE MATERIAL VOLUME CALCULATIONS:</t>
  </si>
  <si>
    <t>If rock is used as the distribution media:</t>
  </si>
  <si>
    <r>
      <t>Rock Area</t>
    </r>
    <r>
      <rPr>
        <sz val="10"/>
        <rFont val="Trebuchet MS"/>
        <family val="2"/>
      </rPr>
      <t xml:space="preserve"> = Absorption Bed Length  X  (Additional rock upslope of lateral + </t>
    </r>
    <r>
      <rPr>
        <i/>
        <sz val="10"/>
        <rFont val="Trebuchet MS"/>
        <family val="2"/>
      </rPr>
      <t>Absorption Bed Width)</t>
    </r>
  </si>
  <si>
    <t>ft  X  (</t>
  </si>
  <si>
    <t>ft)  =</t>
  </si>
  <si>
    <r>
      <t>Rock Volume in Cubic Feet</t>
    </r>
    <r>
      <rPr>
        <sz val="10"/>
        <rFont val="Trebuchet MS"/>
        <family val="2"/>
      </rPr>
      <t xml:space="preserve"> = </t>
    </r>
    <r>
      <rPr>
        <i/>
        <sz val="10"/>
        <rFont val="Trebuchet MS"/>
        <family val="2"/>
      </rPr>
      <t>Rock Area  X Depth of Media (Rock)</t>
    </r>
    <r>
      <rPr>
        <sz val="10"/>
        <rFont val="Trebuchet MS"/>
        <family val="2"/>
      </rPr>
      <t xml:space="preserve"> ÷ 2</t>
    </r>
  </si>
  <si>
    <r>
      <t>sq.ft</t>
    </r>
    <r>
      <rPr>
        <vertAlign val="superscript"/>
        <sz val="10"/>
        <rFont val="Trebuchet MS"/>
        <family val="2"/>
      </rPr>
      <t xml:space="preserve">    </t>
    </r>
    <r>
      <rPr>
        <sz val="10"/>
        <rFont val="Trebuchet MS"/>
        <family val="2"/>
      </rPr>
      <t xml:space="preserve">X      </t>
    </r>
  </si>
  <si>
    <t>ft  ÷ 2  =</t>
  </si>
  <si>
    <r>
      <rPr>
        <b/>
        <i/>
        <sz val="10"/>
        <rFont val="Trebuchet MS"/>
        <family val="2"/>
      </rPr>
      <t>Rock Volume</t>
    </r>
    <r>
      <rPr>
        <i/>
        <sz val="10"/>
        <rFont val="Trebuchet MS"/>
        <family val="2"/>
      </rPr>
      <t xml:space="preserve"> in Cubic Yards</t>
    </r>
    <r>
      <rPr>
        <sz val="10"/>
        <rFont val="Trebuchet MS"/>
        <family val="2"/>
      </rPr>
      <t xml:space="preserve"> = </t>
    </r>
    <r>
      <rPr>
        <i/>
        <sz val="10"/>
        <rFont val="Trebuchet MS"/>
        <family val="2"/>
      </rPr>
      <t>Volume in Cubic Feet</t>
    </r>
    <r>
      <rPr>
        <sz val="10"/>
        <rFont val="Trebuchet MS"/>
        <family val="2"/>
      </rPr>
      <t xml:space="preserve"> ÷ 27</t>
    </r>
  </si>
  <si>
    <r>
      <t>cu.ft</t>
    </r>
    <r>
      <rPr>
        <vertAlign val="superscript"/>
        <sz val="10"/>
        <rFont val="Trebuchet MS"/>
        <family val="2"/>
      </rPr>
      <t xml:space="preserve">  </t>
    </r>
    <r>
      <rPr>
        <sz val="10"/>
        <rFont val="Trebuchet MS"/>
        <family val="2"/>
      </rPr>
      <t>÷</t>
    </r>
  </si>
  <si>
    <t>Add 20% for constructability:</t>
  </si>
  <si>
    <t xml:space="preserve"> cu.yd  x 1.2 = </t>
  </si>
  <si>
    <r>
      <t xml:space="preserve">Loamy or Sandy Loam </t>
    </r>
    <r>
      <rPr>
        <b/>
        <i/>
        <sz val="10"/>
        <rFont val="Trebuchet MS"/>
        <family val="2"/>
      </rPr>
      <t>Cover Material Volume</t>
    </r>
    <r>
      <rPr>
        <i/>
        <sz val="10"/>
        <rFont val="Trebuchet MS"/>
        <family val="2"/>
      </rPr>
      <t xml:space="preserve">: </t>
    </r>
  </si>
  <si>
    <t xml:space="preserve">Volume in Cubic Feet = System Width  X System Length  X 1.5 ÷ 2, minus rock volume </t>
  </si>
  <si>
    <t>ft  X</t>
  </si>
  <si>
    <t>ft  X 1.5</t>
  </si>
  <si>
    <t>÷ 2 -</t>
  </si>
  <si>
    <t>cu.ft   =</t>
  </si>
  <si>
    <r>
      <t>Loamy or Sandy Loam Cover Volume in Cubic Yards</t>
    </r>
    <r>
      <rPr>
        <sz val="10"/>
        <rFont val="Trebuchet MS"/>
        <family val="2"/>
      </rPr>
      <t xml:space="preserve"> = </t>
    </r>
    <r>
      <rPr>
        <i/>
        <sz val="10"/>
        <rFont val="Trebuchet MS"/>
        <family val="2"/>
      </rPr>
      <t>Volume in Cubic Feet ÷</t>
    </r>
    <r>
      <rPr>
        <sz val="10"/>
        <rFont val="Trebuchet MS"/>
        <family val="2"/>
      </rPr>
      <t xml:space="preserve"> by 27</t>
    </r>
  </si>
  <si>
    <t>cu.ft  ÷</t>
  </si>
  <si>
    <t xml:space="preserve">  </t>
  </si>
  <si>
    <t xml:space="preserve"> cu.yd  x</t>
  </si>
  <si>
    <r>
      <rPr>
        <b/>
        <sz val="10"/>
        <rFont val="Trebuchet MS"/>
        <family val="2"/>
      </rPr>
      <t>Topsoil Volume</t>
    </r>
    <r>
      <rPr>
        <sz val="10"/>
        <rFont val="Trebuchet MS"/>
        <family val="2"/>
      </rPr>
      <t xml:space="preserve"> in Cubic Feet = System width X System Length x 0.5</t>
    </r>
  </si>
  <si>
    <r>
      <t>Topsoil Volume in Cubic Yards</t>
    </r>
    <r>
      <rPr>
        <sz val="10"/>
        <rFont val="Trebuchet MS"/>
        <family val="2"/>
      </rPr>
      <t xml:space="preserve"> = </t>
    </r>
    <r>
      <rPr>
        <i/>
        <sz val="10"/>
        <rFont val="Trebuchet MS"/>
        <family val="2"/>
      </rPr>
      <t>Volume in Cubic Feet</t>
    </r>
    <r>
      <rPr>
        <sz val="10"/>
        <rFont val="Trebuchet MS"/>
        <family val="2"/>
      </rPr>
      <t xml:space="preserve"> ÷ by 27</t>
    </r>
  </si>
  <si>
    <t>cu.yd  X</t>
  </si>
  <si>
    <t>Atgrade to be constructed to dimensions in design.  This is an estimate of materials needed.  Individual construction practices may vary quantities.</t>
  </si>
  <si>
    <r>
      <t xml:space="preserve">Mound Design Worksheet                  </t>
    </r>
    <r>
      <rPr>
        <sz val="14"/>
        <rFont val="Aptos Narrow"/>
        <family val="2"/>
      </rPr>
      <t>≤</t>
    </r>
    <r>
      <rPr>
        <sz val="14"/>
        <rFont val="Trebuchet MS"/>
        <family val="2"/>
      </rPr>
      <t xml:space="preserve"> 1% Slope                                                          </t>
    </r>
  </si>
  <si>
    <t>Design Flow :</t>
  </si>
  <si>
    <t>GPD/sqft</t>
  </si>
  <si>
    <t>Depth to Limiting Condition:</t>
  </si>
  <si>
    <t>Percent Land Slope:</t>
  </si>
  <si>
    <t>Media (Sand) Loading Rate:</t>
  </si>
  <si>
    <t>Mound Absorption Ratio:</t>
  </si>
  <si>
    <t>*Systems with these values are not Type I systems.  Contour Loading Rate (linear loading rate) is a recommended value.</t>
  </si>
  <si>
    <t>DISPERSAL MEDIA SIZING</t>
  </si>
  <si>
    <t>Hydraulic Absorption Required Bottom Area: Design Flow (1A) ÷ Design Media Loading Rate(1E)</t>
  </si>
  <si>
    <t>GPD    ÷</t>
  </si>
  <si>
    <r>
      <t>GPD/sqft</t>
    </r>
    <r>
      <rPr>
        <vertAlign val="superscript"/>
        <sz val="10"/>
        <rFont val="Trebuchet MS"/>
        <family val="2"/>
      </rPr>
      <t xml:space="preserve">   </t>
    </r>
    <r>
      <rPr>
        <sz val="10"/>
        <rFont val="Trebuchet MS"/>
        <family val="2"/>
      </rPr>
      <t>=</t>
    </r>
  </si>
  <si>
    <t>Designed Dispersal Media Area:</t>
  </si>
  <si>
    <t>Larger of 2A or 2B</t>
  </si>
  <si>
    <t xml:space="preserve">Enter Dispersal Bed Width: </t>
  </si>
  <si>
    <t>Can not exceed 10 feet.</t>
  </si>
  <si>
    <t>Calculate Contour Loading Rate: Bed Width(2D) X Design Media Loading Rate (1E)</t>
  </si>
  <si>
    <r>
      <t>GPD/sq.ft</t>
    </r>
    <r>
      <rPr>
        <vertAlign val="superscript"/>
        <sz val="9"/>
        <rFont val="Trebuchet MS"/>
        <family val="2"/>
      </rPr>
      <t xml:space="preserve">     </t>
    </r>
    <r>
      <rPr>
        <sz val="9"/>
        <rFont val="Trebuchet MS"/>
        <family val="2"/>
      </rPr>
      <t>=</t>
    </r>
  </si>
  <si>
    <t>Can not exceed Table 1</t>
  </si>
  <si>
    <t>Calculate Minimum Dispersal Bed Length: Dispersal Media Area(2C) ÷ Bed Width (2D)</t>
  </si>
  <si>
    <r>
      <t xml:space="preserve">sqft </t>
    </r>
    <r>
      <rPr>
        <sz val="12"/>
        <rFont val="Trebuchet MS"/>
        <family val="2"/>
      </rPr>
      <t>÷</t>
    </r>
  </si>
  <si>
    <t xml:space="preserve">ABSORPTION AREA SIZING </t>
  </si>
  <si>
    <t>Calculate Absorption Width: Bed Width(2D)  X Mound Absorption Ratio(1F)</t>
  </si>
  <si>
    <t>For slopes from 0 to 1%, the Absorption Width is measured from the bed equally in both directions.</t>
  </si>
  <si>
    <r>
      <t xml:space="preserve">Absorption Width Beyond the Bed: Absorption Width(3A)  - Bed Width(2D)  </t>
    </r>
    <r>
      <rPr>
        <sz val="10"/>
        <rFont val="Arial"/>
        <family val="2"/>
      </rPr>
      <t>÷</t>
    </r>
    <r>
      <rPr>
        <sz val="10"/>
        <rFont val="Trebuchet MS"/>
        <family val="2"/>
      </rPr>
      <t xml:space="preserve"> 2 </t>
    </r>
  </si>
  <si>
    <t>ft   -</t>
  </si>
  <si>
    <r>
      <t xml:space="preserve">ft) </t>
    </r>
    <r>
      <rPr>
        <sz val="12"/>
        <rFont val="Trebuchet MS"/>
        <family val="2"/>
      </rPr>
      <t xml:space="preserve"> ÷</t>
    </r>
  </si>
  <si>
    <t xml:space="preserve">4. </t>
  </si>
  <si>
    <t>DISTRIBUTION MEDIA</t>
  </si>
  <si>
    <t>Enter Either 4A or 4B</t>
  </si>
  <si>
    <t xml:space="preserve"> Rock Depth Below Distribution Pipe</t>
  </si>
  <si>
    <t>Registered Media</t>
  </si>
  <si>
    <t>Registered Media Height</t>
  </si>
  <si>
    <t>Specific Media Comments:</t>
  </si>
  <si>
    <t>MOUND SIZING</t>
  </si>
  <si>
    <t>Clean Sand Lift: Required Separation - Depth to Limiting Condition = Clean Sand Lift (1 ft minimum)</t>
  </si>
  <si>
    <t>Design Sand Lift (optional):</t>
  </si>
  <si>
    <t>If registered media depth to cover pipe is 0</t>
  </si>
  <si>
    <t>Berm Width = Upslope Mound Height(5B)  X Finished Slope (4 is recommended, but could be 3-12)</t>
  </si>
  <si>
    <t xml:space="preserve"> =</t>
  </si>
  <si>
    <t>Total Landscape Width = Berm Width(5C)  + Dispersal Bed Width(2D) + Berm Width(5C)</t>
  </si>
  <si>
    <r>
      <rPr>
        <sz val="10"/>
        <rFont val="Trebuchet MS"/>
        <family val="2"/>
      </rPr>
      <t>Additional Berm Width</t>
    </r>
    <r>
      <rPr>
        <sz val="9"/>
        <rFont val="Trebuchet MS"/>
        <family val="2"/>
      </rPr>
      <t xml:space="preserve"> if necessary for absorption area - Absorption Width(3A) -Total Landscape Width(5D)</t>
    </r>
  </si>
  <si>
    <t>ft  =</t>
  </si>
  <si>
    <r>
      <t xml:space="preserve">if number is negative (&lt;0), value is </t>
    </r>
    <r>
      <rPr>
        <b/>
        <sz val="10"/>
        <rFont val="Trebuchet MS"/>
        <family val="2"/>
      </rPr>
      <t>ZERO</t>
    </r>
  </si>
  <si>
    <t>Final Berm Width = Additional Berm Width(5E)  + Berm Width(5C)</t>
  </si>
  <si>
    <t xml:space="preserve">Total Mound Width = Final Berm Width(5F)  + Dispersal Bed Width(2D)  + Final Berm Width(5F) </t>
  </si>
  <si>
    <t>Total Mound Length = Final Berm Width(5F)  + Dispersal Bed Length(2F) + Final Berm Width(5F)</t>
  </si>
  <si>
    <t>Setbacks from the Bed: Absorption Width (3A) - Dispersal Bed Width(2D) divided by 2</t>
  </si>
  <si>
    <t>)   /</t>
  </si>
  <si>
    <t>MOUND DIMENSIONS (Feet)</t>
  </si>
  <si>
    <t>Required Separation</t>
  </si>
  <si>
    <t>Elevation Distribution Media Bottom:</t>
  </si>
  <si>
    <t>If Split and Non-Level Pressure Distribution Used: See Non-Level Pressure Distribution Form</t>
  </si>
  <si>
    <t xml:space="preserve">Mound Design Worksheet               &gt;1% Slope                                                      </t>
  </si>
  <si>
    <t>Depth to Limiting Condition</t>
  </si>
  <si>
    <r>
      <t xml:space="preserve">GPD    </t>
    </r>
    <r>
      <rPr>
        <sz val="12"/>
        <rFont val="Trebuchet MS"/>
        <family val="2"/>
      </rPr>
      <t>÷</t>
    </r>
  </si>
  <si>
    <r>
      <t>GPD/sqft</t>
    </r>
    <r>
      <rPr>
        <vertAlign val="superscript"/>
        <sz val="10"/>
        <rFont val="Trebuchet MS"/>
        <family val="2"/>
      </rPr>
      <t xml:space="preserve">  </t>
    </r>
    <r>
      <rPr>
        <sz val="10"/>
        <rFont val="Trebuchet MS"/>
        <family val="2"/>
      </rPr>
      <t>=</t>
    </r>
  </si>
  <si>
    <t>Can not exceed 10 feet</t>
  </si>
  <si>
    <t>Calculate Contour Loading Rate: Bed Width(2D) X Design Media Loading Rate(1E)</t>
  </si>
  <si>
    <t>Calculate Minimum Dispersal Bed Length: Dispersal Bed Area(2C)  ÷ Bed Width(2D)</t>
  </si>
  <si>
    <r>
      <t xml:space="preserve">sqft </t>
    </r>
    <r>
      <rPr>
        <sz val="12"/>
        <rFont val="Trebuchet MS"/>
        <family val="2"/>
      </rPr>
      <t xml:space="preserve"> ÷</t>
    </r>
  </si>
  <si>
    <t>ABSORPTION AREA SIZING</t>
  </si>
  <si>
    <t>For slopes &gt;1%, the Absorption Width is measured downhill from the upslope edge of the Bed.</t>
  </si>
  <si>
    <t>Calculate Downslope Absorption Width: Absorption Width(3A)  - Bed Width(2D)</t>
  </si>
  <si>
    <t>DISTRIBUTION MEDIA:</t>
  </si>
  <si>
    <t>Enter Either 4A  or 4B</t>
  </si>
  <si>
    <t>Registered Media Depth</t>
  </si>
  <si>
    <r>
      <t>Upslope Height =</t>
    </r>
    <r>
      <rPr>
        <sz val="9"/>
        <rFont val="Trebuchet MS"/>
        <family val="2"/>
      </rPr>
      <t xml:space="preserve"> </t>
    </r>
    <r>
      <rPr>
        <sz val="8.5"/>
        <rFont val="Trebuchet MS"/>
        <family val="2"/>
      </rPr>
      <t>Clean Sand Lift(5A) + Depth of Media(4AorB) + Depth to Cover Pipe(0.33ft) + Depth of Cover (1 ft)</t>
    </r>
  </si>
  <si>
    <t>Select Upslope Berm Multiplier (based on land slope):</t>
  </si>
  <si>
    <t>Calculate Upslope Berm Width: Multiplier (5C)  X Upslope Mound Height (5B)</t>
  </si>
  <si>
    <t>Calculate Drop in Elevation Under Bed: Bed Width(2D) X Land Slope(1D) ÷ 100 = Drop (ft)</t>
  </si>
  <si>
    <t>%   ÷  100 =</t>
  </si>
  <si>
    <t xml:space="preserve">Calculate Downslope Mound Height: Upslope Height(5B) + Drop in Elevation(5E)  </t>
  </si>
  <si>
    <t>Select Downslope Berm Multiplier (based on land slope):</t>
  </si>
  <si>
    <t>Calculate Downslope Berm Width: Downslope Multiplier(5G)  X Downslope Height (5F)</t>
  </si>
  <si>
    <t>Calculate Minimum Berm to Cover Absorption Area: Downslope Absorption Width(3B) + 4 feet</t>
  </si>
  <si>
    <t>Design Downslope Berm = greater of 5H and 5I:</t>
  </si>
  <si>
    <t>Select Endslope Berm Multiplier:</t>
  </si>
  <si>
    <t>(usually 3.0 or 4.0)</t>
  </si>
  <si>
    <t>L.</t>
  </si>
  <si>
    <t>Calculate Endslope Berm Width = Endslope Berm Multiplier(5K) X Downslope Mound Height(5F)</t>
  </si>
  <si>
    <t xml:space="preserve">  X</t>
  </si>
  <si>
    <t>M.</t>
  </si>
  <si>
    <t>Calculate Mound Width: Upslope Berm Width(5D) + Bed Width(2D) + Downslope Berm Width(5J)</t>
  </si>
  <si>
    <t>N.</t>
  </si>
  <si>
    <t>Calculate Mound Length: Endslope Berm Width (5L)  + Bed Length(2F)  + Endslope Berm Width(5L)</t>
  </si>
  <si>
    <t>Elevation to Benchmark</t>
  </si>
  <si>
    <t xml:space="preserve">Estimated Mound Materials Worksheet                                                          </t>
  </si>
  <si>
    <t>Mound to be constructed to dimensions in design.  This is an estimate of materials needed.  Individual construction practices may vary quantities.</t>
  </si>
  <si>
    <r>
      <rPr>
        <b/>
        <sz val="10"/>
        <rFont val="Trebuchet MS"/>
        <family val="2"/>
      </rPr>
      <t xml:space="preserve">Rock </t>
    </r>
    <r>
      <rPr>
        <b/>
        <i/>
        <sz val="10"/>
        <rFont val="Trebuchet MS"/>
        <family val="2"/>
      </rPr>
      <t>Volume</t>
    </r>
    <r>
      <rPr>
        <sz val="10"/>
        <rFont val="Trebuchet MS"/>
        <family val="2"/>
      </rPr>
      <t>: (Rock Below Pipe + Rock to cover pipe (</t>
    </r>
    <r>
      <rPr>
        <i/>
        <sz val="8"/>
        <rFont val="Trebuchet MS"/>
        <family val="2"/>
      </rPr>
      <t>pipe outside dia + ~2 inch)</t>
    </r>
    <r>
      <rPr>
        <sz val="10"/>
        <rFont val="Trebuchet MS"/>
        <family val="2"/>
      </rPr>
      <t xml:space="preserve">) X </t>
    </r>
    <r>
      <rPr>
        <i/>
        <sz val="10"/>
        <rFont val="Trebuchet MS"/>
        <family val="2"/>
      </rPr>
      <t>Bed Length</t>
    </r>
    <r>
      <rPr>
        <sz val="10"/>
        <rFont val="Trebuchet MS"/>
        <family val="2"/>
      </rPr>
      <t xml:space="preserve"> X </t>
    </r>
    <r>
      <rPr>
        <i/>
        <sz val="10"/>
        <rFont val="Trebuchet MS"/>
        <family val="2"/>
      </rPr>
      <t>Bed Width</t>
    </r>
    <r>
      <rPr>
        <sz val="10"/>
        <rFont val="Trebuchet MS"/>
        <family val="2"/>
      </rPr>
      <t xml:space="preserve"> = </t>
    </r>
    <r>
      <rPr>
        <i/>
        <sz val="10"/>
        <rFont val="Trebuchet MS"/>
        <family val="2"/>
      </rPr>
      <t>Volume</t>
    </r>
  </si>
  <si>
    <t>in   +</t>
  </si>
  <si>
    <t>in ) ÷ 12    X</t>
  </si>
  <si>
    <t>Divide cu.ft by 27 cu.ft/cu.yd to calculate cubic yards:</t>
  </si>
  <si>
    <t>cu.ft   ÷  27</t>
  </si>
  <si>
    <t>Add 30% for constructability:</t>
  </si>
  <si>
    <t>cu.yd  X  1.3</t>
  </si>
  <si>
    <r>
      <t>Calculate</t>
    </r>
    <r>
      <rPr>
        <i/>
        <sz val="10"/>
        <rFont val="Trebuchet MS"/>
        <family val="2"/>
      </rPr>
      <t xml:space="preserve"> </t>
    </r>
    <r>
      <rPr>
        <b/>
        <i/>
        <sz val="10"/>
        <rFont val="Trebuchet MS"/>
        <family val="2"/>
      </rPr>
      <t>Clean Sand Volume</t>
    </r>
    <r>
      <rPr>
        <i/>
        <sz val="10"/>
        <rFont val="Trebuchet MS"/>
        <family val="2"/>
      </rPr>
      <t>:</t>
    </r>
  </si>
  <si>
    <r>
      <t>Volume Under Rock bed</t>
    </r>
    <r>
      <rPr>
        <sz val="10"/>
        <rFont val="Trebuchet MS"/>
        <family val="2"/>
      </rPr>
      <t xml:space="preserve">: </t>
    </r>
    <r>
      <rPr>
        <i/>
        <sz val="10"/>
        <rFont val="Trebuchet MS"/>
        <family val="2"/>
      </rPr>
      <t>Average Sand Depth</t>
    </r>
    <r>
      <rPr>
        <sz val="10"/>
        <rFont val="Trebuchet MS"/>
        <family val="2"/>
      </rPr>
      <t xml:space="preserve"> x </t>
    </r>
    <r>
      <rPr>
        <i/>
        <sz val="10"/>
        <rFont val="Trebuchet MS"/>
        <family val="2"/>
      </rPr>
      <t>Media Width</t>
    </r>
    <r>
      <rPr>
        <sz val="10"/>
        <rFont val="Trebuchet MS"/>
        <family val="2"/>
      </rPr>
      <t xml:space="preserve"> x </t>
    </r>
    <r>
      <rPr>
        <i/>
        <sz val="10"/>
        <rFont val="Trebuchet MS"/>
        <family val="2"/>
      </rPr>
      <t>Media Length</t>
    </r>
    <r>
      <rPr>
        <sz val="10"/>
        <rFont val="Trebuchet MS"/>
        <family val="2"/>
      </rPr>
      <t xml:space="preserve"> = cubic feet</t>
    </r>
  </si>
  <si>
    <t>For a Mound on a slope from 0-1%</t>
  </si>
  <si>
    <t>Volume from Length = ((Upslope Mound Height - 1) X Absorption Width Beyond Bed X Media Bed Length)</t>
  </si>
  <si>
    <t>ft  - 1)</t>
  </si>
  <si>
    <t xml:space="preserve">Volume from Width = ((Upslope Mound Height - 1) X Absorption Width Beyond Bed X Media Bed Width) </t>
  </si>
  <si>
    <r>
      <t>Total Clean Sand Volume</t>
    </r>
    <r>
      <rPr>
        <sz val="10"/>
        <rFont val="Trebuchet MS"/>
        <family val="2"/>
      </rPr>
      <t xml:space="preserve">: </t>
    </r>
    <r>
      <rPr>
        <i/>
        <sz val="10"/>
        <rFont val="Trebuchet MS"/>
        <family val="2"/>
      </rPr>
      <t>Volume from Length + Volume from Width + Volume Under Media</t>
    </r>
  </si>
  <si>
    <t>cu.ft +</t>
  </si>
  <si>
    <t>cu.ft =</t>
  </si>
  <si>
    <t>For a Mound on a slope greater than 1%</t>
  </si>
  <si>
    <r>
      <t>Upslope Volume</t>
    </r>
    <r>
      <rPr>
        <sz val="10"/>
        <rFont val="Trebuchet MS"/>
        <family val="2"/>
      </rPr>
      <t>: ((</t>
    </r>
    <r>
      <rPr>
        <i/>
        <sz val="10"/>
        <rFont val="Trebuchet MS"/>
        <family val="2"/>
      </rPr>
      <t xml:space="preserve">Upslope Mound Height </t>
    </r>
    <r>
      <rPr>
        <i/>
        <sz val="10"/>
        <rFont val="Trebuchet MS"/>
        <family val="2"/>
      </rPr>
      <t>- 1</t>
    </r>
    <r>
      <rPr>
        <sz val="10"/>
        <rFont val="Trebuchet MS"/>
        <family val="2"/>
      </rPr>
      <t xml:space="preserve">) x 3 x </t>
    </r>
    <r>
      <rPr>
        <i/>
        <sz val="10"/>
        <rFont val="Trebuchet MS"/>
        <family val="2"/>
      </rPr>
      <t>Bed Length</t>
    </r>
    <r>
      <rPr>
        <sz val="10"/>
        <rFont val="Trebuchet MS"/>
        <family val="2"/>
      </rPr>
      <t xml:space="preserve">) </t>
    </r>
    <r>
      <rPr>
        <sz val="10"/>
        <rFont val="Arial"/>
        <family val="2"/>
      </rPr>
      <t>÷</t>
    </r>
    <r>
      <rPr>
        <sz val="10"/>
        <rFont val="Trebuchet MS"/>
        <family val="2"/>
      </rPr>
      <t xml:space="preserve"> 2 = cubic feet</t>
    </r>
  </si>
  <si>
    <t>((</t>
  </si>
  <si>
    <t xml:space="preserve"> 3.0 ft            X</t>
  </si>
  <si>
    <r>
      <t>) ÷</t>
    </r>
    <r>
      <rPr>
        <sz val="10"/>
        <rFont val="Trebuchet MS"/>
        <family val="2"/>
      </rPr>
      <t xml:space="preserve"> 2 =</t>
    </r>
  </si>
  <si>
    <r>
      <t>Downslope Volume</t>
    </r>
    <r>
      <rPr>
        <sz val="10"/>
        <rFont val="Trebuchet MS"/>
        <family val="2"/>
      </rPr>
      <t>: ((</t>
    </r>
    <r>
      <rPr>
        <i/>
        <sz val="10"/>
        <rFont val="Trebuchet MS"/>
        <family val="2"/>
      </rPr>
      <t xml:space="preserve">Downslope Height - 1) </t>
    </r>
    <r>
      <rPr>
        <sz val="10"/>
        <rFont val="Trebuchet MS"/>
        <family val="2"/>
      </rPr>
      <t xml:space="preserve">x Downslope Absorption Width  x </t>
    </r>
    <r>
      <rPr>
        <i/>
        <sz val="10"/>
        <rFont val="Trebuchet MS"/>
        <family val="2"/>
      </rPr>
      <t>Media Length</t>
    </r>
    <r>
      <rPr>
        <sz val="10"/>
        <rFont val="Trebuchet MS"/>
        <family val="2"/>
      </rPr>
      <t xml:space="preserve">) </t>
    </r>
    <r>
      <rPr>
        <sz val="10"/>
        <rFont val="Arial"/>
        <family val="2"/>
      </rPr>
      <t>÷</t>
    </r>
    <r>
      <rPr>
        <sz val="10"/>
        <rFont val="Trebuchet MS"/>
        <family val="2"/>
      </rPr>
      <t xml:space="preserve"> 2 = cubic feet</t>
    </r>
  </si>
  <si>
    <t>ft - 1)</t>
  </si>
  <si>
    <r>
      <t>Endslope Volume</t>
    </r>
    <r>
      <rPr>
        <sz val="10"/>
        <rFont val="Trebuchet MS"/>
        <family val="2"/>
      </rPr>
      <t>: (</t>
    </r>
    <r>
      <rPr>
        <i/>
        <sz val="10"/>
        <rFont val="Trebuchet MS"/>
        <family val="2"/>
      </rPr>
      <t xml:space="preserve">Downslope Mound Height - 1) </t>
    </r>
    <r>
      <rPr>
        <sz val="10"/>
        <rFont val="Trebuchet MS"/>
        <family val="2"/>
      </rPr>
      <t xml:space="preserve">x 3  x </t>
    </r>
    <r>
      <rPr>
        <i/>
        <sz val="10"/>
        <rFont val="Trebuchet MS"/>
        <family val="2"/>
      </rPr>
      <t>Media Width</t>
    </r>
    <r>
      <rPr>
        <sz val="10"/>
        <rFont val="Trebuchet MS"/>
        <family val="2"/>
      </rPr>
      <t xml:space="preserve"> = cubic feet</t>
    </r>
  </si>
  <si>
    <t>ft - 1 )</t>
  </si>
  <si>
    <t>3.0  ft            X</t>
  </si>
  <si>
    <r>
      <t>Total Clean Sand Volume</t>
    </r>
    <r>
      <rPr>
        <sz val="10"/>
        <rFont val="Trebuchet MS"/>
        <family val="2"/>
      </rPr>
      <t xml:space="preserve">: </t>
    </r>
    <r>
      <rPr>
        <i/>
        <sz val="10"/>
        <rFont val="Trebuchet MS"/>
        <family val="2"/>
      </rPr>
      <t>Upslope Volume</t>
    </r>
    <r>
      <rPr>
        <sz val="10"/>
        <rFont val="Trebuchet MS"/>
        <family val="2"/>
      </rPr>
      <t xml:space="preserve"> + </t>
    </r>
    <r>
      <rPr>
        <i/>
        <sz val="10"/>
        <rFont val="Trebuchet MS"/>
        <family val="2"/>
      </rPr>
      <t>Downslope Volume</t>
    </r>
    <r>
      <rPr>
        <sz val="10"/>
        <rFont val="Trebuchet MS"/>
        <family val="2"/>
      </rPr>
      <t xml:space="preserve"> + </t>
    </r>
    <r>
      <rPr>
        <i/>
        <sz val="10"/>
        <rFont val="Trebuchet MS"/>
        <family val="2"/>
      </rPr>
      <t>Endslope Volume</t>
    </r>
    <r>
      <rPr>
        <sz val="10"/>
        <rFont val="Trebuchet MS"/>
        <family val="2"/>
      </rPr>
      <t xml:space="preserve"> + </t>
    </r>
    <r>
      <rPr>
        <i/>
        <sz val="10"/>
        <rFont val="Trebuchet MS"/>
        <family val="2"/>
      </rPr>
      <t>Volume Under Media</t>
    </r>
  </si>
  <si>
    <r>
      <t>Calculate</t>
    </r>
    <r>
      <rPr>
        <b/>
        <i/>
        <sz val="10"/>
        <rFont val="Trebuchet MS"/>
        <family val="2"/>
      </rPr>
      <t xml:space="preserve"> Sandy Berm Volume</t>
    </r>
    <r>
      <rPr>
        <i/>
        <sz val="10"/>
        <rFont val="Trebuchet MS"/>
        <family val="2"/>
      </rPr>
      <t>:</t>
    </r>
  </si>
  <si>
    <r>
      <t>Total Berm Volume (approx.)</t>
    </r>
    <r>
      <rPr>
        <sz val="10"/>
        <rFont val="Trebuchet MS"/>
        <family val="2"/>
      </rPr>
      <t xml:space="preserve">: ((Avg. Mound Height - 0.5 ft topsoil) x Mound Width x Mound Length) </t>
    </r>
    <r>
      <rPr>
        <sz val="10"/>
        <rFont val="Arial"/>
        <family val="2"/>
      </rPr>
      <t>÷</t>
    </r>
    <r>
      <rPr>
        <sz val="10"/>
        <rFont val="Trebuchet MS"/>
        <family val="2"/>
      </rPr>
      <t xml:space="preserve"> 2 </t>
    </r>
  </si>
  <si>
    <t>)ft  X</t>
  </si>
  <si>
    <t>Total Mound Volume - Clean Sand volume -Rock Volume = cubic feet</t>
  </si>
  <si>
    <t>cu.ft -</t>
  </si>
  <si>
    <r>
      <t xml:space="preserve"> yd</t>
    </r>
    <r>
      <rPr>
        <vertAlign val="superscript"/>
        <sz val="10"/>
        <rFont val="Trebuchet MS"/>
        <family val="2"/>
      </rPr>
      <t>3</t>
    </r>
    <r>
      <rPr>
        <sz val="10"/>
        <rFont val="Trebuchet MS"/>
        <family val="2"/>
      </rPr>
      <t xml:space="preserve">  x</t>
    </r>
  </si>
  <si>
    <r>
      <t xml:space="preserve">Calculate </t>
    </r>
    <r>
      <rPr>
        <b/>
        <i/>
        <sz val="10"/>
        <rFont val="Trebuchet MS"/>
        <family val="2"/>
      </rPr>
      <t xml:space="preserve">Topsoil Material </t>
    </r>
    <r>
      <rPr>
        <i/>
        <sz val="10"/>
        <rFont val="Trebuchet MS"/>
        <family val="2"/>
      </rPr>
      <t>Volume: Total Mound Width X Total Mound Length X .5 ft</t>
    </r>
  </si>
  <si>
    <t>Drip Distribution Design Worksheet</t>
  </si>
  <si>
    <t>1. FLOW</t>
  </si>
  <si>
    <t>2. SOILS</t>
  </si>
  <si>
    <t>Depth to restricting layer:</t>
  </si>
  <si>
    <t>Depth of System:</t>
  </si>
  <si>
    <t xml:space="preserve">C. </t>
  </si>
  <si>
    <t>Soil Hydraulic Loading Rate (SHLR):</t>
  </si>
  <si>
    <r>
      <t>GPD/ft</t>
    </r>
    <r>
      <rPr>
        <vertAlign val="superscript"/>
        <sz val="10"/>
        <color indexed="8"/>
        <rFont val="Trebuchet MS"/>
        <family val="2"/>
      </rPr>
      <t>2</t>
    </r>
  </si>
  <si>
    <t xml:space="preserve">E. </t>
  </si>
  <si>
    <t>Soil Porosity:</t>
  </si>
  <si>
    <t>3. DRIP SYSTEM SPECS</t>
  </si>
  <si>
    <t>Tubing Diameter:</t>
  </si>
  <si>
    <t>Volume Per Foot:</t>
  </si>
  <si>
    <t>gallons</t>
  </si>
  <si>
    <t>Flow Per Emitter:</t>
  </si>
  <si>
    <t>gallons per hour</t>
  </si>
  <si>
    <t>System Area = Design Flow (1.A) ÷ Soil Hydraulic Loading Rate (2.C)</t>
  </si>
  <si>
    <t>GPD ÷</t>
  </si>
  <si>
    <r>
      <t>GPD/ft</t>
    </r>
    <r>
      <rPr>
        <vertAlign val="superscript"/>
        <sz val="10"/>
        <color indexed="8"/>
        <rFont val="Trebuchet MS"/>
        <family val="2"/>
      </rPr>
      <t xml:space="preserve">2    </t>
    </r>
    <r>
      <rPr>
        <sz val="10"/>
        <color indexed="8"/>
        <rFont val="Trebuchet MS"/>
        <family val="2"/>
      </rPr>
      <t xml:space="preserve"> =</t>
    </r>
  </si>
  <si>
    <r>
      <t>ft</t>
    </r>
    <r>
      <rPr>
        <vertAlign val="superscript"/>
        <sz val="10"/>
        <color indexed="8"/>
        <rFont val="Trebuchet MS"/>
        <family val="2"/>
      </rPr>
      <t>2</t>
    </r>
  </si>
  <si>
    <t>Minimum System Length = Design Flow (1.A.) ÷ Contour Loading Rate (2.D)</t>
  </si>
  <si>
    <t xml:space="preserve">GPD/ft    =  </t>
  </si>
  <si>
    <t>System Design Length (must be equal to or greater than Min. System Length (3.D) and divisible by 150)   =</t>
  </si>
  <si>
    <t>See Drip Configuration 1 and Drip Configuration 2 below</t>
  </si>
  <si>
    <t>System Width = System Area (3.C) ÷ System Design Length (3.E)</t>
  </si>
  <si>
    <r>
      <t>ft</t>
    </r>
    <r>
      <rPr>
        <vertAlign val="superscript"/>
        <sz val="10"/>
        <color indexed="8"/>
        <rFont val="Trebuchet MS"/>
        <family val="2"/>
      </rPr>
      <t>2</t>
    </r>
    <r>
      <rPr>
        <sz val="10"/>
        <color indexed="8"/>
        <rFont val="Trebuchet MS"/>
        <family val="2"/>
      </rPr>
      <t xml:space="preserve">  ÷</t>
    </r>
  </si>
  <si>
    <t>Lateral Spacing:</t>
  </si>
  <si>
    <r>
      <t xml:space="preserve">Total Number of Laterals = System Width (3.F) ÷ Lateral Spacing (3.G) </t>
    </r>
    <r>
      <rPr>
        <i/>
        <sz val="10"/>
        <color indexed="8"/>
        <rFont val="Trebuchet MS"/>
        <family val="2"/>
      </rPr>
      <t>Round up to nearest whole number</t>
    </r>
  </si>
  <si>
    <t>ft ÷</t>
  </si>
  <si>
    <t>laterals</t>
  </si>
  <si>
    <t>Number of Zones:</t>
  </si>
  <si>
    <t>zones</t>
  </si>
  <si>
    <t>Zone Lateral Length = [Total Number of Laterals (3.H) ÷ Number of Zones (3.I)] X System Design Length (3.E)</t>
  </si>
  <si>
    <t>[</t>
  </si>
  <si>
    <t>÷</t>
  </si>
  <si>
    <t>]</t>
  </si>
  <si>
    <t xml:space="preserve">ft = </t>
  </si>
  <si>
    <t>Number of Connections = 2 X Total Number of Laterals</t>
  </si>
  <si>
    <t>connections</t>
  </si>
  <si>
    <t>Drip Configuration 1:</t>
  </si>
  <si>
    <t>Drip Configuration 2:</t>
  </si>
  <si>
    <t>This configuration should be used if the length available between the Supply and the Return is 151 to 300 feet.</t>
  </si>
  <si>
    <t>This configuration should be used if the length available between the Supply and the Return is 150 feet or less.</t>
  </si>
  <si>
    <t>Total Lateral Length = Length A + Length B in configurations</t>
  </si>
  <si>
    <t>4. ZONE 1 FLOW</t>
  </si>
  <si>
    <t>Emitter Spacing:</t>
  </si>
  <si>
    <t>Supply Pipe Diameter:</t>
  </si>
  <si>
    <t>Supply Pipe Volume = Supply Pipe Length X Supply Pipe Volume Per Foot</t>
  </si>
  <si>
    <t>ft X</t>
  </si>
  <si>
    <t xml:space="preserve">gpf = </t>
  </si>
  <si>
    <t>Flush Pipe Length:</t>
  </si>
  <si>
    <t>Flush Pipe Diameter:</t>
  </si>
  <si>
    <t>Flush Pipe Volume = Flush Pipe Length X Flush Pipe Volume Per Foot</t>
  </si>
  <si>
    <t>Drainback = Supply Pipe Volume (4.B) + Flush Pipe Volume (4.C)</t>
  </si>
  <si>
    <t>gal +</t>
  </si>
  <si>
    <t>gal =</t>
  </si>
  <si>
    <t>Number of Emitters = Zone Lateral Length (3.J) ÷ Emitter Spacing (4.A)</t>
  </si>
  <si>
    <t>emitters</t>
  </si>
  <si>
    <t>Zone Discharge Rate = [Number of Emitters (4.E) X Flow Per Emitter (3.B)] ÷ 60 minutes per hour</t>
  </si>
  <si>
    <t>gph]</t>
  </si>
  <si>
    <t>gpm</t>
  </si>
  <si>
    <t>Zone Lateral Volume = Zone Lateral Length (3.J) X Volume Per Foot</t>
  </si>
  <si>
    <t>Minimum Dose Volume = [4 X Zone Lateral Volume (4.F)] + Drainback (4.D)</t>
  </si>
  <si>
    <t xml:space="preserve">gal </t>
  </si>
  <si>
    <t>]     +</t>
  </si>
  <si>
    <t>Max Dose Volume = Zone Lat. Length (3.J) X Depth of System (ft) (2.B) X Tubing Dia. (ft) (3.A) X Soil Porosity (%) X 7.5</t>
  </si>
  <si>
    <t>Dose Volume: Must be value between minimum and maximum dose volume</t>
  </si>
  <si>
    <t>On-Time = Dose Volume (4.I) ÷ Zone Discharge Rate (4.E)</t>
  </si>
  <si>
    <t>minutes</t>
  </si>
  <si>
    <t>Number of Doses = Design Flow (1.A) ÷ Number of Zones (3.I) ÷ Dose Volume (4.I)</t>
  </si>
  <si>
    <t>Minimum Number of Doses is 4</t>
  </si>
  <si>
    <t>doses</t>
  </si>
  <si>
    <t>Cycle Time = 1440 ÷ Number of Doses (4.K)</t>
  </si>
  <si>
    <t>Off Time = Cycle Time (4.L) - On-Time (4.J)</t>
  </si>
  <si>
    <t>Minimum Flushing Volume = Number of Connections (3.K) X 1.6 gpm</t>
  </si>
  <si>
    <t>O.</t>
  </si>
  <si>
    <t>Required Flush Flow Rate = Zone Discharge Rate (4.E) + Minimum Flushing Flow (4.N)</t>
  </si>
  <si>
    <t>P.</t>
  </si>
  <si>
    <t>Flush Volume = Flush Flow Rate (4.O) X On-Time (4.J)</t>
  </si>
  <si>
    <t>Q.</t>
  </si>
  <si>
    <t>Total Cycle Time = Number of Zones (3.I) X Number of Doses X On Time</t>
  </si>
  <si>
    <t>5. ZONE 2 FLOW</t>
  </si>
  <si>
    <t>Drainback = Supply Pipe Volume (5.B) + Flush Pipe Volume (5.C)</t>
  </si>
  <si>
    <t>Number of Emitters = Zone Lateral Length (3.J) ÷ Emitter Spacing (5.A)</t>
  </si>
  <si>
    <t>Zone Discharge Rate = Number of Emitters (5.E) X (Flow Per Emitter (3.B)] ÷ 60 minutes per hour)</t>
  </si>
  <si>
    <t>X     (</t>
  </si>
  <si>
    <t>)</t>
  </si>
  <si>
    <t>Minimum Dose Volume = [4 X Zone Lateral Volume (5.F)] + Drainback (5.D)</t>
  </si>
  <si>
    <t>On-Time = Dose Volume (5.I) ÷ Zone Discharge Rate (5.E)</t>
  </si>
  <si>
    <t xml:space="preserve">Number of Doses = Design Flow (1.A) ÷ Number of Zones (3.I) ÷ Dose Volume (5.I) </t>
  </si>
  <si>
    <t>Cycle Time = 1440 ÷ Number of Doses (5.K)</t>
  </si>
  <si>
    <t>Off Time = Cycle Time (5.L) - On-Time (5.J)</t>
  </si>
  <si>
    <t>X     1.6    =</t>
  </si>
  <si>
    <t>Required Flush Flow Rate = Zone Discharge Rate (5.E) + Minimum Flushing Flow (5.N)</t>
  </si>
  <si>
    <t>Flush Volume = Flush Flow Rate (5.O) X On-Time (5.J)</t>
  </si>
  <si>
    <t>R.</t>
  </si>
  <si>
    <t>6. ZONE 3 FLOW</t>
  </si>
  <si>
    <t>Drainback = Supply Pipe Volume (6.B) + Flush Pipe Volume (6.C)</t>
  </si>
  <si>
    <t>Number of Emitters = Zone Lateral Length (3.J) ÷ Emitter Spacing (6.A)</t>
  </si>
  <si>
    <t>Zone Discharge Rate = [Number of Emitters (6.E) X Flow Per Emitter (3.B)] ÷ 60 minutes per hour</t>
  </si>
  <si>
    <t>Minimum Dose Volume = [4 X Zone Lateral Volume (6.G)] + Drainback (6.D)</t>
  </si>
  <si>
    <t>On-Time = Dose Volume (6.J) ÷ Zone Discharge Rate (6.F)</t>
  </si>
  <si>
    <t>Number of Doses = Design Flow (1.A) ÷ Number of Zones (3.I) ÷ Dose Volume (6.J)</t>
  </si>
  <si>
    <t>Cycle Time = 1660 ÷ Number of Doses (6.L)</t>
  </si>
  <si>
    <t>Off Time = Cycle Time (6.M) - On-Time (6.K)</t>
  </si>
  <si>
    <t>Required Flush Flow Rate = Zone Discharge Rate (6.F) + Minimum Flushing Flow (6.O)</t>
  </si>
  <si>
    <t>Flush Volume = Flush Flow Rate (6.P) X On-Time (6.K)</t>
  </si>
  <si>
    <t>7. ZONE 4 FLOW</t>
  </si>
  <si>
    <t>Drainback = Supply Pipe Volume (7.B) + Flush Pipe Volume (7.C)</t>
  </si>
  <si>
    <t>Number of Emitters = Zone Lateral Length (3.J) ÷ Emitter Spacing (7.A)</t>
  </si>
  <si>
    <t>Zone Discharge Rate = [Number of Emitters (7.E) X Flow Per Emitter (3.B)] ÷ 60 minutes per hour</t>
  </si>
  <si>
    <t>Minimum Dose Volume = [4 X Zone Lateral Volume (7.G)] + Drainback (7.D)</t>
  </si>
  <si>
    <t>On-Time = Dose Volume (7.J) ÷ Zone Discharge Rate (7.F)</t>
  </si>
  <si>
    <t>Number of Doses = Design Flow (1.A) ÷ Number of Zones (3.I) ÷ Dose Volume (7.J)</t>
  </si>
  <si>
    <t>Cycle Time = 1770 ÷ Number of Doses (7.L)</t>
  </si>
  <si>
    <t>Off Time = Cycle Time (7.M) - On-Time (7.K)</t>
  </si>
  <si>
    <t>Minimum Flushing Volume = Number of Connections (3.L) X 1.6 gpm</t>
  </si>
  <si>
    <t>Required Flush Flow Rate = Zone Discharge Rate (7.F) + Minimum Flushing Flow (7.O)</t>
  </si>
  <si>
    <t>Flush Volume = Flush Flow Rate (7.P) X On-Time (7.K)</t>
  </si>
  <si>
    <t xml:space="preserve"> Pressure Distribution                                    Design Worksheet</t>
  </si>
  <si>
    <t>Media Bed Width:</t>
  </si>
  <si>
    <t>Media Bed Length:</t>
  </si>
  <si>
    <t>Minimum Number of Laterals in system/zone = Rounded up number of [(Media Bed Width(1.) - 4) ÷ 3] + 1.</t>
  </si>
  <si>
    <t>[(</t>
  </si>
  <si>
    <t xml:space="preserve">- 4 ) ÷ 3] + 1 = </t>
  </si>
  <si>
    <t>Does not apply to at-grades</t>
  </si>
  <si>
    <r>
      <t xml:space="preserve">Designer Selected </t>
    </r>
    <r>
      <rPr>
        <i/>
        <sz val="10"/>
        <rFont val="Trebuchet MS"/>
        <family val="2"/>
      </rPr>
      <t>Number of  Laterals</t>
    </r>
    <r>
      <rPr>
        <sz val="10"/>
        <rFont val="Trebuchet MS"/>
        <family val="2"/>
      </rPr>
      <t>:</t>
    </r>
  </si>
  <si>
    <t>Cannot be less than line 2 (Except in at-grades)</t>
  </si>
  <si>
    <r>
      <t xml:space="preserve">Lateral spacing in Bed; </t>
    </r>
    <r>
      <rPr>
        <i/>
        <sz val="10"/>
        <rFont val="Trebuchet MS"/>
        <family val="2"/>
      </rPr>
      <t>Must be greater than 1 foot and no more than 3 feet</t>
    </r>
    <r>
      <rPr>
        <sz val="10"/>
        <rFont val="Trebuchet MS"/>
        <family val="2"/>
      </rPr>
      <t>:</t>
    </r>
  </si>
  <si>
    <r>
      <t>Length of Laterals</t>
    </r>
    <r>
      <rPr>
        <sz val="10"/>
        <rFont val="Trebuchet MS"/>
        <family val="2"/>
      </rPr>
      <t xml:space="preserve"> = Media Bed Length(2.) - 2 Feet.   </t>
    </r>
  </si>
  <si>
    <t>2ft</t>
  </si>
  <si>
    <r>
      <t xml:space="preserve">Select </t>
    </r>
    <r>
      <rPr>
        <i/>
        <sz val="10"/>
        <rFont val="Trebuchet MS"/>
        <family val="2"/>
      </rPr>
      <t>Perforation Spacing</t>
    </r>
    <r>
      <rPr>
        <sz val="10"/>
        <rFont val="Trebuchet MS"/>
        <family val="2"/>
      </rPr>
      <t>:</t>
    </r>
  </si>
  <si>
    <r>
      <t xml:space="preserve">Determine the </t>
    </r>
    <r>
      <rPr>
        <i/>
        <sz val="10"/>
        <rFont val="Trebuchet MS"/>
        <family val="2"/>
      </rPr>
      <t>Number of Perforation Spaces</t>
    </r>
    <r>
      <rPr>
        <sz val="10"/>
        <rFont val="Trebuchet MS"/>
        <family val="2"/>
      </rPr>
      <t xml:space="preserve">.  Divide the </t>
    </r>
    <r>
      <rPr>
        <i/>
        <sz val="10"/>
        <rFont val="Trebuchet MS"/>
        <family val="2"/>
      </rPr>
      <t>Length of Laterals(6.)</t>
    </r>
    <r>
      <rPr>
        <sz val="10"/>
        <rFont val="Trebuchet MS"/>
        <family val="2"/>
      </rPr>
      <t xml:space="preserve"> by  the </t>
    </r>
    <r>
      <rPr>
        <i/>
        <sz val="10"/>
        <rFont val="Trebuchet MS"/>
        <family val="2"/>
      </rPr>
      <t>Perforation Spacing</t>
    </r>
    <r>
      <rPr>
        <sz val="10"/>
        <rFont val="Trebuchet MS"/>
        <family val="2"/>
      </rPr>
      <t>(7.) and round down to the nearest whole number.</t>
    </r>
  </si>
  <si>
    <r>
      <t>Number of Perforation Spaces</t>
    </r>
    <r>
      <rPr>
        <sz val="10"/>
        <rFont val="Trebuchet MS"/>
        <family val="2"/>
      </rPr>
      <t xml:space="preserve">= </t>
    </r>
  </si>
  <si>
    <t>Spaces</t>
  </si>
  <si>
    <r>
      <t>Number of Perforations per Lateral</t>
    </r>
    <r>
      <rPr>
        <sz val="10"/>
        <rFont val="Trebuchet MS"/>
        <family val="2"/>
      </rPr>
      <t xml:space="preserve"> is equal to 1.0 plus the </t>
    </r>
    <r>
      <rPr>
        <i/>
        <sz val="10"/>
        <rFont val="Trebuchet MS"/>
        <family val="2"/>
      </rPr>
      <t>Number of Perforation Spaces(8.)</t>
    </r>
    <r>
      <rPr>
        <sz val="10"/>
        <rFont val="Trebuchet MS"/>
        <family val="2"/>
      </rPr>
      <t xml:space="preserve">.  Check table below to verify the number of perforations per lateral guarantees less than a 10% discharge variation.  The value is double with a center manifold.  </t>
    </r>
  </si>
  <si>
    <r>
      <t xml:space="preserve">Perforations Per Lateral </t>
    </r>
    <r>
      <rPr>
        <sz val="10"/>
        <rFont val="Trebuchet MS"/>
        <family val="2"/>
      </rPr>
      <t>=</t>
    </r>
  </si>
  <si>
    <t>Spaces    +   1 =</t>
  </si>
  <si>
    <t>Perfs. Per Lateral</t>
  </si>
  <si>
    <r>
      <t xml:space="preserve">Select </t>
    </r>
    <r>
      <rPr>
        <i/>
        <sz val="10"/>
        <rFont val="Trebuchet MS"/>
        <family val="2"/>
      </rPr>
      <t>Perforation Diameter Size:</t>
    </r>
  </si>
  <si>
    <r>
      <t>Select Lateral Diameter (See Table)</t>
    </r>
    <r>
      <rPr>
        <sz val="10"/>
        <rFont val="Trebuchet MS"/>
        <family val="2"/>
      </rPr>
      <t>:</t>
    </r>
  </si>
  <si>
    <t>If Center Manifold Connection the max number of perfs per lateral in the table can be doubled.</t>
  </si>
  <si>
    <r>
      <t xml:space="preserve">Select </t>
    </r>
    <r>
      <rPr>
        <i/>
        <sz val="10"/>
        <rFont val="Trebuchet MS"/>
        <family val="2"/>
      </rPr>
      <t>Manifold Connection</t>
    </r>
    <r>
      <rPr>
        <sz val="10"/>
        <rFont val="Trebuchet MS"/>
        <family val="2"/>
      </rPr>
      <t xml:space="preserve"> (End or Center):</t>
    </r>
  </si>
  <si>
    <t>END Connection</t>
  </si>
  <si>
    <t>CENTER Connection</t>
  </si>
  <si>
    <t>Perf Per Lateral:</t>
  </si>
  <si>
    <t>Perf Per Lateral Equal Split:</t>
  </si>
  <si>
    <t>|</t>
  </si>
  <si>
    <t>OPTIONAL Perf Per Lateral Non-Equal Split*:</t>
  </si>
  <si>
    <t>* must not exceed maximum number perfs per lateral in table</t>
  </si>
  <si>
    <t>End Feed Lateral Min Diameter:</t>
  </si>
  <si>
    <t>Center Feed Lateral Min Diameter:</t>
  </si>
  <si>
    <r>
      <t>Total Number of Perforations</t>
    </r>
    <r>
      <rPr>
        <sz val="10"/>
        <rFont val="Trebuchet MS"/>
        <family val="2"/>
      </rPr>
      <t xml:space="preserve"> equals the </t>
    </r>
    <r>
      <rPr>
        <i/>
        <sz val="10"/>
        <rFont val="Trebuchet MS"/>
        <family val="2"/>
      </rPr>
      <t>Number of Perforations per Lateral (9.)</t>
    </r>
    <r>
      <rPr>
        <sz val="10"/>
        <rFont val="Trebuchet MS"/>
        <family val="2"/>
      </rPr>
      <t xml:space="preserve"> multiplied by the </t>
    </r>
    <r>
      <rPr>
        <i/>
        <sz val="10"/>
        <rFont val="Trebuchet MS"/>
        <family val="2"/>
      </rPr>
      <t>Number of Perforated Laterals.(4.)</t>
    </r>
  </si>
  <si>
    <t>Perf. Per Lat.   X</t>
  </si>
  <si>
    <t>Number of Perf. Lat. =</t>
  </si>
  <si>
    <t>Total Number of Perf.</t>
  </si>
  <si>
    <r>
      <t xml:space="preserve">Calculate the </t>
    </r>
    <r>
      <rPr>
        <i/>
        <sz val="10"/>
        <rFont val="Trebuchet MS"/>
        <family val="2"/>
      </rPr>
      <t xml:space="preserve">Square Feet per Perforation.  </t>
    </r>
  </si>
  <si>
    <r>
      <t xml:space="preserve">Recommended value is 4-11 ft2 per perforation, </t>
    </r>
    <r>
      <rPr>
        <i/>
        <u/>
        <sz val="8"/>
        <rFont val="Trebuchet MS"/>
        <family val="2"/>
      </rPr>
      <t>Does not apply to At-Grades</t>
    </r>
  </si>
  <si>
    <t xml:space="preserve">a. </t>
  </si>
  <si>
    <r>
      <t>Bed Area</t>
    </r>
    <r>
      <rPr>
        <sz val="10"/>
        <rFont val="Trebuchet MS"/>
        <family val="2"/>
      </rPr>
      <t xml:space="preserve">  =  Bed Width (ft)(1.) X Bed Length (ft)(2.)</t>
    </r>
  </si>
  <si>
    <t>b.</t>
  </si>
  <si>
    <r>
      <t>Square Foot per Perforation</t>
    </r>
    <r>
      <rPr>
        <sz val="10"/>
        <rFont val="Trebuchet MS"/>
        <family val="2"/>
      </rPr>
      <t xml:space="preserve"> = </t>
    </r>
    <r>
      <rPr>
        <i/>
        <sz val="10"/>
        <rFont val="Trebuchet MS"/>
        <family val="2"/>
      </rPr>
      <t>Bed Area</t>
    </r>
    <r>
      <rPr>
        <i/>
        <sz val="8"/>
        <rFont val="Trebuchet MS"/>
        <family val="2"/>
      </rPr>
      <t>(14a)</t>
    </r>
    <r>
      <rPr>
        <sz val="10"/>
        <rFont val="Trebuchet MS"/>
        <family val="2"/>
      </rPr>
      <t xml:space="preserve"> ÷ by </t>
    </r>
    <r>
      <rPr>
        <i/>
        <sz val="10"/>
        <rFont val="Trebuchet MS"/>
        <family val="2"/>
      </rPr>
      <t xml:space="preserve">Total Number of Perfs </t>
    </r>
    <r>
      <rPr>
        <i/>
        <sz val="8"/>
        <rFont val="Trebuchet MS"/>
        <family val="2"/>
      </rPr>
      <t>(13)</t>
    </r>
  </si>
  <si>
    <t>sqft ÷</t>
  </si>
  <si>
    <t>perf =</t>
  </si>
  <si>
    <t>sq.ft/perf</t>
  </si>
  <si>
    <r>
      <t xml:space="preserve">Select </t>
    </r>
    <r>
      <rPr>
        <i/>
        <sz val="10"/>
        <rFont val="Trebuchet MS"/>
        <family val="2"/>
      </rPr>
      <t>Minimum Average Head</t>
    </r>
    <r>
      <rPr>
        <sz val="10"/>
        <rFont val="Trebuchet MS"/>
        <family val="2"/>
      </rPr>
      <t>:</t>
    </r>
  </si>
  <si>
    <r>
      <t xml:space="preserve">Select </t>
    </r>
    <r>
      <rPr>
        <i/>
        <sz val="10"/>
        <rFont val="Trebuchet MS"/>
        <family val="2"/>
      </rPr>
      <t xml:space="preserve">Perforation Discharge </t>
    </r>
    <r>
      <rPr>
        <sz val="10"/>
        <rFont val="Trebuchet MS"/>
        <family val="2"/>
      </rPr>
      <t>based on Table:</t>
    </r>
  </si>
  <si>
    <t>GPM per Perf</t>
  </si>
  <si>
    <r>
      <rPr>
        <i/>
        <sz val="10"/>
        <rFont val="Trebuchet MS"/>
        <family val="2"/>
      </rPr>
      <t>Flow Rate</t>
    </r>
    <r>
      <rPr>
        <sz val="10"/>
        <rFont val="Trebuchet MS"/>
        <family val="2"/>
      </rPr>
      <t xml:space="preserve"> = </t>
    </r>
    <r>
      <rPr>
        <i/>
        <sz val="10"/>
        <rFont val="Trebuchet MS"/>
        <family val="2"/>
      </rPr>
      <t>Total Number of Perfs(13.) X Perforation Discharge(16.)</t>
    </r>
  </si>
  <si>
    <t>Perfs     X</t>
  </si>
  <si>
    <t>GPM per Perforation =</t>
  </si>
  <si>
    <r>
      <t>Volume of Liquid Per Foot of Distribution Piping (Table II)</t>
    </r>
    <r>
      <rPr>
        <sz val="10"/>
        <rFont val="Trebuchet MS"/>
        <family val="2"/>
      </rPr>
      <t>:</t>
    </r>
  </si>
  <si>
    <t>Gallons/ft</t>
  </si>
  <si>
    <r>
      <t>Volume of Distribution Piping</t>
    </r>
    <r>
      <rPr>
        <sz val="10"/>
        <rFont val="Trebuchet MS"/>
        <family val="2"/>
      </rPr>
      <t xml:space="preserve"> = </t>
    </r>
  </si>
  <si>
    <t>Number of Perforated Laterals(4.) X Length</t>
  </si>
  <si>
    <t xml:space="preserve">      of Laterals(6.)  X Volume of Liquid Per Foot of Distribution Piping (18.)</t>
  </si>
  <si>
    <t>gal/ft       =</t>
  </si>
  <si>
    <t>Minimum Delivered Volume = Volume of Distribution Piping (19.)  X 4</t>
  </si>
  <si>
    <t>gal   X     4    =</t>
  </si>
  <si>
    <t>Maximum Delivered Volume = Design flow x 25%</t>
  </si>
  <si>
    <t>gpd   X     25%    =</t>
  </si>
  <si>
    <t>Minimum Delivered vs Maximum Delivered evaluation:</t>
  </si>
  <si>
    <t>Non-Level &amp; Unequal Pressure Distribution Design Worksheet</t>
  </si>
  <si>
    <t>Enter soil treatment area (STA) length in order of the Highest Elevation to the Lowest Elevation:</t>
  </si>
  <si>
    <t>Pipe Elevation</t>
  </si>
  <si>
    <t>Length of STA from manifold</t>
  </si>
  <si>
    <t>Highest</t>
  </si>
  <si>
    <t>Length of STA</t>
  </si>
  <si>
    <t>Lowest</t>
  </si>
  <si>
    <r>
      <t xml:space="preserve">Calculate </t>
    </r>
    <r>
      <rPr>
        <i/>
        <sz val="10"/>
        <rFont val="Trebuchet MS"/>
        <family val="2"/>
      </rPr>
      <t>Change in Elevation</t>
    </r>
    <r>
      <rPr>
        <sz val="10"/>
        <rFont val="Trebuchet MS"/>
        <family val="2"/>
      </rPr>
      <t xml:space="preserve"> over the laterals</t>
    </r>
  </si>
  <si>
    <t>= Highest Elevation (Lateral 1) - Lowest Elevation (Last Lateral above)</t>
  </si>
  <si>
    <t xml:space="preserve">ft    - </t>
  </si>
  <si>
    <t xml:space="preserve">ft     = </t>
  </si>
  <si>
    <t>Use 1.0 ft for dwellings using 3/16 to 1/4  inch perforations.</t>
  </si>
  <si>
    <t>Use 2.0 ft for dwellings using 1/8 inch perforations; or, for MSTS or other establishments using 3/16 to 1/4 inch perforations.</t>
  </si>
  <si>
    <t>This worksheet cannot be used for a Minimum Average Head of 5.0 feet.  Design must be modified or valving must be used to equalize flow.</t>
  </si>
  <si>
    <r>
      <t xml:space="preserve">Calculate the </t>
    </r>
    <r>
      <rPr>
        <i/>
        <sz val="10"/>
        <rFont val="Trebuchet MS"/>
        <family val="2"/>
      </rPr>
      <t>Total Head</t>
    </r>
    <r>
      <rPr>
        <sz val="10"/>
        <rFont val="Trebuchet MS"/>
        <family val="2"/>
      </rPr>
      <t xml:space="preserve"> = </t>
    </r>
    <r>
      <rPr>
        <i/>
        <sz val="10"/>
        <rFont val="Trebuchet MS"/>
        <family val="2"/>
      </rPr>
      <t>Minimum Average Head</t>
    </r>
    <r>
      <rPr>
        <sz val="10"/>
        <rFont val="Trebuchet MS"/>
        <family val="2"/>
      </rPr>
      <t xml:space="preserve"> (3.) + </t>
    </r>
    <r>
      <rPr>
        <i/>
        <sz val="10"/>
        <rFont val="Trebuchet MS"/>
        <family val="2"/>
      </rPr>
      <t>Change in Elevation</t>
    </r>
    <r>
      <rPr>
        <sz val="10"/>
        <rFont val="Trebuchet MS"/>
        <family val="2"/>
      </rPr>
      <t xml:space="preserve"> (2.)</t>
    </r>
  </si>
  <si>
    <r>
      <t xml:space="preserve">Calculate </t>
    </r>
    <r>
      <rPr>
        <i/>
        <sz val="10"/>
        <rFont val="Trebuchet MS"/>
        <family val="2"/>
      </rPr>
      <t>Pressure Head for Each Lateral</t>
    </r>
  </si>
  <si>
    <r>
      <t xml:space="preserve">A. Highest trench elevation (Pipe Elevation 1): </t>
    </r>
    <r>
      <rPr>
        <i/>
        <sz val="10"/>
        <rFont val="Trebuchet MS"/>
        <family val="2"/>
      </rPr>
      <t>Pressure Head</t>
    </r>
    <r>
      <rPr>
        <sz val="10"/>
        <rFont val="Trebuchet MS"/>
        <family val="2"/>
      </rPr>
      <t xml:space="preserve"> equals </t>
    </r>
    <r>
      <rPr>
        <i/>
        <sz val="10"/>
        <rFont val="Trebuchet MS"/>
        <family val="2"/>
      </rPr>
      <t>Minimum Average Head</t>
    </r>
    <r>
      <rPr>
        <sz val="10"/>
        <rFont val="Trebuchet MS"/>
        <family val="2"/>
      </rPr>
      <t xml:space="preserve"> (3.)</t>
    </r>
  </si>
  <si>
    <r>
      <t xml:space="preserve">B. All other trenches: </t>
    </r>
    <r>
      <rPr>
        <i/>
        <sz val="10"/>
        <rFont val="Trebuchet MS"/>
        <family val="2"/>
      </rPr>
      <t>Pressure Head</t>
    </r>
    <r>
      <rPr>
        <sz val="10"/>
        <rFont val="Trebuchet MS"/>
        <family val="2"/>
      </rPr>
      <t xml:space="preserve"> equals </t>
    </r>
    <r>
      <rPr>
        <i/>
        <sz val="10"/>
        <rFont val="Trebuchet MS"/>
        <family val="2"/>
      </rPr>
      <t>Minimum Average Head</t>
    </r>
    <r>
      <rPr>
        <sz val="10"/>
        <rFont val="Trebuchet MS"/>
        <family val="2"/>
      </rPr>
      <t xml:space="preserve"> (3.) plus the </t>
    </r>
    <r>
      <rPr>
        <i/>
        <sz val="10"/>
        <rFont val="Trebuchet MS"/>
        <family val="2"/>
      </rPr>
      <t>Change in Elevation</t>
    </r>
    <r>
      <rPr>
        <sz val="10"/>
        <rFont val="Trebuchet MS"/>
        <family val="2"/>
      </rPr>
      <t xml:space="preserve"> from Lateral 1.</t>
    </r>
  </si>
  <si>
    <t>Minimum Average Head</t>
  </si>
  <si>
    <t>Elevation of Lateral 1</t>
  </si>
  <si>
    <t>Elevation of Lateral</t>
  </si>
  <si>
    <t>Pressure Head</t>
  </si>
  <si>
    <t>Lat 1</t>
  </si>
  <si>
    <t>ft  +  [</t>
  </si>
  <si>
    <t>ft     -</t>
  </si>
  <si>
    <t>ft]    =</t>
  </si>
  <si>
    <t>`</t>
  </si>
  <si>
    <t>Lat 2</t>
  </si>
  <si>
    <t>Lat 3</t>
  </si>
  <si>
    <t>Lat 4</t>
  </si>
  <si>
    <t>Lat 5</t>
  </si>
  <si>
    <t>Lat 6</t>
  </si>
  <si>
    <r>
      <t xml:space="preserve">Determine the </t>
    </r>
    <r>
      <rPr>
        <i/>
        <sz val="10"/>
        <rFont val="Trebuchet MS"/>
        <family val="2"/>
      </rPr>
      <t>Flow Rate per Hole</t>
    </r>
  </si>
  <si>
    <t>Select a Perforation Diameter and the corresponding gallons per minute from the Perforation Discharge table below, adjusting as needed.</t>
  </si>
  <si>
    <t>c=0.60; d=perforation diameter; h=pressure head</t>
  </si>
  <si>
    <t>or Calculate Perforation Discharge (Q) in GPM:</t>
  </si>
  <si>
    <t>ft        Perforation Diameter</t>
  </si>
  <si>
    <t>Calculate Flow in Gallons Per Minute for Lateral 1</t>
  </si>
  <si>
    <r>
      <t>Length of Laterals</t>
    </r>
    <r>
      <rPr>
        <sz val="10"/>
        <rFont val="Trebuchet MS"/>
        <family val="2"/>
      </rPr>
      <t xml:space="preserve"> = Length of STA (Line 1) - 2 Feet</t>
    </r>
  </si>
  <si>
    <t>- 2 ft =</t>
  </si>
  <si>
    <r>
      <t>Number of Perforation Spaces</t>
    </r>
    <r>
      <rPr>
        <sz val="10"/>
        <rFont val="Trebuchet MS"/>
        <family val="2"/>
      </rPr>
      <t xml:space="preserve"> = Divide the Length of Lateral 1 (7.B) by  the Perforation Spacing (Line 7.A) and round down to the nearest whole number.  Check Table II to ensure the maximum number of perforations is not exceeded.</t>
    </r>
  </si>
  <si>
    <t>ft/</t>
  </si>
  <si>
    <r>
      <t xml:space="preserve">Select </t>
    </r>
    <r>
      <rPr>
        <i/>
        <sz val="10"/>
        <rFont val="Trebuchet MS"/>
        <family val="2"/>
      </rPr>
      <t>Type of Manifold Connection</t>
    </r>
    <r>
      <rPr>
        <sz val="10"/>
        <rFont val="Trebuchet MS"/>
        <family val="2"/>
      </rPr>
      <t xml:space="preserve"> (End or Center):</t>
    </r>
  </si>
  <si>
    <t>Number of Perforations =Number of Perforation Spaces (Line 11) + 1.</t>
  </si>
  <si>
    <t>Spaces +1 =</t>
  </si>
  <si>
    <r>
      <t>Flow Rate for Lateral 1</t>
    </r>
    <r>
      <rPr>
        <sz val="10"/>
        <rFont val="Trebuchet MS"/>
        <family val="2"/>
      </rPr>
      <t xml:space="preserve"> = </t>
    </r>
    <r>
      <rPr>
        <i/>
        <sz val="10"/>
        <rFont val="Trebuchet MS"/>
        <family val="2"/>
      </rPr>
      <t>Number of Perforations</t>
    </r>
    <r>
      <rPr>
        <sz val="10"/>
        <rFont val="Trebuchet MS"/>
        <family val="2"/>
      </rPr>
      <t xml:space="preserve"> X </t>
    </r>
    <r>
      <rPr>
        <i/>
        <sz val="10"/>
        <rFont val="Trebuchet MS"/>
        <family val="2"/>
      </rPr>
      <t>Flow Rate Per Hole for Lateral 1</t>
    </r>
  </si>
  <si>
    <t>GPM for Lateral 1</t>
  </si>
  <si>
    <t>Calculate the Gallons Per Minute Per Foot for Lateral 1.  This value will then be used to make sure that the gallons per minute per foot is equivalent in each lateral</t>
  </si>
  <si>
    <t>Gallons Per Length =</t>
  </si>
  <si>
    <t>Flow Rate for Lateral 1 divided by Length of Lateral 1</t>
  </si>
  <si>
    <t>GPM/Foot</t>
  </si>
  <si>
    <t>Balance flows for other lateral lengths, spacing, and size.</t>
  </si>
  <si>
    <t>If you end up with large perforation spacing (3' is max) lower the initial spacing for Lateral 1 (7.A) or the perforation size (6.)</t>
  </si>
  <si>
    <t>Lateral 2 GPM = (Length of Lateral - 2) X Gallons Per Minute Per Foot (8.)</t>
  </si>
  <si>
    <t>GPM/ft=</t>
  </si>
  <si>
    <t xml:space="preserve">Cannot have Decimal Perforations.  Truncate the answer.  Check Table to ensure the maximum number of perforations is not exceeded.  </t>
  </si>
  <si>
    <t>Number of Perforations = GPM/Flow Rate for Lateral 2 (6.)</t>
  </si>
  <si>
    <t>Perforations</t>
  </si>
  <si>
    <t xml:space="preserve">Select Type of Manifold Connection (End or Center): </t>
  </si>
  <si>
    <t>Spacing = (Length of Lateral)/(Number of Perforations -1)</t>
  </si>
  <si>
    <t>)    ÷   (</t>
  </si>
  <si>
    <t>Perforations-1)</t>
  </si>
  <si>
    <t>Lateral 3 GPM = (Length of Lateral - 2) X Gallons Per Minute Per Foot (8.)</t>
  </si>
  <si>
    <t>GPM/Ft=</t>
  </si>
  <si>
    <t>Number of Perforations = GPM/Flow Rate for Lateral 3 (6.)</t>
  </si>
  <si>
    <t xml:space="preserve">Check Table to ensure the maximum number of perforations is not exceeded.  </t>
  </si>
  <si>
    <t>Lateral 4 GPM = (Length of Lateral - 2) X Gallons Per Minute Per Foot (8.)</t>
  </si>
  <si>
    <t>Number of Perforations = GPM/Flow Rate for Lateral 4 (6.)</t>
  </si>
  <si>
    <t>Lateral 5 GPM = (Length of Lateral - 2) X Gallons Per Minute Per Foot (8.)</t>
  </si>
  <si>
    <t>Number of Perforations = GPM/Flow Rate for Lateral 5 (6.)</t>
  </si>
  <si>
    <t>Lateral 6 GPM = Length of Lateral X Gallons Per Minute Per Foot (8.)</t>
  </si>
  <si>
    <t>Number of Perforations = GPM/Flow Rate for Lateral 6 (6.)</t>
  </si>
  <si>
    <t>Calculate Total GPM for system - the total GPM need from the pump.</t>
  </si>
  <si>
    <t>Lateral 1 Flow + Lateral 2 Flow + Lateral 3 Flow+ Lateral 4 Flow + Lateral 5 Flow + Lateral 6 Flow</t>
  </si>
  <si>
    <t>Total GPM</t>
  </si>
  <si>
    <t>Summary</t>
  </si>
  <si>
    <t>Enter the minimum pipe size that allows for even distribution and the volume of liquid in the pipe from the table.</t>
  </si>
  <si>
    <t>Total Volume to Fill Pipe (gal)</t>
  </si>
  <si>
    <t>Perforation Size (in)</t>
  </si>
  <si>
    <t>Spacing (ft)*</t>
  </si>
  <si>
    <t>Total Volume of Distribution Piping =</t>
  </si>
  <si>
    <t>* Spacing must not exceed 3 ft</t>
  </si>
  <si>
    <t>Min. Delivered Dose Volume = Four X the Total Volume of Piping =</t>
  </si>
  <si>
    <t>Max. Delivered Dose Volume = Design Flow X  0.25 =</t>
  </si>
  <si>
    <t xml:space="preserve"> Basic STA Pump Selection Design Worksheet</t>
  </si>
  <si>
    <t xml:space="preserve">1.  </t>
  </si>
  <si>
    <t>PUMP CAPACITY</t>
  </si>
  <si>
    <t>Pumping to Gravity or Pressure Distribution:</t>
  </si>
  <si>
    <t>If pumping to gravity enter the gallon per minute of the pump:</t>
  </si>
  <si>
    <t>(10 - 45 gpm)</t>
  </si>
  <si>
    <t>If pumping to a pressurized distribution system:</t>
  </si>
  <si>
    <t>Enter pump description:</t>
  </si>
  <si>
    <t>2.  HEAD REQUIREMENTS</t>
  </si>
  <si>
    <t>Elevation Difference</t>
  </si>
  <si>
    <r>
      <t xml:space="preserve">between pump </t>
    </r>
    <r>
      <rPr>
        <sz val="10"/>
        <rFont val="Arial"/>
        <family val="2"/>
      </rPr>
      <t>and</t>
    </r>
    <r>
      <rPr>
        <sz val="10"/>
        <rFont val="Trebuchet MS"/>
        <family val="2"/>
      </rPr>
      <t xml:space="preserve"> point of discharge:</t>
    </r>
  </si>
  <si>
    <t>Distribution Head Loss:</t>
  </si>
  <si>
    <t>Additional Head Loss*:</t>
  </si>
  <si>
    <r>
      <t xml:space="preserve">ft </t>
    </r>
    <r>
      <rPr>
        <sz val="8"/>
        <rFont val="Trebuchet MS"/>
        <family val="2"/>
      </rPr>
      <t>(due to special equipment, etc.)</t>
    </r>
  </si>
  <si>
    <t xml:space="preserve"> *  Common additional head loss:  gate valve = 1 ft each,  globe valve = 1.5 ft  each, splitter valve = see manufacturers details</t>
  </si>
  <si>
    <t>1. Supply Pipe Diameter:</t>
  </si>
  <si>
    <t>2. Supply Pipe Length:</t>
  </si>
  <si>
    <r>
      <rPr>
        <b/>
        <sz val="10"/>
        <rFont val="Trebuchet MS"/>
        <family val="2"/>
      </rPr>
      <t>Friction Loss in Plastic Pipe per 100ft</t>
    </r>
    <r>
      <rPr>
        <sz val="10"/>
        <rFont val="Trebuchet MS"/>
        <family val="2"/>
      </rPr>
      <t xml:space="preserve"> from Table I:</t>
    </r>
  </si>
  <si>
    <t>Friction Loss =</t>
  </si>
  <si>
    <t>ft per 100ft of pipe</t>
  </si>
  <si>
    <r>
      <t xml:space="preserve">Determine </t>
    </r>
    <r>
      <rPr>
        <i/>
        <sz val="10"/>
        <rFont val="Trebuchet MS"/>
        <family val="2"/>
      </rPr>
      <t>Equivalent Pipe Length</t>
    </r>
    <r>
      <rPr>
        <sz val="10"/>
        <rFont val="Trebuchet MS"/>
        <family val="2"/>
      </rPr>
      <t xml:space="preserve"> from pump discharge to soil dispersal area discharge point.  Estimate by adding 25% to supply pipe length for fitting loss.  </t>
    </r>
    <r>
      <rPr>
        <i/>
        <sz val="10"/>
        <rFont val="Trebuchet MS"/>
        <family val="2"/>
      </rPr>
      <t xml:space="preserve">Supply Pipe Length </t>
    </r>
    <r>
      <rPr>
        <sz val="10"/>
        <rFont val="Trebuchet MS"/>
        <family val="2"/>
      </rPr>
      <t xml:space="preserve">X 1.25 = </t>
    </r>
    <r>
      <rPr>
        <i/>
        <sz val="10"/>
        <rFont val="Trebuchet MS"/>
        <family val="2"/>
      </rPr>
      <t>Equivalent Pipe Length</t>
    </r>
  </si>
  <si>
    <r>
      <t xml:space="preserve">Calculate </t>
    </r>
    <r>
      <rPr>
        <i/>
        <sz val="10"/>
        <rFont val="Trebuchet MS"/>
        <family val="2"/>
      </rPr>
      <t>Supply Friction Loss</t>
    </r>
    <r>
      <rPr>
        <sz val="10"/>
        <rFont val="Trebuchet MS"/>
        <family val="2"/>
      </rPr>
      <t xml:space="preserve"> by multiplying </t>
    </r>
    <r>
      <rPr>
        <i/>
        <sz val="10"/>
        <rFont val="Trebuchet MS"/>
        <family val="2"/>
      </rPr>
      <t>Friction Loss Per 100ft(E.)</t>
    </r>
    <r>
      <rPr>
        <sz val="10"/>
        <rFont val="Trebuchet MS"/>
        <family val="2"/>
      </rPr>
      <t xml:space="preserve"> by the </t>
    </r>
    <r>
      <rPr>
        <i/>
        <sz val="10"/>
        <rFont val="Trebuchet MS"/>
        <family val="2"/>
      </rPr>
      <t>Equivalent Pipe Length(F.)</t>
    </r>
    <r>
      <rPr>
        <sz val="10"/>
        <rFont val="Trebuchet MS"/>
        <family val="2"/>
      </rPr>
      <t xml:space="preserve"> and divide by 100.</t>
    </r>
  </si>
  <si>
    <t>Supply Friction Loss =</t>
  </si>
  <si>
    <t>ft per 100ft</t>
  </si>
  <si>
    <r>
      <t>Total Head</t>
    </r>
    <r>
      <rPr>
        <sz val="10"/>
        <rFont val="Trebuchet MS"/>
        <family val="2"/>
      </rPr>
      <t xml:space="preserve"> requirement is the sum of the </t>
    </r>
    <r>
      <rPr>
        <i/>
        <sz val="10"/>
        <rFont val="Trebuchet MS"/>
        <family val="2"/>
      </rPr>
      <t xml:space="preserve">Elevation Difference(2A) + </t>
    </r>
    <r>
      <rPr>
        <sz val="10"/>
        <rFont val="Trebuchet MS"/>
        <family val="2"/>
      </rPr>
      <t>Distribution Head Loss(2B) + Additional Head Loss(2C) + Supply Friction Loss(2G)</t>
    </r>
  </si>
  <si>
    <t xml:space="preserve">ft       </t>
  </si>
  <si>
    <t xml:space="preserve">ft  = </t>
  </si>
  <si>
    <t>3.  PUMP SELECTION</t>
  </si>
  <si>
    <t>A pump must be selected to deliver at least</t>
  </si>
  <si>
    <t>GPM  with at least</t>
  </si>
  <si>
    <t>feet of total head.</t>
  </si>
  <si>
    <t>Fitting Type</t>
  </si>
  <si>
    <t xml:space="preserve">Gate Valve </t>
  </si>
  <si>
    <t>90 Deg Elbow</t>
  </si>
  <si>
    <t>45 Deg Elbow</t>
  </si>
  <si>
    <t>Tee - Flow Thru</t>
  </si>
  <si>
    <t>Tee - Branch Flow</t>
  </si>
  <si>
    <t>Swing Check Valve</t>
  </si>
  <si>
    <t>Angle Valve</t>
  </si>
  <si>
    <t>Globe Valve</t>
  </si>
  <si>
    <t>Butterfly Valve</t>
  </si>
  <si>
    <t>STA Dosing Pump Tank Design Worksheet (Demand Dose)</t>
  </si>
  <si>
    <t>To use these calculations the worksheet must be unprotected under the Review Tab</t>
  </si>
  <si>
    <t>DETERMINE TANK CAPACITY AND DIMENSIONS</t>
  </si>
  <si>
    <t>MEASURED TANK CAPACITY (existing tanks):</t>
  </si>
  <si>
    <t xml:space="preserve">     </t>
  </si>
  <si>
    <t>C.   Tank Use:</t>
  </si>
  <si>
    <t>Rectangle area = Length (L) X Width (W)</t>
  </si>
  <si>
    <t>Code minimum pump tank capacity:</t>
  </si>
  <si>
    <t>D.   Designed pump tank capacity:</t>
  </si>
  <si>
    <t>Tank Manufacturer:</t>
  </si>
  <si>
    <t>Tank Model:</t>
  </si>
  <si>
    <r>
      <t>Circle area = 3.14r</t>
    </r>
    <r>
      <rPr>
        <vertAlign val="superscript"/>
        <sz val="10"/>
        <rFont val="Trebuchet MS"/>
        <family val="2"/>
      </rPr>
      <t>2</t>
    </r>
    <r>
      <rPr>
        <sz val="10"/>
        <rFont val="Trebuchet MS"/>
        <family val="2"/>
      </rPr>
      <t xml:space="preserve"> (3.14 X radius X radius)</t>
    </r>
  </si>
  <si>
    <t>Capacity from manufacturer:</t>
  </si>
  <si>
    <t>Note: Design calculations are based on this specific tank. Substituting a different tank model will change the pump float or timer settings. Contact designer if changes are necessary.</t>
  </si>
  <si>
    <t>3.14     X</t>
  </si>
  <si>
    <t>Liquid depth of tank from manufacturer:</t>
  </si>
  <si>
    <t>Calculate Gallons Per Inch.  Multiply the area from 1.A or 1.B,  by 7.5 to determine the gallons per foot the tank holds and divide by 12 to calculate the gallons per inch.</t>
  </si>
  <si>
    <t>Gallons per inch from manufacturer:</t>
  </si>
  <si>
    <t>Gallons per inch</t>
  </si>
  <si>
    <t xml:space="preserve">X </t>
  </si>
  <si>
    <r>
      <t>7.5  gal/ft</t>
    </r>
    <r>
      <rPr>
        <vertAlign val="superscript"/>
        <sz val="10"/>
        <rFont val="Trebuchet MS"/>
        <family val="2"/>
      </rPr>
      <t>3</t>
    </r>
    <r>
      <rPr>
        <sz val="10"/>
        <rFont val="Trebuchet MS"/>
        <family val="2"/>
      </rPr>
      <t xml:space="preserve">  ÷ 12 in/ft</t>
    </r>
  </si>
  <si>
    <t>DETERMINE DOSING VOLUME</t>
  </si>
  <si>
    <r>
      <t xml:space="preserve">Calculate </t>
    </r>
    <r>
      <rPr>
        <i/>
        <sz val="10"/>
        <rFont val="Trebuchet MS"/>
        <family val="2"/>
      </rPr>
      <t>Total Tank Volume</t>
    </r>
  </si>
  <si>
    <r>
      <t xml:space="preserve">Calculate </t>
    </r>
    <r>
      <rPr>
        <i/>
        <sz val="10"/>
        <rFont val="Trebuchet MS"/>
        <family val="2"/>
      </rPr>
      <t>Volume to Cover Pump</t>
    </r>
    <r>
      <rPr>
        <sz val="10"/>
        <rFont val="Trebuchet MS"/>
        <family val="2"/>
      </rPr>
      <t xml:space="preserve"> (The inlet of the pump must be at least 4-inches from the bottom of the pump tank &amp; 2 inches of water covering the pump is recommended)</t>
    </r>
  </si>
  <si>
    <r>
      <t>Depth from bottom of inlet pipe to tank bottom</t>
    </r>
    <r>
      <rPr>
        <sz val="10"/>
        <rFont val="Trebuchet MS"/>
        <family val="2"/>
      </rPr>
      <t>:</t>
    </r>
  </si>
  <si>
    <r>
      <t>Total Tank Volume</t>
    </r>
    <r>
      <rPr>
        <sz val="10"/>
        <rFont val="Trebuchet MS"/>
        <family val="2"/>
      </rPr>
      <t xml:space="preserve"> = </t>
    </r>
    <r>
      <rPr>
        <i/>
        <sz val="10"/>
        <rFont val="Trebuchet MS"/>
        <family val="2"/>
      </rPr>
      <t>Depth from bottom of inlet pipe</t>
    </r>
    <r>
      <rPr>
        <sz val="10"/>
        <rFont val="Trebuchet MS"/>
        <family val="2"/>
      </rPr>
      <t xml:space="preserve"> (Line 4.A) X </t>
    </r>
    <r>
      <rPr>
        <i/>
        <sz val="10"/>
        <rFont val="Trebuchet MS"/>
        <family val="2"/>
      </rPr>
      <t>Gallons/Inch</t>
    </r>
    <r>
      <rPr>
        <sz val="10"/>
        <rFont val="Trebuchet MS"/>
        <family val="2"/>
      </rPr>
      <t xml:space="preserve"> (Line 2)</t>
    </r>
  </si>
  <si>
    <r>
      <t xml:space="preserve">(Pump and block height + 2 inches) X </t>
    </r>
    <r>
      <rPr>
        <i/>
        <sz val="10"/>
        <rFont val="Trebuchet MS"/>
        <family val="2"/>
      </rPr>
      <t>Gallons Per Inch</t>
    </r>
    <r>
      <rPr>
        <sz val="10"/>
        <rFont val="Trebuchet MS"/>
        <family val="2"/>
      </rPr>
      <t>(2E)</t>
    </r>
  </si>
  <si>
    <t xml:space="preserve">Gallons Per Inch = </t>
  </si>
  <si>
    <t>in  +</t>
  </si>
  <si>
    <t>2 inches)   X</t>
  </si>
  <si>
    <t>Gallons Per Inch</t>
  </si>
  <si>
    <r>
      <t xml:space="preserve"> </t>
    </r>
    <r>
      <rPr>
        <b/>
        <i/>
        <sz val="10"/>
        <rFont val="Trebuchet MS"/>
        <family val="2"/>
      </rPr>
      <t>Minimum</t>
    </r>
    <r>
      <rPr>
        <i/>
        <sz val="10"/>
        <rFont val="Trebuchet MS"/>
        <family val="2"/>
      </rPr>
      <t xml:space="preserve"> Delivered Volume</t>
    </r>
    <r>
      <rPr>
        <sz val="10"/>
        <rFont val="Trebuchet MS"/>
        <family val="2"/>
      </rPr>
      <t xml:space="preserve"> =  4 X Volume of Distribution Piping: </t>
    </r>
  </si>
  <si>
    <t xml:space="preserve"> -Item 19 of the Pressure Distribution STA or Item 11 of Non-level STA</t>
  </si>
  <si>
    <t>Gallons (Minimum dose)</t>
  </si>
  <si>
    <t>inches/dose</t>
  </si>
  <si>
    <r>
      <t xml:space="preserve">Calculate </t>
    </r>
    <r>
      <rPr>
        <b/>
        <i/>
        <sz val="10"/>
        <rFont val="Trebuchet MS"/>
        <family val="2"/>
      </rPr>
      <t>Maximum</t>
    </r>
    <r>
      <rPr>
        <i/>
        <sz val="10"/>
        <rFont val="Trebuchet MS"/>
        <family val="2"/>
      </rPr>
      <t xml:space="preserve"> Pumpout Volume</t>
    </r>
    <r>
      <rPr>
        <sz val="10"/>
        <rFont val="Trebuchet MS"/>
        <family val="2"/>
      </rPr>
      <t xml:space="preserve"> (25% of Design Flow(1A))</t>
    </r>
  </si>
  <si>
    <t>Gallons (Maximum dose)</t>
  </si>
  <si>
    <t>Select a pumpout volume that meets both Minimum and Maximum:</t>
  </si>
  <si>
    <r>
      <t xml:space="preserve">Calculate </t>
    </r>
    <r>
      <rPr>
        <i/>
        <sz val="10"/>
        <rFont val="Trebuchet MS"/>
        <family val="2"/>
      </rPr>
      <t>Doses Per Day</t>
    </r>
    <r>
      <rPr>
        <sz val="10"/>
        <rFont val="Trebuchet MS"/>
        <family val="2"/>
      </rPr>
      <t xml:space="preserve"> = Design Flow(1A) </t>
    </r>
    <r>
      <rPr>
        <sz val="12"/>
        <rFont val="Trebuchet MS"/>
        <family val="2"/>
      </rPr>
      <t>÷</t>
    </r>
    <r>
      <rPr>
        <sz val="10"/>
        <rFont val="Trebuchet MS"/>
        <family val="2"/>
      </rPr>
      <t xml:space="preserve"> </t>
    </r>
    <r>
      <rPr>
        <i/>
        <sz val="10"/>
        <rFont val="Trebuchet MS"/>
        <family val="2"/>
      </rPr>
      <t>Delivered Volume(6.)</t>
    </r>
  </si>
  <si>
    <t>gal  =</t>
  </si>
  <si>
    <t>Doses*</t>
  </si>
  <si>
    <t>* Doses need to be equal to or greater than 4</t>
  </si>
  <si>
    <t>Calculate Drainback:</t>
  </si>
  <si>
    <r>
      <t>Diameter of Supply Pipe</t>
    </r>
    <r>
      <rPr>
        <sz val="10"/>
        <rFont val="Trebuchet MS"/>
        <family val="2"/>
      </rPr>
      <t>=</t>
    </r>
  </si>
  <si>
    <t>Length of Supply Pipe =</t>
  </si>
  <si>
    <r>
      <t>Volume of Liquid Per Lineal Foot of Pipe</t>
    </r>
    <r>
      <rPr>
        <sz val="10"/>
        <rFont val="Trebuchet MS"/>
        <family val="2"/>
      </rPr>
      <t xml:space="preserve"> =</t>
    </r>
  </si>
  <si>
    <r>
      <t>Drainback</t>
    </r>
    <r>
      <rPr>
        <sz val="10"/>
        <rFont val="Trebuchet MS"/>
        <family val="2"/>
      </rPr>
      <t xml:space="preserve"> = </t>
    </r>
    <r>
      <rPr>
        <i/>
        <sz val="10"/>
        <rFont val="Trebuchet MS"/>
        <family val="2"/>
      </rPr>
      <t>Length of Supply Pipe(8B)</t>
    </r>
    <r>
      <rPr>
        <sz val="10"/>
        <rFont val="Trebuchet MS"/>
        <family val="2"/>
      </rPr>
      <t xml:space="preserve"> X </t>
    </r>
    <r>
      <rPr>
        <i/>
        <sz val="10"/>
        <rFont val="Trebuchet MS"/>
        <family val="2"/>
      </rPr>
      <t>Volume of Liquid Per Lineal Foot of Pipe(8C)</t>
    </r>
  </si>
  <si>
    <t xml:space="preserve"> gal/ft    =</t>
  </si>
  <si>
    <r>
      <t>Total Dosing Volume</t>
    </r>
    <r>
      <rPr>
        <sz val="10"/>
        <rFont val="Trebuchet MS"/>
        <family val="2"/>
      </rPr>
      <t xml:space="preserve"> = </t>
    </r>
    <r>
      <rPr>
        <i/>
        <sz val="10"/>
        <rFont val="Trebuchet MS"/>
        <family val="2"/>
      </rPr>
      <t>Delivered Volume(6.)</t>
    </r>
    <r>
      <rPr>
        <sz val="10"/>
        <rFont val="Trebuchet MS"/>
        <family val="2"/>
      </rPr>
      <t xml:space="preserve">  +   </t>
    </r>
    <r>
      <rPr>
        <i/>
        <sz val="10"/>
        <rFont val="Trebuchet MS"/>
        <family val="2"/>
      </rPr>
      <t>Drainback</t>
    </r>
    <r>
      <rPr>
        <sz val="10"/>
        <rFont val="Trebuchet MS"/>
        <family val="2"/>
      </rPr>
      <t xml:space="preserve"> (8D)</t>
    </r>
  </si>
  <si>
    <t xml:space="preserve">gal = </t>
  </si>
  <si>
    <t xml:space="preserve">Minimum Alarm Volume = Depth of alarm (2 or 3 inches) X gallons per inch of tank(2E) </t>
  </si>
  <si>
    <t>in  X</t>
  </si>
  <si>
    <t xml:space="preserve"> gal/in   = </t>
  </si>
  <si>
    <t>DEMAND DOSE FLOAT SETTINGS</t>
  </si>
  <si>
    <t>Alarm and Pump are to be wired on separate circuits and inspected by the electrical inspector</t>
  </si>
  <si>
    <r>
      <t xml:space="preserve">Calculate </t>
    </r>
    <r>
      <rPr>
        <i/>
        <sz val="10"/>
        <rFont val="Trebuchet MS"/>
        <family val="2"/>
      </rPr>
      <t>Float Separation Distance</t>
    </r>
    <r>
      <rPr>
        <sz val="10"/>
        <rFont val="Trebuchet MS"/>
        <family val="2"/>
      </rPr>
      <t xml:space="preserve"> using </t>
    </r>
    <r>
      <rPr>
        <i/>
        <sz val="10"/>
        <rFont val="Trebuchet MS"/>
        <family val="2"/>
      </rPr>
      <t>Dosing Volume</t>
    </r>
    <r>
      <rPr>
        <sz val="10"/>
        <rFont val="Trebuchet MS"/>
        <family val="2"/>
      </rPr>
      <t>.</t>
    </r>
  </si>
  <si>
    <t xml:space="preserve">Total Dosing Volume(9.) ÷ Gallons Per Inch(2E) </t>
  </si>
  <si>
    <t xml:space="preserve"> See sensor accuracy or float tether chart from manufacturer for setting equivalent</t>
  </si>
  <si>
    <t>7" min See float tether chart 3.5" sjr for float selected</t>
  </si>
  <si>
    <t>gal   ÷</t>
  </si>
  <si>
    <t>gal/in =</t>
  </si>
  <si>
    <t>Measuring from bottom of tank:</t>
  </si>
  <si>
    <r>
      <t xml:space="preserve">Distance to set Pump Off Float </t>
    </r>
    <r>
      <rPr>
        <sz val="10"/>
        <rFont val="Trebuchet MS"/>
        <family val="2"/>
      </rPr>
      <t>= Pump + block height + 2 inches</t>
    </r>
  </si>
  <si>
    <t xml:space="preserve">Inches for Dose:  </t>
  </si>
  <si>
    <t xml:space="preserve">in   +   2 in  = </t>
  </si>
  <si>
    <t>Alarm Depth</t>
  </si>
  <si>
    <t xml:space="preserve">Distance to set Pump On Float=Distance to Set Pump-Off Float(13A)  + Float Separation Distance(12.) </t>
  </si>
  <si>
    <t>Pump On</t>
  </si>
  <si>
    <t>in +</t>
  </si>
  <si>
    <t>in  =</t>
  </si>
  <si>
    <t>Pump Off</t>
  </si>
  <si>
    <r>
      <t>Distance to set Alarm Float</t>
    </r>
    <r>
      <rPr>
        <sz val="10"/>
        <rFont val="Trebuchet MS"/>
        <family val="2"/>
      </rPr>
      <t xml:space="preserve"> = </t>
    </r>
    <r>
      <rPr>
        <i/>
        <sz val="10"/>
        <rFont val="Trebuchet MS"/>
        <family val="2"/>
      </rPr>
      <t>Distance to set Pump-On Float(13B)</t>
    </r>
    <r>
      <rPr>
        <sz val="10"/>
        <rFont val="Trebuchet MS"/>
        <family val="2"/>
      </rPr>
      <t xml:space="preserve">  + </t>
    </r>
    <r>
      <rPr>
        <i/>
        <sz val="10"/>
        <rFont val="Trebuchet MS"/>
        <family val="2"/>
      </rPr>
      <t>Alarm Depth</t>
    </r>
    <r>
      <rPr>
        <sz val="10"/>
        <rFont val="Trebuchet MS"/>
        <family val="2"/>
      </rPr>
      <t xml:space="preserve"> (2-3 inches)(10.)</t>
    </r>
  </si>
  <si>
    <t>in =</t>
  </si>
  <si>
    <t>Reserve Capacity Volume = [Tank Liquid Depth(2D) - Alarm Float Depth(12C)] x gallons per inch of tank(2E)</t>
  </si>
  <si>
    <r>
      <t xml:space="preserve">in  </t>
    </r>
    <r>
      <rPr>
        <sz val="18"/>
        <rFont val="Trebuchet MS"/>
        <family val="2"/>
      </rPr>
      <t>-</t>
    </r>
  </si>
  <si>
    <t>in ] X</t>
  </si>
  <si>
    <t xml:space="preserve">gal/in      = </t>
  </si>
  <si>
    <t>STA Dosing Pump Tank Design Worksheet (Time Dose)</t>
  </si>
  <si>
    <t>To use these calculations you must unprotect the worksheet under the Review Tab.</t>
  </si>
  <si>
    <t xml:space="preserve"> 1.</t>
  </si>
  <si>
    <t>Tank Use:</t>
  </si>
  <si>
    <t>Percentage of Design Flow</t>
  </si>
  <si>
    <t>Up to 75% design flow is normal for Design percentage</t>
  </si>
  <si>
    <t>Recommended capacity:</t>
  </si>
  <si>
    <t xml:space="preserve"> 2.</t>
  </si>
  <si>
    <t>Gallons per inch:</t>
  </si>
  <si>
    <t xml:space="preserve"> 3.</t>
  </si>
  <si>
    <r>
      <rPr>
        <i/>
        <sz val="10"/>
        <rFont val="Trebuchet MS"/>
        <family val="2"/>
      </rPr>
      <t>Volume to Cover Pump</t>
    </r>
    <r>
      <rPr>
        <sz val="10"/>
        <rFont val="Trebuchet MS"/>
        <family val="2"/>
      </rPr>
      <t xml:space="preserve"> (The inlet of pump should be 4 inches from the bottom of the tank &amp; 2 inches covering the pump recommended)</t>
    </r>
  </si>
  <si>
    <t>Gallons Per Inch  =</t>
  </si>
  <si>
    <t xml:space="preserve"> 4.</t>
  </si>
  <si>
    <r>
      <t xml:space="preserve"> </t>
    </r>
    <r>
      <rPr>
        <i/>
        <sz val="10"/>
        <rFont val="Trebuchet MS"/>
        <family val="2"/>
      </rPr>
      <t>Minimum Delivered Volume</t>
    </r>
    <r>
      <rPr>
        <sz val="10"/>
        <rFont val="Trebuchet MS"/>
        <family val="2"/>
      </rPr>
      <t xml:space="preserve"> =  4 X Volume of Distribution Piping: </t>
    </r>
  </si>
  <si>
    <t xml:space="preserve"> -Item 19 of the Pressure Distribution or Item 11 of Non-level</t>
  </si>
  <si>
    <t>Gallons (minimum dose)</t>
  </si>
  <si>
    <t xml:space="preserve"> 5.</t>
  </si>
  <si>
    <r>
      <t xml:space="preserve">Calculate </t>
    </r>
    <r>
      <rPr>
        <i/>
        <sz val="10"/>
        <rFont val="Trebuchet MS"/>
        <family val="2"/>
      </rPr>
      <t>Maximum Pumpout Volume</t>
    </r>
    <r>
      <rPr>
        <sz val="10"/>
        <rFont val="Trebuchet MS"/>
        <family val="2"/>
      </rPr>
      <t xml:space="preserve"> (25% of Design Flow)</t>
    </r>
  </si>
  <si>
    <t>Gallons (maximum dose)</t>
  </si>
  <si>
    <t xml:space="preserve"> 6.</t>
  </si>
  <si>
    <t xml:space="preserve"> 7.</t>
  </si>
  <si>
    <r>
      <t xml:space="preserve">Calculate </t>
    </r>
    <r>
      <rPr>
        <i/>
        <sz val="10"/>
        <rFont val="Trebuchet MS"/>
        <family val="2"/>
      </rPr>
      <t>Doses Per Day</t>
    </r>
    <r>
      <rPr>
        <sz val="10"/>
        <rFont val="Trebuchet MS"/>
        <family val="2"/>
      </rPr>
      <t xml:space="preserve"> = Percentage Design Flow(1C) </t>
    </r>
    <r>
      <rPr>
        <sz val="12"/>
        <rFont val="Trebuchet MS"/>
        <family val="2"/>
      </rPr>
      <t>÷</t>
    </r>
    <r>
      <rPr>
        <sz val="10"/>
        <rFont val="Trebuchet MS"/>
        <family val="2"/>
      </rPr>
      <t xml:space="preserve"> </t>
    </r>
    <r>
      <rPr>
        <i/>
        <sz val="10"/>
        <rFont val="Trebuchet MS"/>
        <family val="2"/>
      </rPr>
      <t>Delivered Volume(6.)</t>
    </r>
  </si>
  <si>
    <r>
      <t xml:space="preserve">gpd     </t>
    </r>
    <r>
      <rPr>
        <sz val="12"/>
        <rFont val="Trebuchet MS"/>
        <family val="2"/>
      </rPr>
      <t>÷</t>
    </r>
  </si>
  <si>
    <t>Doses</t>
  </si>
  <si>
    <t xml:space="preserve"> 8.</t>
  </si>
  <si>
    <t>gal/ft    =</t>
  </si>
  <si>
    <t xml:space="preserve"> 9.</t>
  </si>
  <si>
    <r>
      <t>Total Dosing Volume</t>
    </r>
    <r>
      <rPr>
        <sz val="10"/>
        <rFont val="Trebuchet MS"/>
        <family val="2"/>
      </rPr>
      <t xml:space="preserve"> = </t>
    </r>
    <r>
      <rPr>
        <i/>
        <sz val="10"/>
        <rFont val="Trebuchet MS"/>
        <family val="2"/>
      </rPr>
      <t>Delivered Volume(6.)</t>
    </r>
    <r>
      <rPr>
        <sz val="10"/>
        <rFont val="Trebuchet MS"/>
        <family val="2"/>
      </rPr>
      <t xml:space="preserve">  +  </t>
    </r>
    <r>
      <rPr>
        <i/>
        <sz val="10"/>
        <rFont val="Trebuchet MS"/>
        <family val="2"/>
      </rPr>
      <t>Drainback(8D)</t>
    </r>
  </si>
  <si>
    <t>Working Storage Volume = Tank Volume (2C) - Volume to Cover Pump(3.) - Reserve Capacity (22.)</t>
  </si>
  <si>
    <t>gal   -</t>
  </si>
  <si>
    <r>
      <t xml:space="preserve">Required </t>
    </r>
    <r>
      <rPr>
        <i/>
        <sz val="10"/>
        <rFont val="Trebuchet MS"/>
        <family val="2"/>
      </rPr>
      <t>Flow Rate</t>
    </r>
    <r>
      <rPr>
        <sz val="10"/>
        <rFont val="Trebuchet MS"/>
        <family val="2"/>
      </rPr>
      <t>:</t>
    </r>
  </si>
  <si>
    <r>
      <t xml:space="preserve">From Pump Curve - </t>
    </r>
    <r>
      <rPr>
        <b/>
        <u/>
        <sz val="10"/>
        <color rgb="FFFF0000"/>
        <rFont val="Trebuchet MS"/>
        <family val="2"/>
      </rPr>
      <t>Must verify after Install</t>
    </r>
    <r>
      <rPr>
        <sz val="10"/>
        <rFont val="Trebuchet MS"/>
        <family val="2"/>
      </rPr>
      <t>:</t>
    </r>
  </si>
  <si>
    <t>GPM*</t>
  </si>
  <si>
    <t>*Note:  This value must be adjusted after installation based on pump calibration.</t>
  </si>
  <si>
    <t>Calculated GPM = Change in Depth (in) x Gallons Per Inch(2E) / Time Interval in Minutes</t>
  </si>
  <si>
    <t>in   X</t>
  </si>
  <si>
    <t>gal/in ÷</t>
  </si>
  <si>
    <t>min =</t>
  </si>
  <si>
    <t>Select Flow Rate from 11 A or B:</t>
  </si>
  <si>
    <r>
      <t>GPM</t>
    </r>
    <r>
      <rPr>
        <b/>
        <sz val="10"/>
        <rFont val="Trebuchet MS"/>
        <family val="2"/>
      </rPr>
      <t>*</t>
    </r>
  </si>
  <si>
    <t>NORMAL OPERATION TIMER  SETTINGS*</t>
  </si>
  <si>
    <r>
      <t xml:space="preserve">Calculate </t>
    </r>
    <r>
      <rPr>
        <b/>
        <u/>
        <sz val="10"/>
        <rFont val="Trebuchet MS"/>
        <family val="2"/>
      </rPr>
      <t>TIMER ON</t>
    </r>
    <r>
      <rPr>
        <sz val="10"/>
        <rFont val="Trebuchet MS"/>
        <family val="2"/>
      </rPr>
      <t xml:space="preserve"> setting</t>
    </r>
    <r>
      <rPr>
        <b/>
        <sz val="10"/>
        <rFont val="Trebuchet MS"/>
        <family val="2"/>
      </rPr>
      <t>*</t>
    </r>
    <r>
      <rPr>
        <sz val="10"/>
        <rFont val="Trebuchet MS"/>
        <family val="2"/>
      </rPr>
      <t xml:space="preserve">: </t>
    </r>
  </si>
  <si>
    <t>Total Dosing Volume(9.) ÷ GPM(12.)</t>
  </si>
  <si>
    <t>HR</t>
  </si>
  <si>
    <t>MIN</t>
  </si>
  <si>
    <t>SEC</t>
  </si>
  <si>
    <t>gpm         =</t>
  </si>
  <si>
    <r>
      <t xml:space="preserve">Minutes </t>
    </r>
    <r>
      <rPr>
        <b/>
        <sz val="10"/>
        <rFont val="Trebuchet MS"/>
        <family val="2"/>
      </rPr>
      <t>ON</t>
    </r>
    <r>
      <rPr>
        <sz val="10"/>
        <rFont val="Trebuchet MS"/>
        <family val="2"/>
      </rPr>
      <t>*</t>
    </r>
  </si>
  <si>
    <t>ON Time</t>
  </si>
  <si>
    <r>
      <t>Calculated</t>
    </r>
    <r>
      <rPr>
        <b/>
        <sz val="10"/>
        <rFont val="Trebuchet MS"/>
        <family val="2"/>
      </rPr>
      <t xml:space="preserve"> </t>
    </r>
    <r>
      <rPr>
        <b/>
        <u/>
        <sz val="10"/>
        <rFont val="Trebuchet MS"/>
        <family val="2"/>
      </rPr>
      <t>TIMER OFF</t>
    </r>
    <r>
      <rPr>
        <sz val="10"/>
        <rFont val="Trebuchet MS"/>
        <family val="2"/>
      </rPr>
      <t xml:space="preserve"> setting</t>
    </r>
    <r>
      <rPr>
        <b/>
        <sz val="10"/>
        <rFont val="Trebuchet MS"/>
        <family val="2"/>
      </rPr>
      <t>*</t>
    </r>
    <r>
      <rPr>
        <sz val="10"/>
        <rFont val="Trebuchet MS"/>
        <family val="2"/>
      </rPr>
      <t>:</t>
    </r>
  </si>
  <si>
    <r>
      <t>Minutes Per Day (1440)/</t>
    </r>
    <r>
      <rPr>
        <i/>
        <sz val="10"/>
        <rFont val="Trebuchet MS"/>
        <family val="2"/>
      </rPr>
      <t xml:space="preserve">Doses Per Day(7.) - </t>
    </r>
    <r>
      <rPr>
        <sz val="10"/>
        <rFont val="Trebuchet MS"/>
        <family val="2"/>
      </rPr>
      <t xml:space="preserve">Minutes On(13.) </t>
    </r>
  </si>
  <si>
    <t>1440 min  ÷</t>
  </si>
  <si>
    <t>doses/day  -</t>
  </si>
  <si>
    <r>
      <t xml:space="preserve">Minutes </t>
    </r>
    <r>
      <rPr>
        <b/>
        <sz val="10"/>
        <rFont val="Trebuchet MS"/>
        <family val="2"/>
      </rPr>
      <t>OFF</t>
    </r>
    <r>
      <rPr>
        <sz val="10"/>
        <rFont val="Trebuchet MS"/>
        <family val="2"/>
      </rPr>
      <t>*</t>
    </r>
  </si>
  <si>
    <t>OFF Time</t>
  </si>
  <si>
    <r>
      <t xml:space="preserve">OPTIONAL PEAK ENABLE DOSING* - </t>
    </r>
    <r>
      <rPr>
        <b/>
        <i/>
        <sz val="10"/>
        <rFont val="Trebuchet MS"/>
        <family val="2"/>
      </rPr>
      <t>Designers option for peak flow operation</t>
    </r>
  </si>
  <si>
    <t>Peak Percentage of Design Flow</t>
  </si>
  <si>
    <t>Peak Pump Volume that meets both Minimum and Maximum Volume</t>
  </si>
  <si>
    <t>gal    +</t>
  </si>
  <si>
    <t>Drainback</t>
  </si>
  <si>
    <t>Peak Dose Volume</t>
  </si>
  <si>
    <t>Peak TIMER ON</t>
  </si>
  <si>
    <t>gal ÷</t>
  </si>
  <si>
    <t>gpm =</t>
  </si>
  <si>
    <t>min ON</t>
  </si>
  <si>
    <t>Peak ON</t>
  </si>
  <si>
    <t>Peak TIMER OFF:1440 min ÷</t>
  </si>
  <si>
    <t>min On</t>
  </si>
  <si>
    <t>min Off</t>
  </si>
  <si>
    <t>Peak OFF</t>
  </si>
  <si>
    <t>FLOAT SETTINGS</t>
  </si>
  <si>
    <t>Pump Off Float - Measuring from bottom of tank:</t>
  </si>
  <si>
    <t>Distance to set Pump Off Float=Gallons to Cover Pump(3.) ÷ Gallons Per Inch(2E):</t>
  </si>
  <si>
    <t>gal            ÷</t>
  </si>
  <si>
    <t>gal/in    =</t>
  </si>
  <si>
    <t>Reserve Capacity</t>
  </si>
  <si>
    <t>Alarm Float - Measuring from bottom of tank (90% recommended):</t>
  </si>
  <si>
    <t>Storage Capacity</t>
  </si>
  <si>
    <t>Distance to set Alarm Float = Tank Depth(2D)  X  % of Tank Depth (90% recommended)</t>
  </si>
  <si>
    <t>Normal Dose Volume</t>
  </si>
  <si>
    <t>in        X</t>
  </si>
  <si>
    <t>%       =</t>
  </si>
  <si>
    <t>Reserve Capacity in gallons = Tank Depth(2D) - Alarm Depth(21.) X Gallons Per Inch(2E)</t>
  </si>
  <si>
    <t>in         -</t>
  </si>
  <si>
    <t>in)         X</t>
  </si>
  <si>
    <t>Tank Buoyancy Worksheet</t>
  </si>
  <si>
    <t>1. Tank Specifications</t>
  </si>
  <si>
    <t>Outside Tank Dimensions and Specifications:</t>
  </si>
  <si>
    <t>Length:</t>
  </si>
  <si>
    <t>Width:</t>
  </si>
  <si>
    <t>Height:</t>
  </si>
  <si>
    <t xml:space="preserve"> Diameter:</t>
  </si>
  <si>
    <t>Radius of Tank:</t>
  </si>
  <si>
    <t>2. Outside Volume of Tank</t>
  </si>
  <si>
    <t>Rectangular Tank</t>
  </si>
  <si>
    <t>Circular Tank</t>
  </si>
  <si>
    <t>Area of Tank = Length (ft) X Width (ft)</t>
  </si>
  <si>
    <r>
      <t xml:space="preserve">Area of Tank = </t>
    </r>
    <r>
      <rPr>
        <sz val="12"/>
        <color indexed="8"/>
        <rFont val="Calibri"/>
        <family val="2"/>
      </rPr>
      <t>πr</t>
    </r>
    <r>
      <rPr>
        <vertAlign val="superscript"/>
        <sz val="12"/>
        <color indexed="8"/>
        <rFont val="Calibri"/>
        <family val="2"/>
      </rPr>
      <t xml:space="preserve">2 </t>
    </r>
    <r>
      <rPr>
        <sz val="12"/>
        <color rgb="FF000000"/>
        <rFont val="Calibri"/>
        <family val="2"/>
      </rPr>
      <t xml:space="preserve">= </t>
    </r>
    <r>
      <rPr>
        <sz val="12"/>
        <color indexed="8"/>
        <rFont val="Calibri"/>
        <family val="2"/>
      </rPr>
      <t>(</t>
    </r>
    <r>
      <rPr>
        <sz val="12"/>
        <color indexed="8"/>
        <rFont val="Trebuchet MS"/>
        <family val="2"/>
      </rPr>
      <t>3.14 X (Radius of Tank)</t>
    </r>
    <r>
      <rPr>
        <vertAlign val="superscript"/>
        <sz val="12"/>
        <color indexed="8"/>
        <rFont val="Trebuchet MS"/>
        <family val="2"/>
      </rPr>
      <t>2</t>
    </r>
    <r>
      <rPr>
        <sz val="12"/>
        <color rgb="FF000000"/>
        <rFont val="Trebuchet MS"/>
        <family val="2"/>
      </rPr>
      <t>)</t>
    </r>
  </si>
  <si>
    <t xml:space="preserve"> 3.14  X       (</t>
  </si>
  <si>
    <r>
      <t>ft</t>
    </r>
    <r>
      <rPr>
        <sz val="14"/>
        <color indexed="8"/>
        <rFont val="Trebuchet MS"/>
        <family val="2"/>
      </rPr>
      <t>)</t>
    </r>
    <r>
      <rPr>
        <sz val="12"/>
        <color indexed="8"/>
        <rFont val="Trebuchet MS"/>
        <family val="2"/>
      </rPr>
      <t xml:space="preserve"> </t>
    </r>
    <r>
      <rPr>
        <vertAlign val="superscript"/>
        <sz val="12"/>
        <color indexed="8"/>
        <rFont val="Trebuchet MS"/>
        <family val="2"/>
      </rPr>
      <t>2</t>
    </r>
    <r>
      <rPr>
        <sz val="12"/>
        <color indexed="8"/>
        <rFont val="Trebuchet MS"/>
        <family val="2"/>
      </rPr>
      <t xml:space="preserve">  =</t>
    </r>
  </si>
  <si>
    <t>Volume of Tank = Area of Tank (2.A) X Height (ft)</t>
  </si>
  <si>
    <t>Volume of Tank = Area of Tank X Height (ft)</t>
  </si>
  <si>
    <t>sq.ft X</t>
  </si>
  <si>
    <r>
      <t>3. Force of Tank Weight (F</t>
    </r>
    <r>
      <rPr>
        <b/>
        <vertAlign val="subscript"/>
        <sz val="12"/>
        <color indexed="8"/>
        <rFont val="Trebuchet MS"/>
        <family val="2"/>
      </rPr>
      <t>TW</t>
    </r>
    <r>
      <rPr>
        <b/>
        <sz val="12"/>
        <color indexed="8"/>
        <rFont val="Trebuchet MS"/>
        <family val="2"/>
      </rPr>
      <t>)</t>
    </r>
  </si>
  <si>
    <t>Weight of Tank (provided by manufacturer)</t>
  </si>
  <si>
    <t>lbs</t>
  </si>
  <si>
    <r>
      <t>4. Force of Soil Weight Over Tank (F</t>
    </r>
    <r>
      <rPr>
        <b/>
        <vertAlign val="subscript"/>
        <sz val="12"/>
        <color indexed="8"/>
        <rFont val="Trebuchet MS"/>
        <family val="2"/>
      </rPr>
      <t>SW</t>
    </r>
    <r>
      <rPr>
        <b/>
        <sz val="12"/>
        <color indexed="8"/>
        <rFont val="Trebuchet MS"/>
        <family val="2"/>
      </rPr>
      <t>)</t>
    </r>
  </si>
  <si>
    <t>Depth of Cover Over Tank:</t>
  </si>
  <si>
    <t>Soil Type</t>
  </si>
  <si>
    <r>
      <t>Weight of Soil (lbs/ft</t>
    </r>
    <r>
      <rPr>
        <b/>
        <vertAlign val="superscript"/>
        <sz val="12"/>
        <color indexed="8"/>
        <rFont val="Trebuchet MS"/>
        <family val="2"/>
      </rPr>
      <t>3</t>
    </r>
    <r>
      <rPr>
        <b/>
        <sz val="12"/>
        <color indexed="8"/>
        <rFont val="Trebuchet MS"/>
        <family val="2"/>
      </rPr>
      <t>)</t>
    </r>
  </si>
  <si>
    <t>Weight of Soil Per Cubic Foot:</t>
  </si>
  <si>
    <t>lbs/cu.ft</t>
  </si>
  <si>
    <r>
      <t>Volume of Soil Over Tank = Depth of Cover(4A) (ft) X Area of  Tank(2A) (ft</t>
    </r>
    <r>
      <rPr>
        <vertAlign val="superscript"/>
        <sz val="12"/>
        <color indexed="8"/>
        <rFont val="Trebuchet MS"/>
        <family val="2"/>
      </rPr>
      <t>2</t>
    </r>
    <r>
      <rPr>
        <sz val="12"/>
        <color indexed="8"/>
        <rFont val="Trebuchet MS"/>
        <family val="2"/>
      </rPr>
      <t>)</t>
    </r>
  </si>
  <si>
    <t>Sandy</t>
  </si>
  <si>
    <t>sq.ft  =</t>
  </si>
  <si>
    <t>Loamy</t>
  </si>
  <si>
    <t>Weight of Soil Over Tank = Volume of Soil Over Tank(4C) X Weight of Soil Per Cubic Foot</t>
  </si>
  <si>
    <r>
      <t>cu.ft</t>
    </r>
    <r>
      <rPr>
        <vertAlign val="superscript"/>
        <sz val="11"/>
        <color indexed="8"/>
        <rFont val="Trebuchet MS"/>
        <family val="2"/>
      </rPr>
      <t xml:space="preserve"> </t>
    </r>
    <r>
      <rPr>
        <sz val="11"/>
        <color indexed="8"/>
        <rFont val="Trebuchet MS"/>
        <family val="2"/>
      </rPr>
      <t xml:space="preserve"> X  </t>
    </r>
  </si>
  <si>
    <r>
      <t>lbs/cu.ft</t>
    </r>
    <r>
      <rPr>
        <vertAlign val="superscript"/>
        <sz val="12"/>
        <color indexed="8"/>
        <rFont val="Trebuchet MS"/>
        <family val="2"/>
      </rPr>
      <t xml:space="preserve">  </t>
    </r>
    <r>
      <rPr>
        <sz val="12"/>
        <color indexed="8"/>
        <rFont val="Trebuchet MS"/>
        <family val="2"/>
      </rPr>
      <t>=</t>
    </r>
  </si>
  <si>
    <t>Note: Assumes saturation does not get over the lid of the tank</t>
  </si>
  <si>
    <r>
      <t>5.Buoyant Force (F</t>
    </r>
    <r>
      <rPr>
        <b/>
        <vertAlign val="subscript"/>
        <sz val="12"/>
        <color indexed="8"/>
        <rFont val="Trebuchet MS"/>
        <family val="2"/>
      </rPr>
      <t>B</t>
    </r>
    <r>
      <rPr>
        <b/>
        <sz val="12"/>
        <color indexed="8"/>
        <rFont val="Trebuchet MS"/>
        <family val="2"/>
      </rPr>
      <t>)</t>
    </r>
  </si>
  <si>
    <r>
      <t>Buoyant Force (F</t>
    </r>
    <r>
      <rPr>
        <vertAlign val="subscript"/>
        <sz val="12"/>
        <color indexed="8"/>
        <rFont val="Trebuchet MS"/>
        <family val="2"/>
      </rPr>
      <t>B</t>
    </r>
    <r>
      <rPr>
        <sz val="12"/>
        <color indexed="8"/>
        <rFont val="Trebuchet MS"/>
        <family val="2"/>
      </rPr>
      <t>) = Outside Volume of Tank(2B) X Weight of Water Per Cubic Foot (62.4 lbs/ft</t>
    </r>
    <r>
      <rPr>
        <vertAlign val="superscript"/>
        <sz val="12"/>
        <color indexed="8"/>
        <rFont val="Trebuchet MS"/>
        <family val="2"/>
      </rPr>
      <t>3</t>
    </r>
    <r>
      <rPr>
        <sz val="12"/>
        <color indexed="8"/>
        <rFont val="Trebuchet MS"/>
        <family val="2"/>
      </rPr>
      <t>) X 1.2</t>
    </r>
    <r>
      <rPr>
        <sz val="10"/>
        <color rgb="FF000000"/>
        <rFont val="Trebuchet MS"/>
        <family val="2"/>
      </rPr>
      <t xml:space="preserve"> (Safety Factor)</t>
    </r>
  </si>
  <si>
    <r>
      <t>X   62.4 lbs/cu.ft</t>
    </r>
    <r>
      <rPr>
        <sz val="12"/>
        <color indexed="8"/>
        <rFont val="Trebuchet MS"/>
        <family val="2"/>
      </rPr>
      <t xml:space="preserve">  X  1.2   =</t>
    </r>
  </si>
  <si>
    <t>6. Evaluation of Net Forces</t>
  </si>
  <si>
    <r>
      <t>Downward Force = Force of Tank Weight (F</t>
    </r>
    <r>
      <rPr>
        <vertAlign val="subscript"/>
        <sz val="12"/>
        <color indexed="8"/>
        <rFont val="Trebuchet MS"/>
        <family val="2"/>
      </rPr>
      <t>TW</t>
    </r>
    <r>
      <rPr>
        <sz val="12"/>
        <color indexed="8"/>
        <rFont val="Trebuchet MS"/>
        <family val="2"/>
      </rPr>
      <t>)(3.) +  Force of Soil Weight of Soil (F</t>
    </r>
    <r>
      <rPr>
        <vertAlign val="subscript"/>
        <sz val="12"/>
        <color indexed="8"/>
        <rFont val="Trebuchet MS"/>
        <family val="2"/>
      </rPr>
      <t>SW</t>
    </r>
    <r>
      <rPr>
        <sz val="12"/>
        <color indexed="8"/>
        <rFont val="Trebuchet MS"/>
        <family val="2"/>
      </rPr>
      <t>)(4D.)</t>
    </r>
  </si>
  <si>
    <t xml:space="preserve"> lbs   +</t>
  </si>
  <si>
    <t>lbs    =</t>
  </si>
  <si>
    <t>Net Difference = Downward Force(6A) - Buoyant Force Including Safety Factor (5.)</t>
  </si>
  <si>
    <t>lbs   -</t>
  </si>
  <si>
    <t>If the Net Difference is negative, counter measures will need to be taken to prevent the tank from floating out of the ground.</t>
  </si>
  <si>
    <t xml:space="preserve">Feet of soil as counter measure = Net difference (6B)(if negative)(as absolute number)  ÷ Weight of Soil ÷ Area of Tank (2A) </t>
  </si>
  <si>
    <t>lbs   ÷</t>
  </si>
  <si>
    <r>
      <t>lbs/ft</t>
    </r>
    <r>
      <rPr>
        <vertAlign val="superscript"/>
        <sz val="12"/>
        <color rgb="FF000000"/>
        <rFont val="Trebuchet MS"/>
        <family val="2"/>
      </rPr>
      <t xml:space="preserve">3       </t>
    </r>
    <r>
      <rPr>
        <sz val="12"/>
        <color rgb="FF000000"/>
        <rFont val="Trebuchet MS"/>
        <family val="2"/>
      </rPr>
      <t>÷</t>
    </r>
  </si>
  <si>
    <r>
      <t>(ft</t>
    </r>
    <r>
      <rPr>
        <vertAlign val="superscript"/>
        <sz val="12"/>
        <color rgb="FF000000"/>
        <rFont val="Trebuchet MS"/>
        <family val="2"/>
      </rPr>
      <t>2</t>
    </r>
    <r>
      <rPr>
        <sz val="12"/>
        <color indexed="8"/>
        <rFont val="Trebuchet MS"/>
        <family val="2"/>
      </rPr>
      <t>)    =</t>
    </r>
  </si>
  <si>
    <t>ft of Soil Needed (minimum)</t>
  </si>
  <si>
    <t>Comments/Solution:</t>
  </si>
  <si>
    <t xml:space="preserve"> Organic Loading Considerations</t>
  </si>
  <si>
    <t>Restaurant Design Guidelines - Lesikar et. Al (2006)</t>
  </si>
  <si>
    <r>
      <t>BOD</t>
    </r>
    <r>
      <rPr>
        <b/>
        <vertAlign val="subscript"/>
        <sz val="11"/>
        <rFont val="Trebuchet MS"/>
        <family val="2"/>
      </rPr>
      <t>5</t>
    </r>
  </si>
  <si>
    <t>DESIGN FLOW &amp; WASTE STRENGTH SAMPLING</t>
  </si>
  <si>
    <t>Attach waste strength sampling data/estimated strength for Other Establishments</t>
  </si>
  <si>
    <t>A. Design Flow:</t>
  </si>
  <si>
    <t>B. Measured Flow:</t>
  </si>
  <si>
    <t>or  Anticipated Flow:</t>
  </si>
  <si>
    <t>C. BOD</t>
  </si>
  <si>
    <t xml:space="preserve"> D. TSS</t>
  </si>
  <si>
    <t>E. Oil &amp; Grease</t>
  </si>
  <si>
    <t>F.  CBOD5</t>
  </si>
  <si>
    <t>Enter either sample results or anticipated strengths into line C.</t>
  </si>
  <si>
    <t>G. SQ feet STA in Design:</t>
  </si>
  <si>
    <t>ORGANIC LOADING TO SOIL TREATMENT</t>
  </si>
  <si>
    <t>B. Sustainable Organic Loading Rate :</t>
  </si>
  <si>
    <t>See table 5.1 for organic loading values of soil /media interface</t>
  </si>
  <si>
    <t>BOD5</t>
  </si>
  <si>
    <t>lbs/sq.ft/day</t>
  </si>
  <si>
    <t>CBOD5</t>
  </si>
  <si>
    <t>C. BOD LOADING</t>
  </si>
  <si>
    <t>N/A</t>
  </si>
  <si>
    <t>Enter measured or anticipated flow above for calculations</t>
  </si>
  <si>
    <t>Do we want to introduce measured flow into sizing?</t>
  </si>
  <si>
    <t xml:space="preserve"> BOD5 Loading  = Flow (1A or B) gpm X 0.7  X  BOD Concentration mg/L (1C)  X 8.35 ÷ 1,000,000 </t>
  </si>
  <si>
    <t>gpd    X</t>
  </si>
  <si>
    <t>mg/L X 8.35 ÷ 1,000,000 =</t>
  </si>
  <si>
    <r>
      <t xml:space="preserve">lbs. BOD/day </t>
    </r>
    <r>
      <rPr>
        <sz val="8"/>
        <color rgb="FFFF0000"/>
        <rFont val="Trebuchet MS"/>
        <family val="2"/>
      </rPr>
      <t>(Organic Loading Design)</t>
    </r>
  </si>
  <si>
    <t>Organic Loading to Soil Treatment Area:</t>
  </si>
  <si>
    <t>mg/L X</t>
  </si>
  <si>
    <t>gpd X 0.7 X 8.35 ÷ 1,000,000 ÷</t>
  </si>
  <si>
    <t>lbs./day/sqft</t>
  </si>
  <si>
    <t>Organic Sized Absorption Bed Area = Organic Loading lbs BOD (2C1)  ÷ Organic Soil Loading Rate (2B)</t>
  </si>
  <si>
    <t>lbs BOD ÷</t>
  </si>
  <si>
    <t>lbs BOD/sq.ft   =</t>
  </si>
  <si>
    <t>D. TSS LOADING</t>
  </si>
  <si>
    <t xml:space="preserve">Starting TSS Concentration = Flow (1A or B) gpm X 0.7  X Starting TSS (1D) mg/L X 8.35 ÷ 1,000,000 </t>
  </si>
  <si>
    <r>
      <t xml:space="preserve">lbs. TSS/day </t>
    </r>
    <r>
      <rPr>
        <sz val="8"/>
        <color rgb="FFFF0000"/>
        <rFont val="Trebuchet MS"/>
        <family val="2"/>
      </rPr>
      <t>(Organic Loading Design)</t>
    </r>
  </si>
  <si>
    <t>Row HT 4</t>
  </si>
  <si>
    <t>mg/L    X</t>
  </si>
  <si>
    <t>Organic Sized Absorption Bed Area = Organic Loading lbs TSS (2D1)  ÷ Organic Soil Loading Rate (2B)</t>
  </si>
  <si>
    <t>lbs TSS ÷</t>
  </si>
  <si>
    <t>lbs TSS/sq.ft   =</t>
  </si>
  <si>
    <t>E. FOG LOADING</t>
  </si>
  <si>
    <t xml:space="preserve">Starting FOG Concentration = Flow (1A or B) X 0.7  X Starting FOG (mg/L) X 8.34 ÷ 1,000,000 </t>
  </si>
  <si>
    <r>
      <t xml:space="preserve">lbs. FOG/day </t>
    </r>
    <r>
      <rPr>
        <sz val="8"/>
        <color rgb="FFFF0000"/>
        <rFont val="Trebuchet MS"/>
        <family val="2"/>
      </rPr>
      <t>(Organic Loading Design)</t>
    </r>
  </si>
  <si>
    <t>Organic Sized Absorption Bed Area = Organic Loading lbs FOG (2E1)  ÷ Organic Soil Loading Rate (2B)</t>
  </si>
  <si>
    <t>lbs FOG ÷</t>
  </si>
  <si>
    <t>lbs FOG/sq.ft   =</t>
  </si>
  <si>
    <t>F. CBOD LOADING</t>
  </si>
  <si>
    <t xml:space="preserve">Starting CBOD5 Concentration =Flow (1A or B) X 0.7  X Starting CBOD (mg/L) X 8.34 ÷ 1,000,000 </t>
  </si>
  <si>
    <r>
      <t xml:space="preserve">lbs. CBOD/day </t>
    </r>
    <r>
      <rPr>
        <sz val="8"/>
        <color rgb="FFFF0000"/>
        <rFont val="Trebuchet MS"/>
        <family val="2"/>
      </rPr>
      <t>(Organic Loading Design)</t>
    </r>
  </si>
  <si>
    <t>Organic Sized Absorption Bed Area = Organic Loading lbs CBOD (2F1)  ÷ Organic Soil Loading Rate (2B)</t>
  </si>
  <si>
    <t>lbs CBOD ÷</t>
  </si>
  <si>
    <t>lbs CBOD/sq.ft   =</t>
  </si>
  <si>
    <r>
      <t xml:space="preserve">G. ORGANIC LOADING ABSORBTION BED AREA </t>
    </r>
    <r>
      <rPr>
        <b/>
        <sz val="8"/>
        <rFont val="Trebuchet MS"/>
        <family val="2"/>
      </rPr>
      <t xml:space="preserve"> Largest Bed Absorption Area: BOD, TSS, FOG, CBOD</t>
    </r>
  </si>
  <si>
    <t xml:space="preserve"> HSW Technology Strength Reduction</t>
  </si>
  <si>
    <t>Target Treatment Levels</t>
  </si>
  <si>
    <t>Registered Treatment Level:</t>
  </si>
  <si>
    <t>Enter treatment goals</t>
  </si>
  <si>
    <t>BOD REDUCTION</t>
  </si>
  <si>
    <t xml:space="preserve">Starting BOD loading = Flow (1A or B) X Concentration BOD (mg/L) X 8.35 ÷ 1,000,000 </t>
  </si>
  <si>
    <t xml:space="preserve">lbs. BOD/day </t>
  </si>
  <si>
    <t xml:space="preserve">Target BOD Concentration  = Flow (1A or B) X Target BOD (mg/L) X 8.35 ÷ 1,000,000 </t>
  </si>
  <si>
    <t>Lbs. BOD To Be Removed:</t>
  </si>
  <si>
    <r>
      <t xml:space="preserve">lbs. BOD/day </t>
    </r>
    <r>
      <rPr>
        <sz val="8"/>
        <color rgb="FFFF0000"/>
        <rFont val="Trebuchet MS"/>
        <family val="2"/>
      </rPr>
      <t>(HSW Technology Design)</t>
    </r>
  </si>
  <si>
    <t>TSS REDUCTION</t>
  </si>
  <si>
    <t xml:space="preserve">Starting TSS Concentration = Flow (1A or B) X Starting TSS (mg/L) X 8.35 ÷ 1,000,000 </t>
  </si>
  <si>
    <t>lbs. TSS/day</t>
  </si>
  <si>
    <t xml:space="preserve">Target TSS Concentration  = Design Flow X Target TSS (mg/L) X 8.35 ÷ 1,000,000 </t>
  </si>
  <si>
    <t xml:space="preserve">lbs. TSS/day </t>
  </si>
  <si>
    <t>Lbs. TSS To Be Removed:</t>
  </si>
  <si>
    <r>
      <t xml:space="preserve">lbs. TSS/day </t>
    </r>
    <r>
      <rPr>
        <sz val="8"/>
        <color rgb="FFFF0000"/>
        <rFont val="Trebuchet MS"/>
        <family val="2"/>
      </rPr>
      <t>(HSW Technology Design)</t>
    </r>
  </si>
  <si>
    <t>FOG REDUCTION</t>
  </si>
  <si>
    <t xml:space="preserve">Starting FOG Concentration = Design Flow X Starting FOG (mg/L) X 8.35 ÷ 1,000,000 </t>
  </si>
  <si>
    <t>lbs. FOG/day</t>
  </si>
  <si>
    <t xml:space="preserve">Target FOG Concentration  = Design Flow X Target FOG (mg/L) X 8.35 ÷ 1,000,000 </t>
  </si>
  <si>
    <t>Lbs. FOG To Be Removed:</t>
  </si>
  <si>
    <r>
      <t xml:space="preserve">lbs. FOG/day </t>
    </r>
    <r>
      <rPr>
        <sz val="8"/>
        <color rgb="FFFF0000"/>
        <rFont val="Trebuchet MS"/>
        <family val="2"/>
      </rPr>
      <t>(HSW Technology Design)</t>
    </r>
  </si>
  <si>
    <t>CBOD REDUCTION</t>
  </si>
  <si>
    <t xml:space="preserve">Starting CBOD Concentration = Design Flow X Starting CBOD (mg/L) X 8.35 ÷ 1,000,000 </t>
  </si>
  <si>
    <t xml:space="preserve">lbs. CBOD/day </t>
  </si>
  <si>
    <t xml:space="preserve">Target CBOD Concentration  = Design Flow X Target CBOD (mg/L) X 8.35 ÷ 1,000,000 </t>
  </si>
  <si>
    <t>lbs. CBOD/day</t>
  </si>
  <si>
    <t>Lbs. CBOD To Be Removed:</t>
  </si>
  <si>
    <r>
      <t xml:space="preserve">lbs. CBOD/day </t>
    </r>
    <r>
      <rPr>
        <sz val="8"/>
        <color rgb="FFFF0000"/>
        <rFont val="Trebuchet MS"/>
        <family val="2"/>
      </rPr>
      <t>(HSW Technology Design)</t>
    </r>
  </si>
  <si>
    <r>
      <rPr>
        <b/>
        <sz val="10"/>
        <rFont val="Trebuchet MS"/>
        <family val="2"/>
      </rPr>
      <t>B.</t>
    </r>
    <r>
      <rPr>
        <sz val="10"/>
        <rFont val="Trebuchet MS"/>
        <family val="2"/>
      </rPr>
      <t xml:space="preserve">  Minimum required absorption area</t>
    </r>
  </si>
  <si>
    <t>Choice of loading will look up the area from above</t>
  </si>
  <si>
    <t>See product registration specific design applications</t>
  </si>
  <si>
    <t>*Must Meet or Exceed Target</t>
  </si>
  <si>
    <t xml:space="preserve"> Tank Worksheet</t>
  </si>
  <si>
    <t>Septic Tank</t>
  </si>
  <si>
    <t xml:space="preserve"> Sizing: See 7080.1930           Residential based on Bedrooms,  Other establishments based on Design Flow</t>
  </si>
  <si>
    <t>ST 1</t>
  </si>
  <si>
    <t>compartments</t>
  </si>
  <si>
    <t>Status:</t>
  </si>
  <si>
    <t>Combination Septic/Pump</t>
  </si>
  <si>
    <t>Material:</t>
  </si>
  <si>
    <t>ST 2</t>
  </si>
  <si>
    <t>ST 3</t>
  </si>
  <si>
    <t>ST 4</t>
  </si>
  <si>
    <t>Effluent Screen:</t>
  </si>
  <si>
    <t>Screen Model:</t>
  </si>
  <si>
    <t>Alarm:</t>
  </si>
  <si>
    <t>All Existing tank reuse requires a tank integrity assessment</t>
  </si>
  <si>
    <t>HT 1</t>
  </si>
  <si>
    <t>Alarm Depth:</t>
  </si>
  <si>
    <t>Inches</t>
  </si>
  <si>
    <t>HT 2</t>
  </si>
  <si>
    <t>Multiple holding tank connected in:</t>
  </si>
  <si>
    <t>If tank model or manufacturer is unknown Capacity can be found by:</t>
  </si>
  <si>
    <t>Type of High Level  Alarm:</t>
  </si>
  <si>
    <t>Alarm Depth From:</t>
  </si>
  <si>
    <t>Pump Tank</t>
  </si>
  <si>
    <t>Pump Tank Sizing: see 7080.2100      Flow Measurement is required if a pump is used in the system</t>
  </si>
  <si>
    <t>to:</t>
  </si>
  <si>
    <t>inches     From:</t>
  </si>
  <si>
    <t>Combination Tank with Septic Tank:</t>
  </si>
  <si>
    <t>Pump Specifics on Summary, Pump Demand or Time Worksheets</t>
  </si>
  <si>
    <r>
      <t>Total Tank Volume</t>
    </r>
    <r>
      <rPr>
        <sz val="10"/>
        <rFont val="Trebuchet MS"/>
        <family val="2"/>
      </rPr>
      <t xml:space="preserve"> = </t>
    </r>
    <r>
      <rPr>
        <i/>
        <sz val="10"/>
        <rFont val="Trebuchet MS"/>
        <family val="2"/>
      </rPr>
      <t>Depth from bottom of inlet pipe</t>
    </r>
    <r>
      <rPr>
        <sz val="10"/>
        <rFont val="Trebuchet MS"/>
        <family val="2"/>
      </rPr>
      <t xml:space="preserve">  X </t>
    </r>
    <r>
      <rPr>
        <i/>
        <sz val="10"/>
        <rFont val="Trebuchet MS"/>
        <family val="2"/>
      </rPr>
      <t>Gallons/Inch</t>
    </r>
    <r>
      <rPr>
        <sz val="10"/>
        <rFont val="Trebuchet MS"/>
        <family val="2"/>
      </rPr>
      <t xml:space="preserve"> (C.)</t>
    </r>
  </si>
  <si>
    <t>v 08.06.2025</t>
  </si>
  <si>
    <t>Porosity is depth of tubing related value</t>
  </si>
  <si>
    <t>Soil Porosity (above emitter):</t>
  </si>
  <si>
    <t>Given with current products.  Verify with your supplier</t>
  </si>
  <si>
    <t>System Area = Design Flow (1.A) ÷ Soil Hydraulic Loading Rate (2.D)</t>
  </si>
  <si>
    <t>Minimum System Length = Design Flow (1.A.) ÷ Contour Loading Rate (2.E)</t>
  </si>
  <si>
    <t>System Design Length (must be equal to or greater than Min. System Length (3.D) and less than 300 feet)   =</t>
  </si>
  <si>
    <t>No Lateral &gt; 300 feet</t>
  </si>
  <si>
    <t>Needs to be longer than min and &lt;300 and have each zone equal</t>
  </si>
  <si>
    <t>2' is typical and can be closer in sandy soils</t>
  </si>
  <si>
    <r>
      <t xml:space="preserve">Min Total Number of Laterals = System Width (3.F) ÷ Lateral Spacing (3.G) </t>
    </r>
    <r>
      <rPr>
        <i/>
        <sz val="10"/>
        <color indexed="8"/>
        <rFont val="Trebuchet MS"/>
        <family val="2"/>
      </rPr>
      <t>Round up to nearest whole number</t>
    </r>
  </si>
  <si>
    <t>Number of Laterals per zone:</t>
  </si>
  <si>
    <t xml:space="preserve">Min number of laterals per zone = Total laterals ÷ Zones (round up) = </t>
  </si>
  <si>
    <t>Total Lateral Length = [Number of Laterals per zone (3.J) x  Number of Zones (3.I)] X System Design Length (3.E)</t>
  </si>
  <si>
    <t>Zones of equal length sizing = Total system design length (3. K) ÷ number of zones (3.I)</t>
  </si>
  <si>
    <t xml:space="preserve"> = </t>
  </si>
  <si>
    <t>ft per zone</t>
  </si>
  <si>
    <t>Number of Connections per zone = 2 X Total Number of Laterals</t>
  </si>
  <si>
    <t>2 feet spacing used with current products.  Verify with your supplier.</t>
  </si>
  <si>
    <t>Add Pipe Volume Chart - Typically 1 inch pipe</t>
  </si>
  <si>
    <t>Number of Emitters = Zone Lateral Length (3.L) ÷ Emitter Spacing (4.A)</t>
  </si>
  <si>
    <t>Zone Lateral Volume = Zone Lateral Length (3.L) X Volume Per Foot</t>
  </si>
  <si>
    <t>Max Dose Volume = Depth of System (ft) (2.B) X 0.083 ft (1" soil ÷ 12"/ft)X Zone Lateral Length (3.L) X Soil Porosity (%)(1.F) X 7.5 + Drainback (4.D)</t>
  </si>
  <si>
    <t>zones ÷</t>
  </si>
  <si>
    <t>gal dose vol =</t>
  </si>
  <si>
    <t>Cycle Time = 1440 minutes/day ÷ Number of Doses(4.K)</t>
  </si>
  <si>
    <t>min ÷</t>
  </si>
  <si>
    <t>doses =</t>
  </si>
  <si>
    <t>min -</t>
  </si>
  <si>
    <t>min  =</t>
  </si>
  <si>
    <r>
      <rPr>
        <sz val="8"/>
        <color rgb="FF000000"/>
        <rFont val="Trebuchet MS"/>
        <family val="2"/>
      </rPr>
      <t>connections</t>
    </r>
    <r>
      <rPr>
        <b/>
        <sz val="10"/>
        <color indexed="8"/>
        <rFont val="Trebuchet MS"/>
        <family val="2"/>
      </rPr>
      <t xml:space="preserve"> X</t>
    </r>
  </si>
  <si>
    <t>gpm +</t>
  </si>
  <si>
    <t>gpm X</t>
  </si>
  <si>
    <t>Total Cycle Time = Number of Zones (3.I) X Number of Doses (4.K) X On Time(4.J)</t>
  </si>
  <si>
    <t>Must be less than 1440 minutes</t>
  </si>
  <si>
    <t>Max Dose Volume = Depth of System (ft) (2.B) X 0.083 (1" soil ÷ 12"/ft)X Zone Lateral Length (3.J) X Soil Porosity (%)(1.F) X 7.5 + Drainback (4.D)</t>
  </si>
  <si>
    <t>Minimum Doses is 4</t>
  </si>
  <si>
    <t>Add units to all equations</t>
  </si>
  <si>
    <t>Fixed to Here</t>
  </si>
  <si>
    <t xml:space="preserve"> NON STA Pressure Distribution                                    Design Worksheet</t>
  </si>
  <si>
    <t>This page is for specific use - non soil treatment area pressure distribution.  This information is not listed in the summary page.  Add necessary comments to the summary to convey specifics.</t>
  </si>
  <si>
    <t>Pressure Distribution to:</t>
  </si>
  <si>
    <r>
      <t>Length of Laterals</t>
    </r>
    <r>
      <rPr>
        <sz val="10"/>
        <rFont val="Trebuchet MS"/>
        <family val="2"/>
      </rPr>
      <t xml:space="preserve">   </t>
    </r>
  </si>
  <si>
    <r>
      <t xml:space="preserve">Determine the </t>
    </r>
    <r>
      <rPr>
        <i/>
        <sz val="10"/>
        <rFont val="Trebuchet MS"/>
        <family val="2"/>
      </rPr>
      <t>Number of Perforation Spaces</t>
    </r>
    <r>
      <rPr>
        <sz val="10"/>
        <rFont val="Trebuchet MS"/>
        <family val="2"/>
      </rPr>
      <t xml:space="preserve">.  Divide the </t>
    </r>
    <r>
      <rPr>
        <i/>
        <sz val="10"/>
        <rFont val="Trebuchet MS"/>
        <family val="2"/>
      </rPr>
      <t>Length of Laterals</t>
    </r>
    <r>
      <rPr>
        <sz val="10"/>
        <rFont val="Trebuchet MS"/>
        <family val="2"/>
      </rPr>
      <t xml:space="preserve"> by  the </t>
    </r>
    <r>
      <rPr>
        <i/>
        <sz val="10"/>
        <rFont val="Trebuchet MS"/>
        <family val="2"/>
      </rPr>
      <t>Perforation Spacing</t>
    </r>
    <r>
      <rPr>
        <sz val="10"/>
        <rFont val="Trebuchet MS"/>
        <family val="2"/>
      </rPr>
      <t xml:space="preserve"> and round down to the nearest whole number.</t>
    </r>
  </si>
  <si>
    <r>
      <t>Number of Perforations per Lateral</t>
    </r>
    <r>
      <rPr>
        <sz val="10"/>
        <rFont val="Trebuchet MS"/>
        <family val="2"/>
      </rPr>
      <t xml:space="preserve"> is equal to 1.0 plus the </t>
    </r>
    <r>
      <rPr>
        <i/>
        <sz val="10"/>
        <rFont val="Trebuchet MS"/>
        <family val="2"/>
      </rPr>
      <t>Number of Perforation Spaces</t>
    </r>
    <r>
      <rPr>
        <sz val="10"/>
        <rFont val="Trebuchet MS"/>
        <family val="2"/>
      </rPr>
      <t xml:space="preserve">.  Check table below to verify the number of perforations per lateral guarantees less than a 10% discharge variation.  The value is double with a center manifold.  </t>
    </r>
  </si>
  <si>
    <t>8</t>
  </si>
  <si>
    <r>
      <t>Total Number of Perforations</t>
    </r>
    <r>
      <rPr>
        <sz val="10"/>
        <rFont val="Trebuchet MS"/>
        <family val="2"/>
      </rPr>
      <t xml:space="preserve"> equals the </t>
    </r>
    <r>
      <rPr>
        <i/>
        <sz val="10"/>
        <rFont val="Trebuchet MS"/>
        <family val="2"/>
      </rPr>
      <t>Number of Perforations per Lateral</t>
    </r>
    <r>
      <rPr>
        <sz val="10"/>
        <rFont val="Trebuchet MS"/>
        <family val="2"/>
      </rPr>
      <t xml:space="preserve"> multiplied by the </t>
    </r>
    <r>
      <rPr>
        <i/>
        <sz val="10"/>
        <rFont val="Trebuchet MS"/>
        <family val="2"/>
      </rPr>
      <t>Number of Perforated Laterals.</t>
    </r>
  </si>
  <si>
    <t>Spacing of laterals:</t>
  </si>
  <si>
    <r>
      <t>Bed Area</t>
    </r>
    <r>
      <rPr>
        <sz val="10"/>
        <rFont val="Trebuchet MS"/>
        <family val="2"/>
      </rPr>
      <t xml:space="preserve">  =  Bed Width (ft) X Bed Length (ft)</t>
    </r>
  </si>
  <si>
    <r>
      <t>Square Foot per Perforation</t>
    </r>
    <r>
      <rPr>
        <sz val="10"/>
        <rFont val="Trebuchet MS"/>
        <family val="2"/>
      </rPr>
      <t xml:space="preserve"> = </t>
    </r>
    <r>
      <rPr>
        <i/>
        <sz val="10"/>
        <rFont val="Trebuchet MS"/>
        <family val="2"/>
      </rPr>
      <t>Bed Area</t>
    </r>
    <r>
      <rPr>
        <sz val="10"/>
        <rFont val="Trebuchet MS"/>
        <family val="2"/>
      </rPr>
      <t xml:space="preserve"> ÷ by the </t>
    </r>
    <r>
      <rPr>
        <i/>
        <sz val="10"/>
        <rFont val="Trebuchet MS"/>
        <family val="2"/>
      </rPr>
      <t>Total Number of Perfs</t>
    </r>
  </si>
  <si>
    <r>
      <rPr>
        <i/>
        <sz val="10"/>
        <rFont val="Trebuchet MS"/>
        <family val="2"/>
      </rPr>
      <t>Flow Rate</t>
    </r>
    <r>
      <rPr>
        <sz val="10"/>
        <rFont val="Trebuchet MS"/>
        <family val="2"/>
      </rPr>
      <t xml:space="preserve"> = </t>
    </r>
    <r>
      <rPr>
        <i/>
        <sz val="10"/>
        <rFont val="Trebuchet MS"/>
        <family val="2"/>
      </rPr>
      <t xml:space="preserve">Total Number of Perfs X </t>
    </r>
    <r>
      <rPr>
        <i/>
        <sz val="10"/>
        <rFont val="Trebuchet MS"/>
        <family val="2"/>
      </rPr>
      <t>Perforation Discharge.</t>
    </r>
  </si>
  <si>
    <r>
      <t>= [</t>
    </r>
    <r>
      <rPr>
        <i/>
        <sz val="10"/>
        <rFont val="Trebuchet MS"/>
        <family val="2"/>
      </rPr>
      <t>Number of Perforated Laterals</t>
    </r>
    <r>
      <rPr>
        <sz val="10"/>
        <rFont val="Trebuchet MS"/>
        <family val="2"/>
      </rPr>
      <t xml:space="preserve"> X </t>
    </r>
    <r>
      <rPr>
        <i/>
        <sz val="10"/>
        <rFont val="Trebuchet MS"/>
        <family val="2"/>
      </rPr>
      <t>Length of Laterals</t>
    </r>
    <r>
      <rPr>
        <sz val="10"/>
        <rFont val="Trebuchet MS"/>
        <family val="2"/>
      </rPr>
      <t xml:space="preserve">  X (Volume of Liquid Per Foot of Distribution Piping] </t>
    </r>
  </si>
  <si>
    <t xml:space="preserve">Minimum Delivered Volume = Volume of Distribution Piping  X </t>
  </si>
  <si>
    <t>gals X</t>
  </si>
  <si>
    <t>NON STA Pump Selection Design Worksheet</t>
  </si>
  <si>
    <t xml:space="preserve"> If pumping to a pressurized distribution system:</t>
  </si>
  <si>
    <t>Additional Head Loss:</t>
  </si>
  <si>
    <t>Friction Loss in Plastic Pipe per 100ft from Table I:</t>
  </si>
  <si>
    <r>
      <t xml:space="preserve">Determine </t>
    </r>
    <r>
      <rPr>
        <i/>
        <sz val="10"/>
        <rFont val="Trebuchet MS"/>
        <family val="2"/>
      </rPr>
      <t>Equivalent Pipe Length</t>
    </r>
    <r>
      <rPr>
        <sz val="10"/>
        <rFont val="Trebuchet MS"/>
        <family val="2"/>
      </rPr>
      <t xml:space="preserve"> from pump discharge to soil dispersal area discharge point.  Estimate by adding 25% to supply pipe length for fitting loss.                        </t>
    </r>
    <r>
      <rPr>
        <i/>
        <sz val="10"/>
        <rFont val="Trebuchet MS"/>
        <family val="2"/>
      </rPr>
      <t>Supply Pipe Length</t>
    </r>
    <r>
      <rPr>
        <sz val="10"/>
        <rFont val="Trebuchet MS"/>
        <family val="2"/>
      </rPr>
      <t xml:space="preserve"> X 1.25 = </t>
    </r>
    <r>
      <rPr>
        <i/>
        <sz val="10"/>
        <rFont val="Trebuchet MS"/>
        <family val="2"/>
      </rPr>
      <t>Equivalent Pipe Length</t>
    </r>
  </si>
  <si>
    <r>
      <t xml:space="preserve">Calculate </t>
    </r>
    <r>
      <rPr>
        <i/>
        <sz val="10"/>
        <rFont val="Trebuchet MS"/>
        <family val="2"/>
      </rPr>
      <t>Supply Friction Loss</t>
    </r>
    <r>
      <rPr>
        <sz val="10"/>
        <rFont val="Trebuchet MS"/>
        <family val="2"/>
      </rPr>
      <t xml:space="preserve"> by multiplying </t>
    </r>
    <r>
      <rPr>
        <i/>
        <sz val="10"/>
        <rFont val="Trebuchet MS"/>
        <family val="2"/>
      </rPr>
      <t>Friction Loss Per 100ft</t>
    </r>
    <r>
      <rPr>
        <sz val="10"/>
        <rFont val="Trebuchet MS"/>
        <family val="2"/>
      </rPr>
      <t xml:space="preserve">  by the </t>
    </r>
    <r>
      <rPr>
        <i/>
        <sz val="10"/>
        <rFont val="Trebuchet MS"/>
        <family val="2"/>
      </rPr>
      <t>Equivalent Pipe Length</t>
    </r>
    <r>
      <rPr>
        <sz val="10"/>
        <rFont val="Trebuchet MS"/>
        <family val="2"/>
      </rPr>
      <t xml:space="preserve"> divide by 100.</t>
    </r>
  </si>
  <si>
    <t>ft per 100ft  X</t>
  </si>
  <si>
    <t>ft  ÷</t>
  </si>
  <si>
    <t>100  =</t>
  </si>
  <si>
    <r>
      <t>Total Head</t>
    </r>
    <r>
      <rPr>
        <sz val="10"/>
        <rFont val="Trebuchet MS"/>
        <family val="2"/>
      </rPr>
      <t xml:space="preserve"> requirement is the sum of the </t>
    </r>
    <r>
      <rPr>
        <i/>
        <sz val="10"/>
        <rFont val="Trebuchet MS"/>
        <family val="2"/>
      </rPr>
      <t>Elevation Difference</t>
    </r>
    <r>
      <rPr>
        <sz val="10"/>
        <rFont val="Trebuchet MS"/>
        <family val="2"/>
      </rPr>
      <t xml:space="preserve"> + the Distribution Head Loss Additional Head Loss + Supply Friction Loss</t>
    </r>
  </si>
  <si>
    <t>GPM (Line 1 or Line 2) with at least</t>
  </si>
  <si>
    <t>NON STA Pump Tank Design Worksheet (Demand Dose)</t>
  </si>
  <si>
    <r>
      <t xml:space="preserve">Design Flow </t>
    </r>
    <r>
      <rPr>
        <sz val="8"/>
        <rFont val="Trebuchet MS"/>
        <family val="2"/>
      </rPr>
      <t>:</t>
    </r>
  </si>
  <si>
    <t>Min. required pump tank capacity:</t>
  </si>
  <si>
    <t>D.   Recommended pump tank capacity:</t>
  </si>
  <si>
    <r>
      <t xml:space="preserve">(Pump and block height + 2 inches) X </t>
    </r>
    <r>
      <rPr>
        <i/>
        <sz val="10"/>
        <rFont val="Trebuchet MS"/>
        <family val="2"/>
      </rPr>
      <t>Gallons Per Inch</t>
    </r>
  </si>
  <si>
    <r>
      <t xml:space="preserve"> </t>
    </r>
    <r>
      <rPr>
        <b/>
        <i/>
        <sz val="10"/>
        <rFont val="Trebuchet MS"/>
        <family val="2"/>
      </rPr>
      <t>Minimum</t>
    </r>
    <r>
      <rPr>
        <i/>
        <sz val="10"/>
        <rFont val="Trebuchet MS"/>
        <family val="2"/>
      </rPr>
      <t xml:space="preserve"> Delivered Volume</t>
    </r>
    <r>
      <rPr>
        <sz val="10"/>
        <rFont val="Trebuchet MS"/>
        <family val="2"/>
      </rPr>
      <t>: Based on use of second pump tank</t>
    </r>
  </si>
  <si>
    <r>
      <t xml:space="preserve">Calculate </t>
    </r>
    <r>
      <rPr>
        <b/>
        <i/>
        <sz val="10"/>
        <rFont val="Trebuchet MS"/>
        <family val="2"/>
      </rPr>
      <t>Maximum</t>
    </r>
    <r>
      <rPr>
        <i/>
        <sz val="10"/>
        <rFont val="Trebuchet MS"/>
        <family val="2"/>
      </rPr>
      <t xml:space="preserve"> Pumpout Volume</t>
    </r>
    <r>
      <rPr>
        <sz val="10"/>
        <rFont val="Trebuchet MS"/>
        <family val="2"/>
      </rPr>
      <t xml:space="preserve"> (25% of Design Flow)</t>
    </r>
  </si>
  <si>
    <r>
      <t xml:space="preserve">Calculate </t>
    </r>
    <r>
      <rPr>
        <i/>
        <sz val="10"/>
        <rFont val="Trebuchet MS"/>
        <family val="2"/>
      </rPr>
      <t>Doses Per Day</t>
    </r>
    <r>
      <rPr>
        <sz val="10"/>
        <rFont val="Trebuchet MS"/>
        <family val="2"/>
      </rPr>
      <t xml:space="preserve"> = Design Flow </t>
    </r>
    <r>
      <rPr>
        <sz val="12"/>
        <rFont val="Trebuchet MS"/>
        <family val="2"/>
      </rPr>
      <t>÷</t>
    </r>
    <r>
      <rPr>
        <sz val="10"/>
        <rFont val="Trebuchet MS"/>
        <family val="2"/>
      </rPr>
      <t xml:space="preserve"> </t>
    </r>
    <r>
      <rPr>
        <i/>
        <sz val="10"/>
        <rFont val="Trebuchet MS"/>
        <family val="2"/>
      </rPr>
      <t>Delivered Volume</t>
    </r>
  </si>
  <si>
    <r>
      <t>Drainback</t>
    </r>
    <r>
      <rPr>
        <sz val="10"/>
        <rFont val="Trebuchet MS"/>
        <family val="2"/>
      </rPr>
      <t xml:space="preserve"> = </t>
    </r>
    <r>
      <rPr>
        <i/>
        <sz val="10"/>
        <rFont val="Trebuchet MS"/>
        <family val="2"/>
      </rPr>
      <t>Length of Supply Pipe</t>
    </r>
    <r>
      <rPr>
        <sz val="10"/>
        <rFont val="Trebuchet MS"/>
        <family val="2"/>
      </rPr>
      <t xml:space="preserve"> X </t>
    </r>
    <r>
      <rPr>
        <i/>
        <sz val="10"/>
        <rFont val="Trebuchet MS"/>
        <family val="2"/>
      </rPr>
      <t>Volume of Liquid Per Lineal Foot of Pipe</t>
    </r>
  </si>
  <si>
    <r>
      <t>Total Dosing Volume</t>
    </r>
    <r>
      <rPr>
        <sz val="10"/>
        <rFont val="Trebuchet MS"/>
        <family val="2"/>
      </rPr>
      <t xml:space="preserve"> = </t>
    </r>
    <r>
      <rPr>
        <i/>
        <sz val="10"/>
        <rFont val="Trebuchet MS"/>
        <family val="2"/>
      </rPr>
      <t>Delivered Volume</t>
    </r>
    <r>
      <rPr>
        <sz val="10"/>
        <rFont val="Trebuchet MS"/>
        <family val="2"/>
      </rPr>
      <t xml:space="preserve">  plus </t>
    </r>
    <r>
      <rPr>
        <i/>
        <sz val="10"/>
        <rFont val="Trebuchet MS"/>
        <family val="2"/>
      </rPr>
      <t>Drainback</t>
    </r>
    <r>
      <rPr>
        <sz val="10"/>
        <rFont val="Trebuchet MS"/>
        <family val="2"/>
      </rPr>
      <t xml:space="preserve"> </t>
    </r>
  </si>
  <si>
    <t xml:space="preserve">Minimum Alarm Volume = Depth of alarm (2 or 3 inches) X gallons per inch of tank </t>
  </si>
  <si>
    <t xml:space="preserve">gal/in   = </t>
  </si>
  <si>
    <t xml:space="preserve">Total Dosing Volume /Gallons Per Inch </t>
  </si>
  <si>
    <t xml:space="preserve">Distance to set Pump On Float=Distance to Set Pump-Off Float  + Float Separation Distance </t>
  </si>
  <si>
    <r>
      <t>Distance to set Alarm Float</t>
    </r>
    <r>
      <rPr>
        <sz val="10"/>
        <rFont val="Trebuchet MS"/>
        <family val="2"/>
      </rPr>
      <t xml:space="preserve"> = </t>
    </r>
    <r>
      <rPr>
        <i/>
        <sz val="10"/>
        <rFont val="Trebuchet MS"/>
        <family val="2"/>
      </rPr>
      <t>Distance to set Pump-On Float</t>
    </r>
    <r>
      <rPr>
        <sz val="10"/>
        <rFont val="Trebuchet MS"/>
        <family val="2"/>
      </rPr>
      <t xml:space="preserve">  + </t>
    </r>
    <r>
      <rPr>
        <i/>
        <sz val="10"/>
        <rFont val="Trebuchet MS"/>
        <family val="2"/>
      </rPr>
      <t>Alarm Depth</t>
    </r>
    <r>
      <rPr>
        <sz val="10"/>
        <rFont val="Trebuchet MS"/>
        <family val="2"/>
      </rPr>
      <t xml:space="preserve"> (2-3 inches)</t>
    </r>
  </si>
  <si>
    <t>Reserve Capacity Volume = Tank Liquid Depth - Alarm Float Depth x gallons per inch of tank</t>
  </si>
  <si>
    <t>NON STA Pump Tank Design Worksheet (Time Dose)</t>
  </si>
  <si>
    <r>
      <t>Design Flow (Design Sum.1A)</t>
    </r>
    <r>
      <rPr>
        <sz val="10"/>
        <rFont val="Trebuchet MS"/>
        <family val="2"/>
      </rPr>
      <t>:</t>
    </r>
  </si>
  <si>
    <r>
      <rPr>
        <i/>
        <sz val="10"/>
        <rFont val="Trebuchet MS"/>
        <family val="2"/>
      </rPr>
      <t>Volume to Cover Pump</t>
    </r>
    <r>
      <rPr>
        <sz val="10"/>
        <rFont val="Trebuchet MS"/>
        <family val="2"/>
      </rPr>
      <t xml:space="preserve"> (The inlet of pump should be 4 in from the bottom of the tank &amp; 2 in covering the pump recommended)</t>
    </r>
  </si>
  <si>
    <r>
      <t xml:space="preserve"> </t>
    </r>
    <r>
      <rPr>
        <i/>
        <sz val="10"/>
        <rFont val="Trebuchet MS"/>
        <family val="2"/>
      </rPr>
      <t>Minimum Delivered Volume</t>
    </r>
    <r>
      <rPr>
        <sz val="10"/>
        <rFont val="Trebuchet MS"/>
        <family val="2"/>
      </rPr>
      <t>: Based on use of second pump tank</t>
    </r>
  </si>
  <si>
    <r>
      <t xml:space="preserve">Calculate </t>
    </r>
    <r>
      <rPr>
        <i/>
        <sz val="10"/>
        <rFont val="Trebuchet MS"/>
        <family val="2"/>
      </rPr>
      <t>Doses Per Day</t>
    </r>
    <r>
      <rPr>
        <sz val="10"/>
        <rFont val="Trebuchet MS"/>
        <family val="2"/>
      </rPr>
      <t xml:space="preserve"> = Percentage Design Flow </t>
    </r>
    <r>
      <rPr>
        <sz val="12"/>
        <rFont val="Trebuchet MS"/>
        <family val="2"/>
      </rPr>
      <t>÷</t>
    </r>
    <r>
      <rPr>
        <sz val="10"/>
        <rFont val="Trebuchet MS"/>
        <family val="2"/>
      </rPr>
      <t xml:space="preserve"> </t>
    </r>
    <r>
      <rPr>
        <i/>
        <sz val="10"/>
        <rFont val="Trebuchet MS"/>
        <family val="2"/>
      </rPr>
      <t>Delivered Volume</t>
    </r>
  </si>
  <si>
    <r>
      <t>Total Dosing Volume</t>
    </r>
    <r>
      <rPr>
        <sz val="10"/>
        <rFont val="Trebuchet MS"/>
        <family val="2"/>
      </rPr>
      <t xml:space="preserve"> = </t>
    </r>
    <r>
      <rPr>
        <i/>
        <sz val="10"/>
        <rFont val="Trebuchet MS"/>
        <family val="2"/>
      </rPr>
      <t>Delivered Volume</t>
    </r>
    <r>
      <rPr>
        <sz val="10"/>
        <rFont val="Trebuchet MS"/>
        <family val="2"/>
      </rPr>
      <t xml:space="preserve"> plus </t>
    </r>
    <r>
      <rPr>
        <i/>
        <sz val="10"/>
        <rFont val="Trebuchet MS"/>
        <family val="2"/>
      </rPr>
      <t>Drainback</t>
    </r>
    <r>
      <rPr>
        <sz val="10"/>
        <rFont val="Trebuchet MS"/>
        <family val="2"/>
      </rPr>
      <t xml:space="preserve"> </t>
    </r>
  </si>
  <si>
    <t>Working Storage Volume = Tank Volume -Volume to Cover Pump - Reserve Capacity</t>
  </si>
  <si>
    <t>gal    -</t>
  </si>
  <si>
    <t>From Pump Curve - Must verify after Install:</t>
  </si>
  <si>
    <t>Calculated GPM = Change in Depth (in) x Gallons Per Inch / Time Interval in Minutes</t>
  </si>
  <si>
    <t>Select Flow Rate from Line 11.A or 11.B:</t>
  </si>
  <si>
    <t>Total Dosing Volume ÷ GPM</t>
  </si>
  <si>
    <r>
      <t>Minutes Per Day (1440)/</t>
    </r>
    <r>
      <rPr>
        <i/>
        <sz val="10"/>
        <rFont val="Trebuchet MS"/>
        <family val="2"/>
      </rPr>
      <t xml:space="preserve">Doses Per Day - </t>
    </r>
    <r>
      <rPr>
        <sz val="10"/>
        <rFont val="Trebuchet MS"/>
        <family val="2"/>
      </rPr>
      <t xml:space="preserve">Minutes On </t>
    </r>
  </si>
  <si>
    <r>
      <t xml:space="preserve">OPTIONAL PEAK ENABLE DOSING* - </t>
    </r>
    <r>
      <rPr>
        <b/>
        <i/>
        <sz val="10"/>
        <rFont val="Trebuchet MS"/>
        <family val="2"/>
      </rPr>
      <t>Designer's option for peak flow operation</t>
    </r>
  </si>
  <si>
    <t>Peak Pump out Volume that meets both Minimum and Maximum Volume</t>
  </si>
  <si>
    <t>Distance to set Pump Off Float=Gallons to Cover Pump  / Gallons Per Inch:</t>
  </si>
  <si>
    <t>Distance to set Alarm Float = Tank Depth  X  % of Tank Depth (90% recommended)</t>
  </si>
  <si>
    <t>Reserve Capacity in gallons = (Tank Depth - Alarm Depth) X GPI</t>
  </si>
  <si>
    <t>Collection Pump Selection Design Worksheet</t>
  </si>
  <si>
    <t>If pumping to pressure:</t>
  </si>
  <si>
    <t xml:space="preserve">Enter the peak value (PV): </t>
  </si>
  <si>
    <r>
      <t xml:space="preserve">Enter the </t>
    </r>
    <r>
      <rPr>
        <i/>
        <sz val="10"/>
        <rFont val="Trebuchet MS"/>
        <family val="2"/>
      </rPr>
      <t xml:space="preserve">n </t>
    </r>
    <r>
      <rPr>
        <sz val="10"/>
        <rFont val="Trebuchet MS"/>
        <family val="2"/>
      </rPr>
      <t>value:</t>
    </r>
  </si>
  <si>
    <t>pumps</t>
  </si>
  <si>
    <r>
      <t xml:space="preserve">Flow = PV multiplied by </t>
    </r>
    <r>
      <rPr>
        <i/>
        <sz val="10"/>
        <rFont val="Trebuchet MS"/>
        <family val="2"/>
      </rPr>
      <t>n</t>
    </r>
    <r>
      <rPr>
        <i/>
        <sz val="10"/>
        <rFont val="Trebuchet MS"/>
        <family val="2"/>
      </rPr>
      <t xml:space="preserve"> = </t>
    </r>
  </si>
  <si>
    <t>GPM X</t>
  </si>
  <si>
    <t xml:space="preserve">pumps     = </t>
  </si>
  <si>
    <t>1.  Pipe Diameter:</t>
  </si>
  <si>
    <t>2.  Pipe Length:</t>
  </si>
  <si>
    <t>Equivalent length of pipe fittings.</t>
  </si>
  <si>
    <t>Quantity X Equivalent Length Factor = Equivalent Length</t>
  </si>
  <si>
    <t>Quantity</t>
  </si>
  <si>
    <t>Equivalent Length Factor</t>
  </si>
  <si>
    <t>Equivalent Length (ft)</t>
  </si>
  <si>
    <r>
      <t xml:space="preserve">Hazen-Williams Equation for </t>
    </r>
    <r>
      <rPr>
        <b/>
        <i/>
        <sz val="12"/>
        <rFont val="Trebuchet MS"/>
        <family val="2"/>
      </rPr>
      <t>h</t>
    </r>
  </si>
  <si>
    <t>Q in gpm</t>
  </si>
  <si>
    <t>L in feet</t>
  </si>
  <si>
    <t>D in inches</t>
  </si>
  <si>
    <t>C = 130</t>
  </si>
  <si>
    <t>Sum of Equivalent Length due to pipe fittings:</t>
  </si>
  <si>
    <r>
      <t>NOTE:</t>
    </r>
    <r>
      <rPr>
        <sz val="10"/>
        <rFont val="Trebuchet MS"/>
        <family val="2"/>
      </rPr>
      <t xml:space="preserve"> System installer should contact system designer if the number of fittings varies from the design to the actual installation.</t>
    </r>
  </si>
  <si>
    <r>
      <t>Total Pipe Length</t>
    </r>
    <r>
      <rPr>
        <sz val="10"/>
        <rFont val="Trebuchet MS"/>
        <family val="2"/>
      </rPr>
      <t xml:space="preserve"> = Supply Pipe Length (2.B.2) + Equivalent Pipe Length (2.D)</t>
    </r>
  </si>
  <si>
    <r>
      <t>Hazen-Williams friction loss due to pipe fittings and supply pipe (h</t>
    </r>
    <r>
      <rPr>
        <vertAlign val="subscript"/>
        <sz val="10"/>
        <rFont val="Trebuchet MS"/>
        <family val="2"/>
      </rPr>
      <t>f</t>
    </r>
    <r>
      <rPr>
        <sz val="10"/>
        <rFont val="Trebuchet MS"/>
        <family val="2"/>
      </rPr>
      <t>):</t>
    </r>
  </si>
  <si>
    <t>(10.5    ÷</t>
  </si>
  <si>
    <r>
      <t>Pipe Diameter</t>
    </r>
    <r>
      <rPr>
        <vertAlign val="superscript"/>
        <sz val="10"/>
        <rFont val="Trebuchet MS"/>
        <family val="2"/>
      </rPr>
      <t xml:space="preserve">4.87 </t>
    </r>
    <r>
      <rPr>
        <sz val="10"/>
        <rFont val="Trebuchet MS"/>
        <family val="2"/>
      </rPr>
      <t>)</t>
    </r>
  </si>
  <si>
    <r>
      <t>Flow Rate    ÷   Constant)</t>
    </r>
    <r>
      <rPr>
        <vertAlign val="superscript"/>
        <sz val="10"/>
        <rFont val="Trebuchet MS"/>
        <family val="2"/>
      </rPr>
      <t xml:space="preserve">1.85 </t>
    </r>
  </si>
  <si>
    <t xml:space="preserve">Total Pipe Length (2.E) </t>
  </si>
  <si>
    <t>(10.5   ÷</t>
  </si>
  <si>
    <r>
      <t>in</t>
    </r>
    <r>
      <rPr>
        <vertAlign val="superscript"/>
        <sz val="12"/>
        <rFont val="Trebuchet MS"/>
        <family val="2"/>
      </rPr>
      <t>4.87</t>
    </r>
    <r>
      <rPr>
        <sz val="12"/>
        <rFont val="Trebuchet MS"/>
        <family val="2"/>
      </rPr>
      <t xml:space="preserve"> )</t>
    </r>
  </si>
  <si>
    <r>
      <t>gpm ÷ 130)</t>
    </r>
    <r>
      <rPr>
        <vertAlign val="superscript"/>
        <sz val="10"/>
        <rFont val="Arial"/>
        <family val="2"/>
      </rPr>
      <t xml:space="preserve">1.85   </t>
    </r>
    <r>
      <rPr>
        <sz val="10"/>
        <rFont val="Arial"/>
        <family val="2"/>
      </rPr>
      <t>X</t>
    </r>
  </si>
  <si>
    <r>
      <t>Total Head</t>
    </r>
    <r>
      <rPr>
        <sz val="10"/>
        <rFont val="Trebuchet MS"/>
        <family val="2"/>
      </rPr>
      <t xml:space="preserve"> requirement is the sum of the </t>
    </r>
    <r>
      <rPr>
        <i/>
        <sz val="10"/>
        <rFont val="Trebuchet MS"/>
        <family val="2"/>
      </rPr>
      <t>Elevation Difference</t>
    </r>
    <r>
      <rPr>
        <sz val="10"/>
        <rFont val="Trebuchet MS"/>
        <family val="2"/>
      </rPr>
      <t xml:space="preserve"> (Line 2.A) and the Friction Loss from the Supply Pipe and Pipe Fittings for collection systems (Line F)</t>
    </r>
  </si>
  <si>
    <t>GPM (Line 1) with at least</t>
  </si>
  <si>
    <t>feet of total head (Line G).</t>
  </si>
  <si>
    <t>Flow Equalization Tank Worksheet To STA</t>
  </si>
  <si>
    <t>1. Enter the peak 7 days measured or estimated flow:</t>
  </si>
  <si>
    <t>Daily Flow Volume*(gal)</t>
  </si>
  <si>
    <t>Time Dose  Volume (gal)</t>
  </si>
  <si>
    <t>Surge Volume (gal)</t>
  </si>
  <si>
    <t>*Start with Highest daily flow value</t>
  </si>
  <si>
    <t>Total Weekly Flow</t>
  </si>
  <si>
    <t>gal  (Sum of Daily Flow 1-7)</t>
  </si>
  <si>
    <t>Peak Daily Flow</t>
  </si>
  <si>
    <t>gal   (Max of Daily Flow 1-7)</t>
  </si>
  <si>
    <t>Average Daily Value</t>
  </si>
  <si>
    <t>gal   (Ave of Daily Flow 1-7)</t>
  </si>
  <si>
    <t>Peak to Average Flow</t>
  </si>
  <si>
    <t>Maximum Surge Volume</t>
  </si>
  <si>
    <t>gal   (Max of Surge Vol 1-7)</t>
  </si>
  <si>
    <t>Maximum Surge Volume + Average Daily Volume</t>
  </si>
  <si>
    <t xml:space="preserve">2.  Choose peaking factor </t>
  </si>
  <si>
    <t>Surge + Peaking Factor</t>
  </si>
  <si>
    <t>3.  Enter gallons to cover pump</t>
  </si>
  <si>
    <r>
      <t xml:space="preserve">gal </t>
    </r>
    <r>
      <rPr>
        <sz val="8"/>
        <rFont val="Trebuchet MS"/>
        <family val="2"/>
      </rPr>
      <t>(From Pump Tank STA Time)</t>
    </r>
  </si>
  <si>
    <t>Minimum flow equalization tank volume</t>
  </si>
  <si>
    <r>
      <t>Minimum Design Flow for soil dispersal system</t>
    </r>
    <r>
      <rPr>
        <i/>
        <sz val="10"/>
        <rFont val="Trebuchet MS"/>
        <family val="2"/>
      </rPr>
      <t xml:space="preserve"> </t>
    </r>
  </si>
  <si>
    <t>gpd</t>
  </si>
  <si>
    <r>
      <t>Minimum Design flow based on</t>
    </r>
    <r>
      <rPr>
        <u/>
        <sz val="10"/>
        <rFont val="Trebuchet MS"/>
        <family val="2"/>
      </rPr>
      <t xml:space="preserve"> 70% use</t>
    </r>
    <r>
      <rPr>
        <sz val="10"/>
        <rFont val="Trebuchet MS"/>
        <family val="2"/>
      </rPr>
      <t xml:space="preserve"> from time dose volume</t>
    </r>
  </si>
  <si>
    <t>Flow Equalization Tank Worksheet To NonSTA</t>
  </si>
  <si>
    <t>Flow Equalization Dosing to :</t>
  </si>
  <si>
    <t>Maximum Surge Volume + Timed Dose Volume</t>
  </si>
  <si>
    <r>
      <t xml:space="preserve">gal </t>
    </r>
    <r>
      <rPr>
        <sz val="8"/>
        <rFont val="Trebuchet MS"/>
        <family val="2"/>
      </rPr>
      <t>(From Pump Tank (Other) Time)</t>
    </r>
  </si>
  <si>
    <r>
      <t>Minimum Design Flow for Treatment technology system</t>
    </r>
    <r>
      <rPr>
        <i/>
        <sz val="10"/>
        <rFont val="Trebuchet MS"/>
        <family val="2"/>
      </rPr>
      <t xml:space="preserve"> </t>
    </r>
  </si>
  <si>
    <r>
      <t>Minimum Design flow based on</t>
    </r>
    <r>
      <rPr>
        <u/>
        <sz val="10"/>
        <rFont val="Trebuchet MS"/>
        <family val="2"/>
      </rPr>
      <t xml:space="preserve"> 70% use</t>
    </r>
  </si>
  <si>
    <t xml:space="preserve"> Flow Estimation:                                               Existing Dwellings</t>
  </si>
  <si>
    <t>Dwelling #</t>
  </si>
  <si>
    <t># of Bedrooms (minimum = 2)</t>
  </si>
  <si>
    <r>
      <t xml:space="preserve">Dwelling Classification ** </t>
    </r>
    <r>
      <rPr>
        <sz val="10"/>
        <color indexed="8"/>
        <rFont val="Trebuchet MS"/>
        <family val="2"/>
      </rPr>
      <t>(see Table IV)</t>
    </r>
  </si>
  <si>
    <t>7080.1860         Design Flow  (gpd) (See Table 1)</t>
  </si>
  <si>
    <t>Reduction Factor - 0.45                   (if applicable*)</t>
  </si>
  <si>
    <t>LISTS Flow per       Dwelling  (gpd)</t>
  </si>
  <si>
    <t>House Class</t>
  </si>
  <si>
    <t>Per Bedroom Flow Determination</t>
  </si>
  <si>
    <t>(Bedroom +1)*75</t>
  </si>
  <si>
    <t>(Bedroom +1)*38)+66</t>
  </si>
  <si>
    <t>* See Code Book</t>
  </si>
  <si>
    <t>Total Dwelling Flow Estimate</t>
  </si>
  <si>
    <t>* Use 1.0 for the flow from the ten highest flow dwellings and 0.45 for remaining dwellings   ** See Code Book for Type IV House Class Flows</t>
  </si>
  <si>
    <t xml:space="preserve"> Measured Flow: Other Establishments</t>
  </si>
  <si>
    <t>Day             (1-30)</t>
  </si>
  <si>
    <t>Meter Reading* (gal)</t>
  </si>
  <si>
    <t xml:space="preserve">% Capacity       </t>
  </si>
  <si>
    <t>7 Day Avg</t>
  </si>
  <si>
    <t>Day             (31-60)</t>
  </si>
  <si>
    <t xml:space="preserve">% Capacity        </t>
  </si>
  <si>
    <t>Day              (61-90)</t>
  </si>
  <si>
    <t>Day             (91-120)</t>
  </si>
  <si>
    <t>Day             (121-150)</t>
  </si>
  <si>
    <t>Day              (151-180)</t>
  </si>
  <si>
    <t xml:space="preserve">% Capacity      </t>
  </si>
  <si>
    <t>* Daily flow data collected during peak season of usage.  Meter calibrated monthly. Data could also be gathered from event counter or running time clock and converted to gallons.</t>
  </si>
  <si>
    <t>Flow Calculations</t>
  </si>
  <si>
    <t>Minimum Flow</t>
  </si>
  <si>
    <t>Peak Flow</t>
  </si>
  <si>
    <t>Full capacity flow from 7 busiest consecutive days:</t>
  </si>
  <si>
    <t>Average Flow (Do not include days with no flow)</t>
  </si>
  <si>
    <t>Flow Estimation: Other Establishments</t>
  </si>
  <si>
    <t>Establishment</t>
  </si>
  <si>
    <r>
      <t>7081</t>
    </r>
    <r>
      <rPr>
        <b/>
        <sz val="10"/>
        <color indexed="8"/>
        <rFont val="Trebuchet MS"/>
        <family val="2"/>
      </rPr>
      <t xml:space="preserve"> Specified Type of Establishment</t>
    </r>
  </si>
  <si>
    <t>Unit</t>
  </si>
  <si>
    <t># of Units</t>
  </si>
  <si>
    <t>Design Flow per Unit (See Table I)</t>
  </si>
  <si>
    <t>Total Avg Daily Flow</t>
  </si>
  <si>
    <r>
      <t xml:space="preserve">Total Flow 7081 Establishments </t>
    </r>
    <r>
      <rPr>
        <sz val="10"/>
        <color indexed="8"/>
        <rFont val="Trebuchet MS"/>
        <family val="2"/>
      </rPr>
      <t>(gpd)</t>
    </r>
  </si>
  <si>
    <r>
      <t>NON 7081</t>
    </r>
    <r>
      <rPr>
        <b/>
        <sz val="10"/>
        <color indexed="8"/>
        <rFont val="Trebuchet MS"/>
        <family val="2"/>
      </rPr>
      <t xml:space="preserve"> Specified Type of Establishment</t>
    </r>
  </si>
  <si>
    <t xml:space="preserve">Design Flow per Unit </t>
  </si>
  <si>
    <t>Camp, day   without meals</t>
  </si>
  <si>
    <t>Camp, day and  night with meals</t>
  </si>
  <si>
    <r>
      <t xml:space="preserve">Total Flow Non-7081 Establishments </t>
    </r>
    <r>
      <rPr>
        <sz val="10"/>
        <color indexed="8"/>
        <rFont val="Trebuchet MS"/>
        <family val="2"/>
      </rPr>
      <t>(gpd)</t>
    </r>
  </si>
  <si>
    <r>
      <t xml:space="preserve">Safety Factor  </t>
    </r>
    <r>
      <rPr>
        <sz val="10"/>
        <color indexed="8"/>
        <rFont val="Trebuchet MS"/>
        <family val="2"/>
      </rPr>
      <t>(gpd)</t>
    </r>
  </si>
  <si>
    <r>
      <t xml:space="preserve">Total Flow 7081 and Non 7081 Establishments </t>
    </r>
    <r>
      <rPr>
        <sz val="10"/>
        <color indexed="8"/>
        <rFont val="Trebuchet MS"/>
        <family val="2"/>
      </rPr>
      <t>(gpd)</t>
    </r>
  </si>
  <si>
    <t>person with hook‑up</t>
  </si>
  <si>
    <t>site to be served  by dump station</t>
  </si>
  <si>
    <t>site with hook‑up</t>
  </si>
  <si>
    <t>site without hook‑up, with central bath</t>
  </si>
  <si>
    <t>Final Permitting Flow Worksheet</t>
  </si>
  <si>
    <t>1.  Flow from Dwellings</t>
  </si>
  <si>
    <t>Flow from Dwellings</t>
  </si>
  <si>
    <t>From either existing and new development worksheet</t>
  </si>
  <si>
    <t>2.  Flow from Other Establishments</t>
  </si>
  <si>
    <t>Permitting Flow from Other Establishments</t>
  </si>
  <si>
    <t>From either Measured or Estimated-OE worksheet</t>
  </si>
  <si>
    <t>3.  Flow from Collection System</t>
  </si>
  <si>
    <t>a) Total Length of Collection Pipe:</t>
  </si>
  <si>
    <t>Design flow must include 200 gallons of infiltration and inflow per inch of collection pipe diameter per mile per day with a minimum pipe diameter of two inches. Flow values can be further increased if the system employs treatment devices that will infiltrate precipitation.</t>
  </si>
  <si>
    <t>b) Diameter of Pipe (Minimum of  2 in):</t>
  </si>
  <si>
    <t>c) Flow from I&amp; I in Collection System:</t>
  </si>
  <si>
    <t>4. Final Permitting Flow</t>
  </si>
  <si>
    <t>Sum of 1, 2 and 3c.</t>
  </si>
  <si>
    <t xml:space="preserve">LISTS &amp; MSTS Design Flow and System Summary </t>
  </si>
  <si>
    <t>1.  PERMITTING FLOW</t>
  </si>
  <si>
    <r>
      <t xml:space="preserve">Permitting Flow </t>
    </r>
    <r>
      <rPr>
        <i/>
        <sz val="10"/>
        <rFont val="Trebuchet MS"/>
        <family val="2"/>
      </rPr>
      <t>(from Final Flow worksheet):</t>
    </r>
  </si>
  <si>
    <t>2. ORGANIC LOADING</t>
  </si>
  <si>
    <r>
      <t>Facility with potential elevated levels of BOD</t>
    </r>
    <r>
      <rPr>
        <vertAlign val="subscript"/>
        <sz val="10"/>
        <rFont val="Trebuchet MS"/>
        <family val="2"/>
      </rPr>
      <t>5</t>
    </r>
    <r>
      <rPr>
        <sz val="10"/>
        <rFont val="Trebuchet MS"/>
        <family val="2"/>
      </rPr>
      <t>, TSS or FOG?</t>
    </r>
  </si>
  <si>
    <t>See Assessment and Waste Strength Table</t>
  </si>
  <si>
    <t>If Yes, Estimated or Measured Values</t>
  </si>
  <si>
    <t>i.</t>
  </si>
  <si>
    <r>
      <t>BOD</t>
    </r>
    <r>
      <rPr>
        <vertAlign val="subscript"/>
        <sz val="10"/>
        <rFont val="Trebuchet MS"/>
        <family val="2"/>
      </rPr>
      <t>5</t>
    </r>
  </si>
  <si>
    <t>mg/l</t>
  </si>
  <si>
    <t>If concentrations of BOD, TSS, and O&amp;G are expected to be higher than 170 mg/1, 60 mg/1, or 25 mg/1 respectively, an estimated or measured average concentration must be determined.</t>
  </si>
  <si>
    <t>ii.</t>
  </si>
  <si>
    <t>iii.</t>
  </si>
  <si>
    <t>3. GREASE TRAP</t>
  </si>
  <si>
    <t xml:space="preserve">Grease trap recommended for facilities with high levels of O&amp;G.  If a grease trap is installed, a minimum of 24 hours (1 day) of hydraulic retention time is recommended, but can be up 4 days or more.  The outlet baffle must extended to 50 - 70% of liquid depth.  </t>
  </si>
  <si>
    <t>Design Flow - Grease Trap (kitchen waste only):</t>
  </si>
  <si>
    <t>Use 70% of permitted flow to size the grease trap if using estimated design flows are being used.</t>
  </si>
  <si>
    <t xml:space="preserve">Minimum capacity is equal to the Design Flow for Grease Traps (3A) multiplied by 1.  </t>
  </si>
  <si>
    <t>day(s)</t>
  </si>
  <si>
    <t>4.  SEPTIC TANKS and STILLING TANK</t>
  </si>
  <si>
    <t>Individual septic tanks at each dwelling (7080.1930 minimum)*:</t>
  </si>
  <si>
    <t xml:space="preserve">*  When septic tanks are installed at each dwelling an effluent screen and alarm should either be located at each dwelling or a the common treatment area. </t>
  </si>
  <si>
    <t>Septic Tank capacity:</t>
  </si>
  <si>
    <t>Number of Septic Tanks/Compartments:</t>
  </si>
  <si>
    <t>Effluent Screen Minimum Size Slots**</t>
  </si>
  <si>
    <t>(1/8 or 1/16 inch)</t>
  </si>
  <si>
    <t>Stilling tank required?</t>
  </si>
  <si>
    <r>
      <t>If Yes, minimum capacity is equal to the Design Flow (Line 1) multiplied by 0.5 (</t>
    </r>
    <r>
      <rPr>
        <i/>
        <sz val="10"/>
        <rFont val="Trebuchet MS"/>
        <family val="2"/>
      </rPr>
      <t>can be greater than 0.5</t>
    </r>
    <r>
      <rPr>
        <sz val="10"/>
        <rFont val="Trebuchet MS"/>
        <family val="2"/>
      </rPr>
      <t xml:space="preserve">)  </t>
    </r>
  </si>
  <si>
    <t xml:space="preserve">Gravity collection to common septic tanks: </t>
  </si>
  <si>
    <t>Minimum capacity is the design flow (1) multiplied by 3 days.</t>
  </si>
  <si>
    <t>** 1/16 inch screen slots should be used when downstream distribution components utilize 1/8 inch diameter orifices.</t>
  </si>
  <si>
    <t xml:space="preserve">3 days       = </t>
  </si>
  <si>
    <r>
      <t xml:space="preserve">Number of </t>
    </r>
    <r>
      <rPr>
        <i/>
        <sz val="10"/>
        <rFont val="Trebuchet MS"/>
        <family val="2"/>
      </rPr>
      <t>Septic Tanks/</t>
    </r>
    <r>
      <rPr>
        <i/>
        <sz val="10"/>
        <rFont val="Trebuchet MS"/>
        <family val="2"/>
      </rPr>
      <t>Compartments</t>
    </r>
    <r>
      <rPr>
        <sz val="10"/>
        <rFont val="Trebuchet MS"/>
        <family val="2"/>
      </rPr>
      <t>:</t>
    </r>
  </si>
  <si>
    <t xml:space="preserve">Pressure collection to common septic tanks:  </t>
  </si>
  <si>
    <t>Minimum septic tank capacity is the design flow multiplied by 4 days.</t>
  </si>
  <si>
    <t xml:space="preserve">4 days       = </t>
  </si>
  <si>
    <r>
      <t xml:space="preserve">Number of </t>
    </r>
    <r>
      <rPr>
        <i/>
        <sz val="10"/>
        <rFont val="Trebuchet MS"/>
        <family val="2"/>
      </rPr>
      <t>Septic Tanks/Compartments</t>
    </r>
    <r>
      <rPr>
        <sz val="10"/>
        <rFont val="Trebuchet MS"/>
        <family val="2"/>
      </rPr>
      <t>:</t>
    </r>
  </si>
  <si>
    <t>Septic tank liquid capacity prior to other treatment devices:</t>
  </si>
  <si>
    <t>Capacity set by manufacturer's requirements, accepted engineering principles, or as identified in the product registration recommended standards and criteria.</t>
  </si>
  <si>
    <r>
      <t>Effluent Screen &amp; Alarm</t>
    </r>
    <r>
      <rPr>
        <sz val="10"/>
        <rFont val="Trebuchet MS"/>
        <family val="2"/>
      </rPr>
      <t>?</t>
    </r>
  </si>
  <si>
    <t>Tank Buoyancy Calculation Performed?</t>
  </si>
  <si>
    <t>5. SITE EVALUATION OVERVIEW:</t>
  </si>
  <si>
    <r>
      <t>Depth to Limiting Layer</t>
    </r>
    <r>
      <rPr>
        <sz val="10"/>
        <rFont val="Trebuchet MS"/>
        <family val="2"/>
      </rPr>
      <t>:</t>
    </r>
  </si>
  <si>
    <t xml:space="preserve">feet    Elevation:  </t>
  </si>
  <si>
    <r>
      <t>Measured Percent Land Slope</t>
    </r>
    <r>
      <rPr>
        <sz val="10"/>
        <rFont val="Trebuchet MS"/>
        <family val="2"/>
      </rPr>
      <t>:</t>
    </r>
  </si>
  <si>
    <t>Location and Elevation of Limiting Layer:</t>
  </si>
  <si>
    <r>
      <t>Percent Land Slope</t>
    </r>
    <r>
      <rPr>
        <sz val="10"/>
        <rFont val="Trebuchet MS"/>
        <family val="2"/>
      </rPr>
      <t>:</t>
    </r>
  </si>
  <si>
    <t>6. SOIL LOADING RATES: Select method A. or B. below</t>
  </si>
  <si>
    <t>7080 Table IX</t>
  </si>
  <si>
    <t xml:space="preserve">DETAILED SOIL DESCRIPTIONS </t>
  </si>
  <si>
    <t>Structure</t>
  </si>
  <si>
    <t>Select Soil Loading Rate:</t>
  </si>
  <si>
    <t>Design Loading Rate:</t>
  </si>
  <si>
    <t>Slowest measured percolation rate:</t>
  </si>
  <si>
    <t>7. SYSTEM OVERVIEW</t>
  </si>
  <si>
    <t>Type of Collection System</t>
  </si>
  <si>
    <r>
      <t>Kind of Soil Treatment and Dispersal Area</t>
    </r>
    <r>
      <rPr>
        <sz val="10"/>
        <rFont val="Trebuchet MS"/>
        <family val="2"/>
      </rPr>
      <t>:</t>
    </r>
  </si>
  <si>
    <t>Type of System:</t>
  </si>
  <si>
    <t>Registered Product/pretreatment unit:</t>
  </si>
  <si>
    <r>
      <t>Distribution Method</t>
    </r>
    <r>
      <rPr>
        <sz val="10"/>
        <rFont val="Trebuchet MS"/>
        <family val="2"/>
      </rPr>
      <t>:</t>
    </r>
  </si>
  <si>
    <t>Note: Pressure distribution must be used for soil treatment systems with flows greater than 2,500 gallons per day.</t>
  </si>
  <si>
    <t xml:space="preserve">Single-Pass &amp; Recirculating Sand Filter Worksheet </t>
  </si>
  <si>
    <t>GENERAL SPECIFICATIONS</t>
  </si>
  <si>
    <r>
      <t xml:space="preserve">Type of filter </t>
    </r>
    <r>
      <rPr>
        <i/>
        <sz val="10"/>
        <rFont val="Trebuchet MS"/>
        <family val="2"/>
      </rPr>
      <t>(check</t>
    </r>
    <r>
      <rPr>
        <sz val="10"/>
        <rFont val="Trebuchet MS"/>
        <family val="2"/>
      </rPr>
      <t>)</t>
    </r>
    <r>
      <rPr>
        <b/>
        <sz val="10"/>
        <rFont val="Trebuchet MS"/>
        <family val="2"/>
      </rPr>
      <t>:</t>
    </r>
  </si>
  <si>
    <r>
      <t>MINIMUM RECIRCULATION/DOSING TANK CAPACITY</t>
    </r>
    <r>
      <rPr>
        <b/>
        <i/>
        <sz val="10"/>
        <rFont val="Trebuchet MS"/>
        <family val="2"/>
      </rPr>
      <t xml:space="preserve"> (if applicable)</t>
    </r>
  </si>
  <si>
    <t>A minimum of 24 hours (1 day) of hydraulic retention time is required, but can be greater.</t>
  </si>
  <si>
    <t xml:space="preserve">Minimum capacity is equal to the Design Flow (1) multiplied by 1.  </t>
  </si>
  <si>
    <t>gpd   X</t>
  </si>
  <si>
    <t>day(s)      =</t>
  </si>
  <si>
    <t>FILTER DIMENSIONS</t>
  </si>
  <si>
    <t>Select hydraulic loading rate:</t>
  </si>
  <si>
    <t>Maximum hydraulic loading rate for single-pass is 1.0 gpd/sq.ft and 5.0 gpd/sq.ft for recirculating.</t>
  </si>
  <si>
    <t>Filter area based on hydraulic loading rate = flow rate (A1) divided by the loading rate (C1):</t>
  </si>
  <si>
    <t>gpd        ÷</t>
  </si>
  <si>
    <r>
      <t>gpd/sq.ft</t>
    </r>
    <r>
      <rPr>
        <vertAlign val="superscript"/>
        <sz val="10"/>
        <rFont val="Trebuchet MS"/>
        <family val="2"/>
      </rPr>
      <t xml:space="preserve">   </t>
    </r>
    <r>
      <rPr>
        <sz val="10"/>
        <rFont val="Trebuchet MS"/>
        <family val="2"/>
      </rPr>
      <t xml:space="preserve"> =</t>
    </r>
  </si>
  <si>
    <t xml:space="preserve">Verify organic loading rate is acceptable </t>
  </si>
  <si>
    <t>a.</t>
  </si>
  <si>
    <r>
      <t>Take design flow (A1) multiplied by estimated BOD</t>
    </r>
    <r>
      <rPr>
        <vertAlign val="subscript"/>
        <sz val="10"/>
        <rFont val="Trebuchet MS"/>
        <family val="2"/>
      </rPr>
      <t>5</t>
    </r>
    <r>
      <rPr>
        <sz val="10"/>
        <rFont val="Trebuchet MS"/>
        <family val="2"/>
      </rPr>
      <t xml:space="preserve"> multiplied by conversion factor (0.00000834).</t>
    </r>
  </si>
  <si>
    <t>mg/l   X    0.00000834   =</t>
  </si>
  <si>
    <t>lbs BOD</t>
  </si>
  <si>
    <t xml:space="preserve">Divide lbs of BOD by square feet of filter (C2).  </t>
  </si>
  <si>
    <t>lbs BOD  ÷</t>
  </si>
  <si>
    <r>
      <t>sq.ft</t>
    </r>
    <r>
      <rPr>
        <vertAlign val="superscript"/>
        <sz val="10"/>
        <rFont val="Trebuchet MS"/>
        <family val="2"/>
      </rPr>
      <t xml:space="preserve">       </t>
    </r>
    <r>
      <rPr>
        <sz val="10"/>
        <rFont val="Trebuchet MS"/>
        <family val="2"/>
      </rPr>
      <t>=</t>
    </r>
  </si>
  <si>
    <t>lbs BOD/sq.ft</t>
  </si>
  <si>
    <t>c.</t>
  </si>
  <si>
    <r>
      <t xml:space="preserve">Organic loading rate must be less then 0.005 lbs BOD/sq.ft.  </t>
    </r>
    <r>
      <rPr>
        <i/>
        <sz val="10"/>
        <rFont val="Trebuchet MS"/>
        <family val="2"/>
      </rPr>
      <t>Divide lbs of BOD (Line 3a) by 0.005 lbs/sq.ft</t>
    </r>
  </si>
  <si>
    <t>lbs BOD     ÷     0.005   =</t>
  </si>
  <si>
    <t>d.</t>
  </si>
  <si>
    <t>Required filter area is the larger of line C2 and 3c:</t>
  </si>
  <si>
    <t>Select width of filter:</t>
  </si>
  <si>
    <t>Length of filter = filter area (C3d) divided by filter width (C3) =</t>
  </si>
  <si>
    <r>
      <t>sq.ft</t>
    </r>
    <r>
      <rPr>
        <vertAlign val="superscript"/>
        <sz val="10"/>
        <rFont val="Trebuchet MS"/>
        <family val="2"/>
      </rPr>
      <t xml:space="preserve">   </t>
    </r>
    <r>
      <rPr>
        <sz val="10"/>
        <rFont val="Trebuchet MS"/>
        <family val="2"/>
      </rPr>
      <t>÷</t>
    </r>
  </si>
  <si>
    <t>1 zone minimum for single family dwelling, minimum of two zones for anything else.</t>
  </si>
  <si>
    <t>DRAINAGE SYSTEM</t>
  </si>
  <si>
    <t>Type(s) of Drainage Media:</t>
  </si>
  <si>
    <t>To protect the liner, 6 in. of 3/8- media must be installed under the liner and 2 in. of pea gravel on top of the liner. Drainfield rock must surround the collection pipe.  The upper 2 in. must be pea gravel to limit migration of treatment media into drainage media.</t>
  </si>
  <si>
    <t>(a) Total Depth of Drainage Media:</t>
  </si>
  <si>
    <t>Minimum depth is 1 foot with bottom sloped 1% to drainage pipe unless pump is part of filter drainage.  Drainage material total should be 18” for pump vault and 12” for gravity drainage</t>
  </si>
  <si>
    <t xml:space="preserve">(b) Depth of Pea Gravel: </t>
  </si>
  <si>
    <t>in  ÷  12 =</t>
  </si>
  <si>
    <t xml:space="preserve">      Upper 2" of drainage must be pea rock to support the treatment media</t>
  </si>
  <si>
    <t>(c) Depth of Drainfield Rock:</t>
  </si>
  <si>
    <t xml:space="preserve">      Drain field rock should cover the drainage piping.</t>
  </si>
  <si>
    <t>Pea Gravel Volume:  Multiply filter area (C2) by drainage depth (2b):</t>
  </si>
  <si>
    <r>
      <t>sq.ft</t>
    </r>
    <r>
      <rPr>
        <vertAlign val="superscript"/>
        <sz val="10"/>
        <rFont val="Trebuchet MS"/>
        <family val="2"/>
      </rPr>
      <t xml:space="preserve">   </t>
    </r>
    <r>
      <rPr>
        <sz val="10"/>
        <rFont val="Trebuchet MS"/>
        <family val="2"/>
      </rPr>
      <t xml:space="preserve"> X</t>
    </r>
  </si>
  <si>
    <r>
      <t>Divide cubic feet by 27 cu.ft/cu.yd</t>
    </r>
    <r>
      <rPr>
        <vertAlign val="superscript"/>
        <sz val="10"/>
        <rFont val="Trebuchet MS"/>
        <family val="2"/>
      </rPr>
      <t xml:space="preserve"> </t>
    </r>
    <r>
      <rPr>
        <sz val="10"/>
        <rFont val="Trebuchet MS"/>
        <family val="2"/>
      </rPr>
      <t>to get cubic yards:</t>
    </r>
  </si>
  <si>
    <r>
      <t>cu.ft</t>
    </r>
    <r>
      <rPr>
        <vertAlign val="superscript"/>
        <sz val="10"/>
        <rFont val="Trebuchet MS"/>
        <family val="2"/>
      </rPr>
      <t xml:space="preserve">  </t>
    </r>
    <r>
      <rPr>
        <sz val="10"/>
        <rFont val="Trebuchet MS"/>
        <family val="2"/>
      </rPr>
      <t>÷  27 =</t>
    </r>
  </si>
  <si>
    <t>Drainfield Rock Volume:  Multiply filter area (C2) by drainage depth (2c):</t>
  </si>
  <si>
    <t>Divide cubic feet by 27 cu.ft/cu.yd to get cubic yards (for sand and gravel only):</t>
  </si>
  <si>
    <t>Number of Drainage Pipes:</t>
  </si>
  <si>
    <t>One drainage pipe per zone or every twenty feet is minimum,             5' on center is recommended to facilitate system recovery.</t>
  </si>
  <si>
    <t>Number of Inspection Ports:</t>
  </si>
  <si>
    <t xml:space="preserve">  One inspection port per zone is minimum.</t>
  </si>
  <si>
    <t>Elevations of pump supply line to filter and return line to recirculation or pump tank should be specified on design plan and confirmed by Installer.</t>
  </si>
  <si>
    <t>TREATMENT MEDIA</t>
  </si>
  <si>
    <t>Type (sand, gravel, etc.):</t>
  </si>
  <si>
    <t>Depth of Treatment Media:</t>
  </si>
  <si>
    <t>2 feet is required</t>
  </si>
  <si>
    <t>Treatment Media Volume:  Multiply filter area(C2) by treatment depth (E2):</t>
  </si>
  <si>
    <t>Divide cubic feet by 27 cu.ft/cu.yd to get cubic yards</t>
  </si>
  <si>
    <t>If other, please specify:</t>
  </si>
  <si>
    <t>Depth of Distribution Media:</t>
  </si>
  <si>
    <t>Minimum depth is 0.67 feet (8 inches = 6 inches below the lateral and 2 inches above).</t>
  </si>
  <si>
    <t>If using rock or gravel, media volume: Multiply filter area (C2) by distribution depth (F2):</t>
  </si>
  <si>
    <t>cuft</t>
  </si>
  <si>
    <t>COVER MATERIAL (if applicable)</t>
  </si>
  <si>
    <r>
      <t xml:space="preserve">Is the system covered with geotextile and soil </t>
    </r>
    <r>
      <rPr>
        <i/>
        <sz val="10"/>
        <rFont val="Trebuchet MS"/>
        <family val="2"/>
      </rPr>
      <t>(check box)</t>
    </r>
    <r>
      <rPr>
        <sz val="10"/>
        <rFont val="Trebuchet MS"/>
        <family val="2"/>
      </rPr>
      <t>?</t>
    </r>
  </si>
  <si>
    <r>
      <t xml:space="preserve">Single-pass sand filters may be covered with soil while recirculating sand filter must have distribution media to the surface.  </t>
    </r>
    <r>
      <rPr>
        <sz val="10"/>
        <rFont val="Trebuchet MS"/>
        <family val="2"/>
      </rPr>
      <t>If soil cover installed, maximum depth of 12 inches of loamy or sandy material with upper six inches of topsoil borrow is required along with appropriate vegetation.</t>
    </r>
  </si>
  <si>
    <t>LINER</t>
  </si>
  <si>
    <t>Total system height is sum of depth of drainage(D2), treatment(E2), distribution(F2) &amp; cover(G):</t>
  </si>
  <si>
    <t xml:space="preserve">ft    + </t>
  </si>
  <si>
    <t xml:space="preserve">ft      + </t>
  </si>
  <si>
    <t>Assumes vertical walls.  If sloped additional liner will be needed.</t>
  </si>
  <si>
    <t>Width of liner is equal to the design width (C4) plus the two times the total system height (H1) plus two additional feet for constructability:</t>
  </si>
  <si>
    <t>ft +         (</t>
  </si>
  <si>
    <t>ft x 2) + 2 =</t>
  </si>
  <si>
    <t>Length of liner equals the design length (C5) plus two times the total system height (H1) of the filter plus two additional feet for constructability:</t>
  </si>
  <si>
    <t>Liner size/area is then determined by multiplying the width(H2) and length (H3):</t>
  </si>
  <si>
    <r>
      <t>sq.ft</t>
    </r>
    <r>
      <rPr>
        <vertAlign val="superscript"/>
        <sz val="10"/>
        <rFont val="Trebuchet MS"/>
        <family val="2"/>
      </rPr>
      <t xml:space="preserve">    </t>
    </r>
    <r>
      <rPr>
        <sz val="10"/>
        <rFont val="Trebuchet MS"/>
        <family val="2"/>
      </rPr>
      <t xml:space="preserve"> X</t>
    </r>
  </si>
  <si>
    <t>Estimate of Waste Strengths 
from Other Establishments</t>
  </si>
  <si>
    <t>Type of Facility</t>
  </si>
  <si>
    <r>
      <t>BOD</t>
    </r>
    <r>
      <rPr>
        <b/>
        <vertAlign val="subscript"/>
        <sz val="10"/>
        <rFont val="Trebuchet MS"/>
        <family val="2"/>
      </rPr>
      <t>5</t>
    </r>
    <r>
      <rPr>
        <b/>
        <sz val="10"/>
        <rFont val="Trebuchet MS"/>
        <family val="2"/>
      </rPr>
      <t xml:space="preserve"> (mg/L)</t>
    </r>
  </si>
  <si>
    <r>
      <t>BOD</t>
    </r>
    <r>
      <rPr>
        <b/>
        <vertAlign val="subscript"/>
        <sz val="10"/>
        <rFont val="Trebuchet MS"/>
        <family val="2"/>
      </rPr>
      <t>5</t>
    </r>
    <r>
      <rPr>
        <b/>
        <sz val="10"/>
        <rFont val="Trebuchet MS"/>
        <family val="2"/>
      </rPr>
      <t xml:space="preserve"> (lbs/unit/day)</t>
    </r>
  </si>
  <si>
    <t>Airports</t>
  </si>
  <si>
    <t>Per passenger</t>
  </si>
  <si>
    <t>400 - 500</t>
  </si>
  <si>
    <t>0.02</t>
  </si>
  <si>
    <t>Per employee</t>
  </si>
  <si>
    <t>0.05</t>
  </si>
  <si>
    <t>Apartment houses</t>
  </si>
  <si>
    <t>240 - 400</t>
  </si>
  <si>
    <t>0.175/multiple family</t>
  </si>
  <si>
    <t>Assembly hall (no kitchen)</t>
  </si>
  <si>
    <t>0.01/seat</t>
  </si>
  <si>
    <t>Boarding school</t>
  </si>
  <si>
    <t>0.208/student</t>
  </si>
  <si>
    <t>Bowling alley (no kitchen)</t>
  </si>
  <si>
    <t>0.15/lane</t>
  </si>
  <si>
    <t>Camps</t>
  </si>
  <si>
    <t>Construction (Semi-permanent)</t>
  </si>
  <si>
    <t>0.140</t>
  </si>
  <si>
    <t>Country club (member)</t>
  </si>
  <si>
    <t>0.052/member</t>
  </si>
  <si>
    <t>Country club (resident)</t>
  </si>
  <si>
    <t>0.208/resident</t>
  </si>
  <si>
    <t>Day (no meals)</t>
  </si>
  <si>
    <t>0.031</t>
  </si>
  <si>
    <t>Luxury</t>
  </si>
  <si>
    <t>0.208</t>
  </si>
  <si>
    <t>Church (no kitchen)</t>
  </si>
  <si>
    <t>0.02/seat</t>
  </si>
  <si>
    <t>Country club</t>
  </si>
  <si>
    <t>400 - 800</t>
  </si>
  <si>
    <t>0.208/member</t>
  </si>
  <si>
    <t>Personnel addition</t>
  </si>
  <si>
    <t>0.04/employee</t>
  </si>
  <si>
    <t>Day school</t>
  </si>
  <si>
    <t>0.031/student</t>
  </si>
  <si>
    <t>Add for showers</t>
  </si>
  <si>
    <t>0.011/student</t>
  </si>
  <si>
    <t>Add for cafeteria</t>
  </si>
  <si>
    <t>500 - 700</t>
  </si>
  <si>
    <t>0.031/meal</t>
  </si>
  <si>
    <t>Factory</t>
  </si>
  <si>
    <t>No showers</t>
  </si>
  <si>
    <t>0.073/employee</t>
  </si>
  <si>
    <t>With showers</t>
  </si>
  <si>
    <t>0.083/employee</t>
  </si>
  <si>
    <t xml:space="preserve">Food service                        </t>
  </si>
  <si>
    <t>Ordinary restaurant</t>
  </si>
  <si>
    <t>600 - 1500</t>
  </si>
  <si>
    <t>0.35/seat</t>
  </si>
  <si>
    <t>24-Hour restaurant</t>
  </si>
  <si>
    <t>0.50/seat</t>
  </si>
  <si>
    <t>Freeway restaurant</t>
  </si>
  <si>
    <t>0.70/seat</t>
  </si>
  <si>
    <t>Tavern (limited food)</t>
  </si>
  <si>
    <t>0.10/seat</t>
  </si>
  <si>
    <t>Carry-out (single service)</t>
  </si>
  <si>
    <t>600 - 800</t>
  </si>
  <si>
    <t>0.70/100 sqft</t>
  </si>
  <si>
    <t>Carry-out</t>
  </si>
  <si>
    <t>200 - 600</t>
  </si>
  <si>
    <t>Fast food chain</t>
  </si>
  <si>
    <t>1000 - 2000</t>
  </si>
  <si>
    <t>0.80/seat</t>
  </si>
  <si>
    <t>Kitchen Waste</t>
  </si>
  <si>
    <t>0.015/meal</t>
  </si>
  <si>
    <t>Toilet and Kitchen Waste</t>
  </si>
  <si>
    <t>0.021/customer</t>
  </si>
  <si>
    <t>Additional for bars &amp; cocktail lounges</t>
  </si>
  <si>
    <t>0.01/customer</t>
  </si>
  <si>
    <t>Hospital (not including personnel)</t>
  </si>
  <si>
    <t>400 - 600</t>
  </si>
  <si>
    <t>0.518/bed</t>
  </si>
  <si>
    <t>2.0/machine</t>
  </si>
  <si>
    <t>Mobile home park</t>
  </si>
  <si>
    <t>0.40/space</t>
  </si>
  <si>
    <t>0.140/person</t>
  </si>
  <si>
    <t>Motel, Hotel</t>
  </si>
  <si>
    <t>0.083/bed</t>
  </si>
  <si>
    <t>0.14/person</t>
  </si>
  <si>
    <t>Nursing home  (not including kitchen or laundry)</t>
  </si>
  <si>
    <t>0.26/bed</t>
  </si>
  <si>
    <t>Office building (per 8 hour shift)</t>
  </si>
  <si>
    <t>0.05/employee</t>
  </si>
  <si>
    <t>Park, toilets only</t>
  </si>
  <si>
    <t>0.01/person</t>
  </si>
  <si>
    <t>Park, bathhouse and flush toilets</t>
  </si>
  <si>
    <t>0.021/person</t>
  </si>
  <si>
    <t>Resort hotel, cottage</t>
  </si>
  <si>
    <t>0.15/room</t>
  </si>
  <si>
    <t>Add for self-service laundry</t>
  </si>
  <si>
    <t>Service station</t>
  </si>
  <si>
    <t>0.50/toilet or urinal</t>
  </si>
  <si>
    <t>0.021vehicle served</t>
  </si>
  <si>
    <t>Shopping center (no food service or laundry)</t>
  </si>
  <si>
    <t>0.30/1000 sqft</t>
  </si>
  <si>
    <t>0.050/employee</t>
  </si>
  <si>
    <t>Sports Stadium</t>
  </si>
  <si>
    <t>0.20/person</t>
  </si>
  <si>
    <t>Swimming pool</t>
  </si>
  <si>
    <t>300 - 500</t>
  </si>
  <si>
    <t>Theaters</t>
  </si>
  <si>
    <t>Drive-in</t>
  </si>
  <si>
    <t>0.010/car space</t>
  </si>
  <si>
    <t>Indoor</t>
  </si>
  <si>
    <t>0.010/seat</t>
  </si>
  <si>
    <t>Travel trailer or RV park</t>
  </si>
  <si>
    <t>No water/sewer hook up</t>
  </si>
  <si>
    <t>0.25/space</t>
  </si>
  <si>
    <t>With water and sewer</t>
  </si>
  <si>
    <t>0.35/space</t>
  </si>
  <si>
    <t>The 2026 Design forms included in this file are intended to meet the 2021 Chapter 7080 Rules.  The primary intended use is for residential systems &lt;2500 gpd.  As system size goes up or when doing clustered system there will additional information needed and supplemented for the complete design not included in this suite.
Please check back to the website frequently and download the most current version.  
There are 43 worksheets and additional supporting information in the 2026 SSTS Design Suite Workbook, they are:</t>
  </si>
  <si>
    <t>In each worksheet, you will notice each cell is colored either blue (or grey depending on your system settings) or yellow. Yellow cells are user input cells, that is, these are the cells where you as the designer must manually enter the value that the worksheet is requesting.  If you begin on each sheet on the first yellow cell, you can then Tab through the rest of the form and you will tab only through cells that require you to enter information. Blue cells are cells that will fill in automatically as you enter values into the yellow cells.  You may have to have all yellow boxes filled in before some of the calculations happen. If a yellow box has a pre-filled in a value and you want to change it, type over the value in the box.  That will replace the value however that box will then no longer populate automatically in the future. If you are enterning a number be sure there is not a space or a symbol before that number.  A space or symbol will cause an error in calculations.</t>
  </si>
  <si>
    <t>Some of the yellow cells have a drop-down menu function.  A small arrow pointing downwards will appear in the lower right corner of the cells with a drop-down menu.  You should choose one of the values in the drop-down menu.  Many allow your entry of other words or numbers
To erase the value, simply highlight the cell and press the Delete key on your keyboard.</t>
  </si>
  <si>
    <t>You can have an image of your signature added to the signature place on the summary.  Use the "insert" on the top ribbon to select the image and place it on the signature line of the Summary Page.  You will need to have a picture of your signature saved on your computer.  Select that image to insert.  If you have a touch screen you can sign with sylus by selecting the Review tab on the top of the page, select unprotect sheet.  Go to the signature box, use the Draw tab at the top and sign in the correct cell of the page.  Be sure to repprotect the sheet in the review tab.</t>
  </si>
  <si>
    <t>Developed by the University of Minnesota: Sara Heger, Dave Gustafson and Dan Wheeler; Pete Otterness, Infiltrator Water Technolgies; Tim Haeg, Watab Inc.; Chris LeClair, Ottertail County;  and the Minnesota Pollution Control Agency.  Thanks to the many that provided comments and feedback during the annual review and development process.                                                 Updates managed and maintained by Pete Otterness, Infiltrator Water Technolgies</t>
  </si>
  <si>
    <t xml:space="preserve">Septic Tank Sizing: See 7080.1930  </t>
  </si>
  <si>
    <t>Enter in Pump Tank Tab</t>
  </si>
  <si>
    <r>
      <t xml:space="preserve">SOIL TREATMENT AREA DESIGN SUMMARY   </t>
    </r>
    <r>
      <rPr>
        <i/>
        <sz val="9"/>
        <color rgb="FFFF0000"/>
        <rFont val="Trebuchet MS"/>
        <family val="2"/>
      </rPr>
      <t>Only applicable fields will be filled based on Treatment Area Type</t>
    </r>
  </si>
  <si>
    <r>
      <t>GPD/sq.ft</t>
    </r>
    <r>
      <rPr>
        <vertAlign val="superscript"/>
        <sz val="10"/>
        <rFont val="Trebuchet MS"/>
        <family val="2"/>
      </rPr>
      <t xml:space="preserve">    </t>
    </r>
    <r>
      <rPr>
        <sz val="10"/>
        <rFont val="Trebuchet MS"/>
        <family val="2"/>
      </rPr>
      <t>=</t>
    </r>
  </si>
  <si>
    <t>( 0.33 ft for pressure or  0.5 ft for gravity)</t>
  </si>
  <si>
    <t>(min 6" below pipe)</t>
  </si>
  <si>
    <r>
      <t xml:space="preserve">Rock below pipe  + 0.33' (Dia pipe + Rock above pipe (total 4 inches))      </t>
    </r>
    <r>
      <rPr>
        <b/>
        <sz val="10"/>
        <rFont val="Trebuchet MS"/>
        <family val="2"/>
      </rPr>
      <t>OR</t>
    </r>
  </si>
  <si>
    <t xml:space="preserve">     +             if rock 0.33' </t>
  </si>
  <si>
    <t xml:space="preserve">     '+  1 foot required cover</t>
  </si>
  <si>
    <r>
      <t>Upslope Height</t>
    </r>
    <r>
      <rPr>
        <sz val="9"/>
        <rFont val="Trebuchet MS"/>
        <family val="2"/>
      </rPr>
      <t xml:space="preserve"> = </t>
    </r>
    <r>
      <rPr>
        <sz val="8"/>
        <rFont val="Trebuchet MS"/>
        <family val="2"/>
      </rPr>
      <t>Clean Sand Lift(5A) + Depth of Media(4AorB) + Depth to Cover Pipe(0.33ft) + Depth of Cover (1 ft)</t>
    </r>
  </si>
  <si>
    <r>
      <t xml:space="preserve">Design flow - </t>
    </r>
    <r>
      <rPr>
        <i/>
        <sz val="10"/>
        <rFont val="Trebuchet MS"/>
        <family val="2"/>
      </rPr>
      <t>from Flow and System Summary:</t>
    </r>
  </si>
  <si>
    <r>
      <rPr>
        <b/>
        <u/>
        <sz val="9"/>
        <color rgb="FFFF0000"/>
        <rFont val="Trebuchet MS"/>
        <family val="2"/>
      </rPr>
      <t>Second Party Verification:</t>
    </r>
    <r>
      <rPr>
        <sz val="9"/>
        <rFont val="Trebuchet MS"/>
        <family val="2"/>
      </rPr>
      <t xml:space="preserve">  I hereby certify that this soil observation was verified according to Minn. R. 7082.0500 subp. 3 A.  The signature below represents an infield verification of the periodically saturated soil or bedrock at the proposed soil treatment and dispersal site.</t>
    </r>
  </si>
  <si>
    <t>Very Friable</t>
  </si>
  <si>
    <t>Terrace</t>
  </si>
  <si>
    <t>No Discrete units observable in place or in hand sample</t>
  </si>
  <si>
    <t>Very slight force between fingers</t>
  </si>
  <si>
    <r>
      <t xml:space="preserve">Min Total Number of Laterals = System Width (3.F) ÷ Lateral Spacing (3.G)            </t>
    </r>
    <r>
      <rPr>
        <i/>
        <sz val="10"/>
        <color indexed="8"/>
        <rFont val="Trebuchet MS"/>
        <family val="2"/>
      </rPr>
      <t>Round up to nearest whole number</t>
    </r>
  </si>
  <si>
    <t>Mound ≤ 1% and &gt;1%</t>
  </si>
  <si>
    <t>Pump Basic (STA)</t>
  </si>
  <si>
    <t>v 05.01.2026</t>
  </si>
  <si>
    <t>Perforation can not be closer than 1 foot from edge.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</si>
</sst>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0.000"/>
    <numFmt numFmtId="165" formatCode="0.0"/>
    <numFmt numFmtId="166" formatCode="[$-409]mmmm\ d\,\ yyyy;@"/>
    <numFmt numFmtId="167" formatCode="0;\-0;;@"/>
    <numFmt numFmtId="168" formatCode="0.0;\-0;;@"/>
    <numFmt numFmtId="169" formatCode="0.00;\-0;;@"/>
    <numFmt numFmtId="170" formatCode="0.0%"/>
    <numFmt numFmtId="171" formatCode="m/d/yy;@"/>
    <numFmt numFmtId="172" formatCode="_([$€-2]* #,##0.00_);_([$€-2]* \(#,##0.00\);_([$€-2]* &quot;-&quot;??_)"/>
    <numFmt numFmtId="173" formatCode="mm/dd/yy;@"/>
    <numFmt numFmtId="174" formatCode=";;;"/>
    <numFmt numFmtId="175" formatCode="0.00000"/>
    <numFmt numFmtId="176" formatCode="#,##0.0"/>
    <numFmt numFmtId="177" formatCode="[$-409]h:mm\ AM/PM;@"/>
    <numFmt numFmtId="178" formatCode="0.0;\-0.0;;@"/>
    <numFmt numFmtId="179" formatCode="0.0_);[Red]\(0.0\)"/>
    <numFmt numFmtId="180" formatCode="0.00;\-0.00;;@"/>
    <numFmt numFmtId="181" formatCode="0.000000"/>
    <numFmt numFmtId="182" formatCode="0_);\(0\)"/>
    <numFmt numFmtId="183" formatCode="0.00000_);\(0.00000\)"/>
    <numFmt numFmtId="184" formatCode="0.000_);\(0.000\)"/>
    <numFmt numFmtId="185" formatCode="0.00_);\(0.00\)"/>
    <numFmt numFmtId="186" formatCode="0.0_);\(0.0\)"/>
  </numFmts>
  <fonts count="1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b/>
      <sz val="16"/>
      <name val="Trebuchet MS"/>
      <family val="2"/>
    </font>
    <font>
      <sz val="10"/>
      <name val="Trebuchet MS"/>
      <family val="2"/>
    </font>
    <font>
      <i/>
      <sz val="10"/>
      <name val="Trebuchet MS"/>
      <family val="2"/>
    </font>
    <font>
      <b/>
      <sz val="10"/>
      <name val="Trebuchet MS"/>
      <family val="2"/>
    </font>
    <font>
      <b/>
      <sz val="12"/>
      <name val="Trebuchet MS"/>
      <family val="2"/>
    </font>
    <font>
      <sz val="12"/>
      <name val="Trebuchet MS"/>
      <family val="2"/>
    </font>
    <font>
      <sz val="10"/>
      <color indexed="9"/>
      <name val="Trebuchet MS"/>
      <family val="2"/>
    </font>
    <font>
      <b/>
      <vertAlign val="superscript"/>
      <sz val="10"/>
      <name val="Trebuchet MS"/>
      <family val="2"/>
    </font>
    <font>
      <b/>
      <i/>
      <sz val="10"/>
      <name val="Trebuchet MS"/>
      <family val="2"/>
    </font>
    <font>
      <sz val="9"/>
      <name val="Trebuchet MS"/>
      <family val="2"/>
    </font>
    <font>
      <vertAlign val="superscript"/>
      <sz val="10"/>
      <name val="Trebuchet MS"/>
      <family val="2"/>
    </font>
    <font>
      <sz val="10"/>
      <name val="Arial"/>
      <family val="2"/>
    </font>
    <font>
      <b/>
      <sz val="20"/>
      <name val="Trebuchet MS"/>
      <family val="2"/>
    </font>
    <font>
      <sz val="8"/>
      <name val="Arial"/>
      <family val="2"/>
    </font>
    <font>
      <sz val="10"/>
      <name val="Arial Narrow"/>
      <family val="2"/>
    </font>
    <font>
      <b/>
      <sz val="10"/>
      <name val="Arial"/>
      <family val="2"/>
    </font>
    <font>
      <sz val="11"/>
      <color indexed="8"/>
      <name val="Calibri"/>
      <family val="2"/>
    </font>
    <font>
      <sz val="20"/>
      <name val="Trebuchet MS"/>
      <family val="2"/>
    </font>
    <font>
      <sz val="20"/>
      <name val="Arial"/>
      <family val="2"/>
    </font>
    <font>
      <b/>
      <sz val="22"/>
      <name val="Trebuchet MS"/>
      <family val="2"/>
    </font>
    <font>
      <sz val="10"/>
      <name val="AmerType Md BT"/>
      <family val="1"/>
    </font>
    <font>
      <sz val="14"/>
      <name val="Trebuchet MS"/>
      <family val="2"/>
    </font>
    <font>
      <sz val="9"/>
      <name val="Arial"/>
      <family val="2"/>
    </font>
    <font>
      <b/>
      <sz val="20"/>
      <color indexed="8"/>
      <name val="Trebuchet MS"/>
      <family val="2"/>
    </font>
    <font>
      <sz val="10"/>
      <color indexed="8"/>
      <name val="Trebuchet MS"/>
      <family val="2"/>
    </font>
    <font>
      <b/>
      <sz val="10"/>
      <color indexed="8"/>
      <name val="Trebuchet MS"/>
      <family val="2"/>
    </font>
    <font>
      <sz val="10"/>
      <color indexed="54"/>
      <name val="Trebuchet MS"/>
      <family val="2"/>
    </font>
    <font>
      <sz val="10"/>
      <color indexed="9"/>
      <name val="Arial"/>
      <family val="2"/>
    </font>
    <font>
      <b/>
      <sz val="10"/>
      <color indexed="9"/>
      <name val="Trebuchet MS"/>
      <family val="2"/>
    </font>
    <font>
      <sz val="8"/>
      <name val="Trebuchet MS"/>
      <family val="2"/>
    </font>
    <font>
      <sz val="10"/>
      <color indexed="10"/>
      <name val="Trebuchet MS"/>
      <family val="2"/>
    </font>
    <font>
      <b/>
      <sz val="14"/>
      <name val="Trebuchet MS"/>
      <family val="2"/>
    </font>
    <font>
      <b/>
      <sz val="14"/>
      <name val="Arial"/>
      <family val="2"/>
    </font>
    <font>
      <sz val="11"/>
      <color indexed="8"/>
      <name val="Trebuchet MS"/>
      <family val="2"/>
    </font>
    <font>
      <sz val="16"/>
      <color indexed="8"/>
      <name val="Trebuchet MS"/>
      <family val="2"/>
    </font>
    <font>
      <i/>
      <sz val="10"/>
      <color indexed="8"/>
      <name val="Trebuchet MS"/>
      <family val="2"/>
    </font>
    <font>
      <vertAlign val="subscript"/>
      <sz val="10"/>
      <name val="Trebuchet MS"/>
      <family val="2"/>
    </font>
    <font>
      <i/>
      <sz val="11"/>
      <color indexed="8"/>
      <name val="Trebuchet MS"/>
      <family val="2"/>
    </font>
    <font>
      <sz val="11"/>
      <name val="Trebuchet MS"/>
      <family val="2"/>
    </font>
    <font>
      <i/>
      <sz val="9"/>
      <name val="Trebuchet MS"/>
      <family val="2"/>
    </font>
    <font>
      <i/>
      <sz val="10"/>
      <name val="Arial"/>
      <family val="2"/>
    </font>
    <font>
      <vertAlign val="superscript"/>
      <sz val="12"/>
      <name val="Trebuchet MS"/>
      <family val="2"/>
    </font>
    <font>
      <sz val="10"/>
      <color indexed="22"/>
      <name val="Trebuchet MS"/>
      <family val="2"/>
    </font>
    <font>
      <b/>
      <sz val="18"/>
      <color indexed="8"/>
      <name val="Trebuchet MS"/>
      <family val="2"/>
    </font>
    <font>
      <b/>
      <vertAlign val="subscript"/>
      <sz val="10"/>
      <name val="Trebuchet MS"/>
      <family val="2"/>
    </font>
    <font>
      <b/>
      <sz val="11"/>
      <name val="Trebuchet MS"/>
      <family val="2"/>
    </font>
    <font>
      <i/>
      <u/>
      <sz val="10"/>
      <name val="Trebuchet MS"/>
      <family val="2"/>
    </font>
    <font>
      <vertAlign val="superscript"/>
      <sz val="10"/>
      <name val="Arial"/>
      <family val="2"/>
    </font>
    <font>
      <b/>
      <i/>
      <sz val="10"/>
      <color indexed="8"/>
      <name val="Trebuchet MS"/>
      <family val="2"/>
    </font>
    <font>
      <sz val="10"/>
      <color indexed="60"/>
      <name val="Trebuchet MS"/>
      <family val="2"/>
    </font>
    <font>
      <sz val="12"/>
      <name val="Arial"/>
      <family val="2"/>
    </font>
    <font>
      <b/>
      <sz val="12"/>
      <color indexed="8"/>
      <name val="Trebuchet MS"/>
      <family val="2"/>
    </font>
    <font>
      <sz val="12"/>
      <color indexed="8"/>
      <name val="Trebuchet MS"/>
      <family val="2"/>
    </font>
    <font>
      <b/>
      <i/>
      <sz val="12"/>
      <name val="Trebuchet MS"/>
      <family val="2"/>
    </font>
    <font>
      <sz val="11"/>
      <color indexed="9"/>
      <name val="Trebuchet MS"/>
      <family val="2"/>
    </font>
    <font>
      <b/>
      <sz val="10"/>
      <color indexed="10"/>
      <name val="Trebuchet MS"/>
      <family val="2"/>
    </font>
    <font>
      <vertAlign val="superscript"/>
      <sz val="10"/>
      <color indexed="8"/>
      <name val="Trebuchet MS"/>
      <family val="2"/>
    </font>
    <font>
      <sz val="10"/>
      <name val="Arial"/>
      <family val="2"/>
    </font>
    <font>
      <vertAlign val="superscript"/>
      <sz val="12"/>
      <color indexed="8"/>
      <name val="Trebuchet MS"/>
      <family val="2"/>
    </font>
    <font>
      <sz val="11"/>
      <color indexed="8"/>
      <name val="Trebuchet MS"/>
      <family val="2"/>
    </font>
    <font>
      <i/>
      <sz val="11"/>
      <color indexed="8"/>
      <name val="Trebuchet MS"/>
      <family val="2"/>
    </font>
    <font>
      <sz val="14"/>
      <color indexed="8"/>
      <name val="Trebuchet MS"/>
      <family val="2"/>
    </font>
    <font>
      <b/>
      <sz val="11"/>
      <color indexed="8"/>
      <name val="Trebuchet MS"/>
      <family val="2"/>
    </font>
    <font>
      <b/>
      <sz val="10"/>
      <color indexed="47"/>
      <name val="Trebuchet MS"/>
      <family val="2"/>
    </font>
    <font>
      <sz val="12"/>
      <color indexed="8"/>
      <name val="Calibri"/>
      <family val="2"/>
    </font>
    <font>
      <vertAlign val="superscript"/>
      <sz val="12"/>
      <color indexed="8"/>
      <name val="Calibri"/>
      <family val="2"/>
    </font>
    <font>
      <b/>
      <vertAlign val="subscript"/>
      <sz val="12"/>
      <color indexed="8"/>
      <name val="Trebuchet MS"/>
      <family val="2"/>
    </font>
    <font>
      <b/>
      <vertAlign val="superscript"/>
      <sz val="12"/>
      <color indexed="8"/>
      <name val="Trebuchet MS"/>
      <family val="2"/>
    </font>
    <font>
      <vertAlign val="subscript"/>
      <sz val="12"/>
      <color indexed="8"/>
      <name val="Trebuchet MS"/>
      <family val="2"/>
    </font>
    <font>
      <sz val="16"/>
      <name val="Trebuchet MS"/>
      <family val="2"/>
    </font>
    <font>
      <sz val="10"/>
      <color indexed="8"/>
      <name val="Trebuchet MS"/>
      <family val="2"/>
    </font>
    <font>
      <b/>
      <sz val="10"/>
      <color indexed="8"/>
      <name val="Trebuchet MS"/>
      <family val="2"/>
    </font>
    <font>
      <sz val="10"/>
      <color indexed="8"/>
      <name val="Arial"/>
      <family val="2"/>
    </font>
    <font>
      <u/>
      <sz val="10"/>
      <color indexed="12"/>
      <name val="Arial"/>
      <family val="2"/>
    </font>
    <font>
      <sz val="12"/>
      <name val="Times New Roman"/>
      <family val="1"/>
    </font>
    <font>
      <sz val="10"/>
      <color indexed="63"/>
      <name val="Trebuchet MS"/>
      <family val="2"/>
    </font>
    <font>
      <b/>
      <sz val="10"/>
      <color indexed="63"/>
      <name val="Trebuchet MS"/>
      <family val="2"/>
    </font>
    <font>
      <u/>
      <sz val="10"/>
      <color indexed="8"/>
      <name val="Trebuchet MS"/>
      <family val="2"/>
    </font>
    <font>
      <i/>
      <sz val="9.5"/>
      <name val="Trebuchet MS"/>
      <family val="2"/>
    </font>
    <font>
      <sz val="9.8000000000000007"/>
      <name val="Trebuchet MS"/>
      <family val="2"/>
    </font>
    <font>
      <sz val="11"/>
      <name val="Calibri"/>
      <family val="2"/>
    </font>
    <font>
      <sz val="9.5"/>
      <name val="Trebuchet MS"/>
      <family val="2"/>
    </font>
    <font>
      <i/>
      <sz val="8"/>
      <name val="Trebuchet MS"/>
      <family val="2"/>
    </font>
    <font>
      <sz val="11"/>
      <color theme="1"/>
      <name val="Calibri"/>
      <family val="2"/>
      <scheme val="minor"/>
    </font>
    <font>
      <sz val="10"/>
      <color rgb="FFFF0000"/>
      <name val="Trebuchet MS"/>
      <family val="2"/>
    </font>
    <font>
      <sz val="10"/>
      <color theme="0" tint="-4.9989318521683403E-2"/>
      <name val="Trebuchet MS"/>
      <family val="2"/>
    </font>
    <font>
      <sz val="10"/>
      <color theme="0" tint="-0.249977111117893"/>
      <name val="Trebuchet MS"/>
      <family val="2"/>
    </font>
    <font>
      <sz val="10"/>
      <name val="Calibri"/>
      <family val="2"/>
    </font>
    <font>
      <sz val="11"/>
      <color indexed="22"/>
      <name val="Trebuchet MS"/>
      <family val="2"/>
    </font>
    <font>
      <sz val="10"/>
      <color theme="1"/>
      <name val="Trebuchet MS"/>
      <family val="2"/>
    </font>
    <font>
      <i/>
      <sz val="8"/>
      <color theme="9" tint="-0.249977111117893"/>
      <name val="Trebuchet MS"/>
      <family val="2"/>
    </font>
    <font>
      <i/>
      <sz val="10"/>
      <color theme="9" tint="-0.249977111117893"/>
      <name val="Trebuchet MS"/>
      <family val="2"/>
    </font>
    <font>
      <sz val="10"/>
      <color theme="9" tint="-0.249977111117893"/>
      <name val="Trebuchet MS"/>
      <family val="2"/>
    </font>
    <font>
      <b/>
      <i/>
      <sz val="9"/>
      <name val="Trebuchet MS"/>
      <family val="2"/>
    </font>
    <font>
      <b/>
      <i/>
      <sz val="8"/>
      <color theme="9" tint="-0.249977111117893"/>
      <name val="Trebuchet MS"/>
      <family val="2"/>
    </font>
    <font>
      <b/>
      <i/>
      <sz val="10"/>
      <color rgb="FFFF0000"/>
      <name val="Trebuchet MS"/>
      <family val="2"/>
    </font>
    <font>
      <u/>
      <sz val="10"/>
      <name val="Trebuchet MS"/>
      <family val="2"/>
    </font>
    <font>
      <sz val="8"/>
      <color rgb="FFFF0000"/>
      <name val="Trebuchet MS"/>
      <family val="2"/>
    </font>
    <font>
      <i/>
      <sz val="11"/>
      <name val="Trebuchet MS"/>
      <family val="2"/>
    </font>
    <font>
      <sz val="9"/>
      <color indexed="8"/>
      <name val="Trebuchet MS"/>
      <family val="2"/>
    </font>
    <font>
      <b/>
      <sz val="12"/>
      <name val="Arial"/>
      <family val="2"/>
    </font>
    <font>
      <b/>
      <u/>
      <sz val="10"/>
      <name val="Trebuchet MS"/>
      <family val="2"/>
    </font>
    <font>
      <sz val="10"/>
      <color theme="0"/>
      <name val="Trebuchet MS"/>
      <family val="2"/>
    </font>
    <font>
      <b/>
      <sz val="10"/>
      <color theme="0"/>
      <name val="Trebuchet MS"/>
      <family val="2"/>
    </font>
    <font>
      <i/>
      <sz val="10"/>
      <color rgb="FFFF0000"/>
      <name val="Trebuchet MS"/>
      <family val="2"/>
    </font>
    <font>
      <sz val="10"/>
      <color theme="1"/>
      <name val="Calibri"/>
      <family val="2"/>
      <scheme val="minor"/>
    </font>
    <font>
      <b/>
      <sz val="10"/>
      <color theme="1"/>
      <name val="Calibri"/>
      <family val="2"/>
      <scheme val="minor"/>
    </font>
    <font>
      <i/>
      <sz val="9"/>
      <color rgb="FFFF0000"/>
      <name val="Trebuchet MS"/>
      <family val="2"/>
    </font>
    <font>
      <sz val="14"/>
      <name val="Calibri"/>
      <family val="2"/>
      <scheme val="minor"/>
    </font>
    <font>
      <b/>
      <sz val="10"/>
      <color rgb="FFFF0000"/>
      <name val="Trebuchet MS"/>
      <family val="2"/>
    </font>
    <font>
      <sz val="10"/>
      <color rgb="FFFF0000"/>
      <name val="Arial"/>
      <family val="2"/>
    </font>
    <font>
      <sz val="12"/>
      <color rgb="FF000000"/>
      <name val="Trebuchet MS"/>
      <family val="2"/>
    </font>
    <font>
      <sz val="12"/>
      <color rgb="FF000000"/>
      <name val="Calibri"/>
      <family val="2"/>
    </font>
    <font>
      <b/>
      <sz val="8"/>
      <color rgb="FFFF0000"/>
      <name val="Trebuchet MS"/>
      <family val="2"/>
    </font>
    <font>
      <b/>
      <sz val="9"/>
      <color rgb="FFFF0000"/>
      <name val="Trebuchet MS"/>
      <family val="2"/>
    </font>
    <font>
      <sz val="18"/>
      <name val="Trebuchet MS"/>
      <family val="2"/>
    </font>
    <font>
      <b/>
      <u/>
      <sz val="10"/>
      <color rgb="FFFF0000"/>
      <name val="Trebuchet MS"/>
      <family val="2"/>
    </font>
    <font>
      <b/>
      <i/>
      <sz val="8"/>
      <color rgb="FFFF0000"/>
      <name val="Trebuchet MS"/>
      <family val="2"/>
    </font>
    <font>
      <strike/>
      <sz val="10"/>
      <color indexed="10"/>
      <name val="Trebuchet MS"/>
      <family val="2"/>
    </font>
    <font>
      <u/>
      <sz val="10"/>
      <color rgb="FF000000"/>
      <name val="Trebuchet MS"/>
      <family val="2"/>
    </font>
    <font>
      <sz val="8"/>
      <color indexed="8"/>
      <name val="Trebuchet MS"/>
      <family val="2"/>
    </font>
    <font>
      <sz val="10"/>
      <color rgb="FF000000"/>
      <name val="Trebuchet MS"/>
      <family val="2"/>
    </font>
    <font>
      <sz val="12"/>
      <color rgb="FFFF0000"/>
      <name val="Trebuchet MS"/>
      <family val="2"/>
    </font>
    <font>
      <b/>
      <sz val="12"/>
      <color rgb="FFFF0000"/>
      <name val="Trebuchet MS"/>
      <family val="2"/>
    </font>
    <font>
      <vertAlign val="superscript"/>
      <sz val="9"/>
      <name val="Trebuchet MS"/>
      <family val="2"/>
    </font>
    <font>
      <sz val="9"/>
      <name val="AmerType Md BT"/>
      <family val="1"/>
    </font>
    <font>
      <b/>
      <u/>
      <sz val="9"/>
      <color rgb="FFFF0000"/>
      <name val="Trebuchet MS"/>
      <family val="2"/>
    </font>
    <font>
      <strike/>
      <sz val="10"/>
      <name val="Trebuchet MS"/>
      <family val="2"/>
    </font>
    <font>
      <b/>
      <sz val="11"/>
      <color theme="1"/>
      <name val="Calibri"/>
      <family val="2"/>
      <scheme val="minor"/>
    </font>
    <font>
      <sz val="10"/>
      <color theme="1"/>
      <name val="Arial"/>
      <family val="2"/>
    </font>
    <font>
      <b/>
      <i/>
      <sz val="10"/>
      <color rgb="FFFF0000"/>
      <name val="Arial"/>
      <family val="2"/>
    </font>
    <font>
      <b/>
      <sz val="9"/>
      <name val="Trebuchet MS"/>
      <family val="2"/>
    </font>
    <font>
      <b/>
      <sz val="14"/>
      <name val="Calibri"/>
      <family val="2"/>
    </font>
    <font>
      <b/>
      <i/>
      <sz val="8"/>
      <name val="Trebuchet MS"/>
      <family val="2"/>
    </font>
    <font>
      <sz val="9"/>
      <color theme="1"/>
      <name val="Trebuchet MS"/>
      <family val="2"/>
    </font>
    <font>
      <b/>
      <i/>
      <sz val="8"/>
      <color rgb="FFFF0000"/>
      <name val="Arial"/>
      <family val="2"/>
    </font>
    <font>
      <b/>
      <sz val="10"/>
      <color theme="1"/>
      <name val="Trebuchet MS"/>
      <family val="2"/>
    </font>
    <font>
      <b/>
      <i/>
      <u/>
      <sz val="10"/>
      <color theme="1"/>
      <name val="Trebuchet MS"/>
      <family val="2"/>
    </font>
    <font>
      <b/>
      <i/>
      <u/>
      <sz val="10"/>
      <color rgb="FFFF0000"/>
      <name val="Trebuchet MS"/>
      <family val="2"/>
    </font>
    <font>
      <u/>
      <sz val="10"/>
      <color theme="1"/>
      <name val="Trebuchet MS"/>
      <family val="2"/>
    </font>
    <font>
      <b/>
      <sz val="12"/>
      <color theme="1"/>
      <name val="Trebuchet MS"/>
      <family val="2"/>
    </font>
    <font>
      <sz val="10"/>
      <color rgb="FFFFC000"/>
      <name val="Trebuchet MS"/>
      <family val="2"/>
    </font>
    <font>
      <sz val="12"/>
      <color theme="1"/>
      <name val="Trebuchet MS"/>
      <family val="2"/>
    </font>
    <font>
      <sz val="10"/>
      <color rgb="FF99CCFF"/>
      <name val="Trebuchet MS"/>
      <family val="2"/>
    </font>
    <font>
      <i/>
      <sz val="11"/>
      <color theme="1"/>
      <name val="Calibri"/>
      <family val="2"/>
      <scheme val="minor"/>
    </font>
    <font>
      <b/>
      <sz val="11"/>
      <color rgb="FFFF0000"/>
      <name val="Calibri"/>
      <family val="2"/>
      <scheme val="minor"/>
    </font>
    <font>
      <b/>
      <sz val="10"/>
      <color rgb="FFFF0000"/>
      <name val="Arial"/>
      <family val="2"/>
    </font>
    <font>
      <b/>
      <i/>
      <u/>
      <sz val="10"/>
      <color rgb="FFFF0000"/>
      <name val="Arial"/>
      <family val="2"/>
    </font>
    <font>
      <i/>
      <sz val="9.5"/>
      <color rgb="FFFF0000"/>
      <name val="Trebuchet MS"/>
      <family val="2"/>
    </font>
    <font>
      <sz val="10"/>
      <color rgb="FFFFFF00"/>
      <name val="Trebuchet MS"/>
      <family val="2"/>
    </font>
    <font>
      <b/>
      <sz val="12"/>
      <color rgb="FFFF0000"/>
      <name val="Calibri"/>
      <family val="2"/>
      <scheme val="minor"/>
    </font>
    <font>
      <b/>
      <vertAlign val="subscript"/>
      <sz val="11"/>
      <name val="Trebuchet MS"/>
      <family val="2"/>
    </font>
    <font>
      <b/>
      <sz val="11"/>
      <color theme="1"/>
      <name val="Trebuchet MS"/>
      <family val="2"/>
    </font>
    <font>
      <sz val="9"/>
      <color rgb="FFFF0000"/>
      <name val="Arial"/>
      <family val="2"/>
    </font>
    <font>
      <i/>
      <u/>
      <sz val="8"/>
      <name val="Trebuchet MS"/>
      <family val="2"/>
    </font>
    <font>
      <sz val="12"/>
      <color indexed="9"/>
      <name val="Trebuchet MS"/>
      <family val="2"/>
    </font>
    <font>
      <i/>
      <sz val="12"/>
      <color rgb="FFFF0000"/>
      <name val="Trebuchet MS"/>
      <family val="2"/>
    </font>
    <font>
      <i/>
      <sz val="8"/>
      <color rgb="FFFF0000"/>
      <name val="Trebuchet MS"/>
      <family val="2"/>
    </font>
    <font>
      <vertAlign val="superscript"/>
      <sz val="11"/>
      <color indexed="8"/>
      <name val="Trebuchet MS"/>
      <family val="2"/>
    </font>
    <font>
      <vertAlign val="superscript"/>
      <sz val="12"/>
      <color rgb="FF000000"/>
      <name val="Trebuchet MS"/>
      <family val="2"/>
    </font>
    <font>
      <b/>
      <sz val="16"/>
      <color rgb="FFFF0000"/>
      <name val="Trebuchet MS"/>
      <family val="2"/>
    </font>
    <font>
      <sz val="11"/>
      <color rgb="FFFF0000"/>
      <name val="Calibri"/>
      <family val="2"/>
      <scheme val="minor"/>
    </font>
    <font>
      <sz val="8.5"/>
      <name val="Trebuchet MS"/>
      <family val="2"/>
    </font>
    <font>
      <b/>
      <sz val="8"/>
      <name val="Trebuchet MS"/>
      <family val="2"/>
    </font>
    <font>
      <sz val="9"/>
      <color rgb="FF000000"/>
      <name val="Trebuchet MS"/>
      <family val="2"/>
    </font>
    <font>
      <sz val="8"/>
      <color rgb="FF000000"/>
      <name val="Trebuchet MS"/>
      <family val="2"/>
    </font>
    <font>
      <sz val="14"/>
      <name val="Aptos Narrow"/>
      <family val="2"/>
    </font>
    <font>
      <sz val="8"/>
      <color rgb="FF000000"/>
      <name val="Tahoma"/>
      <family val="2"/>
    </font>
    <font>
      <sz val="8"/>
      <color rgb="FF000000"/>
      <name val="Segoe UI"/>
      <family val="2"/>
    </font>
  </fonts>
  <fills count="2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9" tint="0.59999389629810485"/>
        <bgColor indexed="64"/>
      </patternFill>
    </fill>
    <fill>
      <patternFill patternType="solid">
        <fgColor rgb="FFFFFF99"/>
        <bgColor indexed="64"/>
      </patternFill>
    </fill>
    <fill>
      <patternFill patternType="solid">
        <fgColor rgb="FFCEE5ED"/>
        <bgColor indexed="64"/>
      </patternFill>
    </fill>
    <fill>
      <patternFill patternType="solid">
        <fgColor theme="8" tint="0.79998168889431442"/>
        <bgColor indexed="64"/>
      </patternFill>
    </fill>
    <fill>
      <patternFill patternType="solid">
        <fgColor theme="0"/>
        <bgColor indexed="64"/>
      </patternFill>
    </fill>
    <fill>
      <patternFill patternType="solid">
        <fgColor rgb="FFCFE5E9"/>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FF66FF"/>
        <bgColor indexed="64"/>
      </patternFill>
    </fill>
    <fill>
      <patternFill patternType="solid">
        <fgColor rgb="FFFFCCFF"/>
        <bgColor indexed="64"/>
      </patternFill>
    </fill>
    <fill>
      <patternFill patternType="solid">
        <fgColor rgb="FF66FF33"/>
        <bgColor indexed="64"/>
      </patternFill>
    </fill>
    <fill>
      <patternFill patternType="solid">
        <fgColor rgb="FFCCECFF"/>
        <bgColor indexed="64"/>
      </patternFill>
    </fill>
    <fill>
      <patternFill patternType="solid">
        <fgColor rgb="FF00FF00"/>
        <bgColor indexed="64"/>
      </patternFill>
    </fill>
    <fill>
      <patternFill patternType="solid">
        <fgColor rgb="FF92D050"/>
        <bgColor indexed="64"/>
      </patternFill>
    </fill>
    <fill>
      <patternFill patternType="solid">
        <fgColor rgb="FFFF99FF"/>
        <bgColor indexed="64"/>
      </patternFill>
    </fill>
  </fills>
  <borders count="91">
    <border>
      <left/>
      <right/>
      <top/>
      <bottom/>
      <diagonal/>
    </border>
    <border>
      <left/>
      <right style="medium">
        <color indexed="64"/>
      </right>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tted">
        <color rgb="FFFF0000"/>
      </top>
      <bottom/>
      <diagonal/>
    </border>
    <border>
      <left/>
      <right/>
      <top/>
      <bottom style="dotted">
        <color rgb="FFFF0000"/>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DashDot">
        <color indexed="64"/>
      </right>
      <top style="thin">
        <color indexed="64"/>
      </top>
      <bottom style="thin">
        <color indexed="64"/>
      </bottom>
      <diagonal/>
    </border>
    <border>
      <left style="mediumDashDot">
        <color indexed="64"/>
      </left>
      <right style="thin">
        <color indexed="64"/>
      </right>
      <top style="thin">
        <color indexed="64"/>
      </top>
      <bottom style="thin">
        <color indexed="64"/>
      </bottom>
      <diagonal/>
    </border>
    <border>
      <left style="medium">
        <color indexed="64"/>
      </left>
      <right/>
      <top style="dashDot">
        <color rgb="FFFF0000"/>
      </top>
      <bottom/>
      <diagonal/>
    </border>
    <border>
      <left/>
      <right/>
      <top style="dashDot">
        <color rgb="FFFF0000"/>
      </top>
      <bottom/>
      <diagonal/>
    </border>
    <border>
      <left/>
      <right style="medium">
        <color indexed="64"/>
      </right>
      <top style="dashDot">
        <color rgb="FFFF0000"/>
      </top>
      <bottom/>
      <diagonal/>
    </border>
    <border>
      <left/>
      <right/>
      <top/>
      <bottom style="dashDot">
        <color rgb="FFFF0000"/>
      </bottom>
      <diagonal/>
    </border>
    <border>
      <left style="hair">
        <color theme="0"/>
      </left>
      <right style="hair">
        <color theme="0"/>
      </right>
      <top style="hair">
        <color theme="0"/>
      </top>
      <bottom style="hair">
        <color theme="0"/>
      </bottom>
      <diagonal/>
    </border>
    <border>
      <left style="medium">
        <color indexed="64"/>
      </left>
      <right/>
      <top style="dotted">
        <color rgb="FFFF0000"/>
      </top>
      <bottom/>
      <diagonal/>
    </border>
    <border>
      <left/>
      <right style="medium">
        <color indexed="64"/>
      </right>
      <top style="dotted">
        <color rgb="FFFF0000"/>
      </top>
      <bottom/>
      <diagonal/>
    </border>
    <border>
      <left style="medium">
        <color indexed="64"/>
      </left>
      <right/>
      <top/>
      <bottom style="dotted">
        <color rgb="FFFF0000"/>
      </bottom>
      <diagonal/>
    </border>
    <border>
      <left/>
      <right style="medium">
        <color indexed="64"/>
      </right>
      <top/>
      <bottom style="dotted">
        <color rgb="FFFF0000"/>
      </bottom>
      <diagonal/>
    </border>
  </borders>
  <cellStyleXfs count="303">
    <xf numFmtId="0" fontId="0" fillId="0" borderId="0"/>
    <xf numFmtId="172" fontId="12" fillId="0" borderId="0" applyFont="0" applyFill="0" applyBorder="0" applyAlignment="0" applyProtection="0"/>
    <xf numFmtId="172" fontId="24" fillId="0" borderId="0" applyFont="0" applyFill="0" applyBorder="0" applyAlignment="0" applyProtection="0"/>
    <xf numFmtId="172" fontId="12" fillId="0" borderId="0" applyFont="0" applyFill="0" applyBorder="0" applyAlignment="0" applyProtection="0"/>
    <xf numFmtId="172" fontId="24" fillId="0" borderId="0" applyFont="0" applyFill="0" applyBorder="0" applyAlignment="0" applyProtection="0"/>
    <xf numFmtId="172" fontId="12" fillId="0" borderId="0" applyFont="0" applyFill="0" applyBorder="0" applyAlignment="0" applyProtection="0"/>
    <xf numFmtId="172" fontId="24" fillId="0" borderId="0" applyFont="0" applyFill="0" applyBorder="0" applyAlignment="0" applyProtection="0"/>
    <xf numFmtId="172" fontId="12" fillId="0" borderId="0" applyFont="0" applyFill="0" applyBorder="0" applyAlignment="0" applyProtection="0"/>
    <xf numFmtId="0" fontId="86" fillId="0" borderId="0" applyNumberFormat="0" applyFill="0" applyBorder="0" applyAlignment="0" applyProtection="0">
      <alignment vertical="top"/>
      <protection locked="0"/>
    </xf>
    <xf numFmtId="0" fontId="29" fillId="0" borderId="0"/>
    <xf numFmtId="0" fontId="24" fillId="0" borderId="0"/>
    <xf numFmtId="0" fontId="29" fillId="0" borderId="0"/>
    <xf numFmtId="0" fontId="11" fillId="0" borderId="0"/>
    <xf numFmtId="0" fontId="10" fillId="0" borderId="0"/>
    <xf numFmtId="0" fontId="11" fillId="0" borderId="0"/>
    <xf numFmtId="0" fontId="10" fillId="0" borderId="0"/>
    <xf numFmtId="0" fontId="10" fillId="0" borderId="0"/>
    <xf numFmtId="0" fontId="29" fillId="0" borderId="0"/>
    <xf numFmtId="0" fontId="11" fillId="0" borderId="0"/>
    <xf numFmtId="0" fontId="10" fillId="0" borderId="0"/>
    <xf numFmtId="0" fontId="11"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29" fillId="0" borderId="0"/>
    <xf numFmtId="0" fontId="11" fillId="0" borderId="0"/>
    <xf numFmtId="0" fontId="10" fillId="0" borderId="0"/>
    <xf numFmtId="0" fontId="11" fillId="0" borderId="0"/>
    <xf numFmtId="0" fontId="10" fillId="0" borderId="0"/>
    <xf numFmtId="0" fontId="10" fillId="0" borderId="0"/>
    <xf numFmtId="0" fontId="24" fillId="0" borderId="0"/>
    <xf numFmtId="0" fontId="12" fillId="0" borderId="0"/>
    <xf numFmtId="0" fontId="11" fillId="0" borderId="0"/>
    <xf numFmtId="0" fontId="11" fillId="0" borderId="0"/>
    <xf numFmtId="0" fontId="10" fillId="0" borderId="0"/>
    <xf numFmtId="0" fontId="10" fillId="0" borderId="0"/>
    <xf numFmtId="0" fontId="11" fillId="0" borderId="0"/>
    <xf numFmtId="0" fontId="10" fillId="0" borderId="0"/>
    <xf numFmtId="0" fontId="70" fillId="0" borderId="0"/>
    <xf numFmtId="0" fontId="12" fillId="0" borderId="0"/>
    <xf numFmtId="0" fontId="12" fillId="0" borderId="0"/>
    <xf numFmtId="0" fontId="10" fillId="0" borderId="0"/>
    <xf numFmtId="0" fontId="96" fillId="0" borderId="0"/>
    <xf numFmtId="0" fontId="96" fillId="0" borderId="0"/>
    <xf numFmtId="0" fontId="96" fillId="0" borderId="0"/>
    <xf numFmtId="0" fontId="96" fillId="0" borderId="0"/>
    <xf numFmtId="0" fontId="96" fillId="0" borderId="0"/>
    <xf numFmtId="0" fontId="24" fillId="0" borderId="0"/>
    <xf numFmtId="0" fontId="12" fillId="0" borderId="0"/>
    <xf numFmtId="0" fontId="12" fillId="0" borderId="0"/>
    <xf numFmtId="0" fontId="12" fillId="0" borderId="0"/>
    <xf numFmtId="0" fontId="12" fillId="0" borderId="0"/>
    <xf numFmtId="0" fontId="1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1" fillId="0" borderId="0"/>
  </cellStyleXfs>
  <cellXfs count="4153">
    <xf numFmtId="0" fontId="0" fillId="0" borderId="0" xfId="0"/>
    <xf numFmtId="0" fontId="14" fillId="0" borderId="0" xfId="0" applyFont="1"/>
    <xf numFmtId="0" fontId="14" fillId="0" borderId="1" xfId="0" applyFont="1" applyBorder="1"/>
    <xf numFmtId="0" fontId="14" fillId="0" borderId="0" xfId="0" applyFont="1" applyAlignment="1">
      <alignment vertical="center"/>
    </xf>
    <xf numFmtId="0" fontId="14" fillId="0" borderId="0" xfId="0" applyFont="1" applyAlignment="1">
      <alignment horizontal="center" vertical="center"/>
    </xf>
    <xf numFmtId="0" fontId="15" fillId="0" borderId="0" xfId="0" applyFont="1" applyAlignment="1">
      <alignment vertical="center"/>
    </xf>
    <xf numFmtId="0" fontId="14" fillId="0" borderId="0" xfId="0" applyFont="1" applyAlignment="1">
      <alignment horizontal="center"/>
    </xf>
    <xf numFmtId="0" fontId="15" fillId="0" borderId="0" xfId="0" applyFont="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center" vertical="center"/>
    </xf>
    <xf numFmtId="0" fontId="14" fillId="0" borderId="0" xfId="0" applyFont="1" applyAlignment="1">
      <alignment horizontal="left" vertical="center" wrapText="1"/>
    </xf>
    <xf numFmtId="0" fontId="14" fillId="0" borderId="2" xfId="0" applyFont="1" applyBorder="1"/>
    <xf numFmtId="0" fontId="19" fillId="0" borderId="0" xfId="0" applyFont="1"/>
    <xf numFmtId="0" fontId="20" fillId="0" borderId="0" xfId="0" applyFont="1" applyAlignment="1">
      <alignment horizontal="center"/>
    </xf>
    <xf numFmtId="164" fontId="14" fillId="0" borderId="0" xfId="0" applyNumberFormat="1" applyFont="1" applyAlignment="1">
      <alignment horizontal="center" vertical="center"/>
    </xf>
    <xf numFmtId="0" fontId="14" fillId="0" borderId="0" xfId="0" applyFont="1" applyAlignment="1">
      <alignment horizontal="left" wrapText="1"/>
    </xf>
    <xf numFmtId="0" fontId="16" fillId="0" borderId="0" xfId="0" applyFont="1" applyAlignment="1">
      <alignment horizontal="left" vertical="center"/>
    </xf>
    <xf numFmtId="2" fontId="14" fillId="0" borderId="0" xfId="0" applyNumberFormat="1" applyFont="1" applyAlignment="1">
      <alignment horizontal="center" vertical="center"/>
    </xf>
    <xf numFmtId="0" fontId="14" fillId="0" borderId="0" xfId="0" applyFont="1" applyAlignment="1">
      <alignment horizontal="left"/>
    </xf>
    <xf numFmtId="165" fontId="14" fillId="0" borderId="0" xfId="0" applyNumberFormat="1" applyFont="1" applyAlignment="1">
      <alignment horizontal="center" vertical="center"/>
    </xf>
    <xf numFmtId="165" fontId="14" fillId="0" borderId="0" xfId="0" applyNumberFormat="1" applyFont="1" applyAlignment="1">
      <alignment horizontal="center"/>
    </xf>
    <xf numFmtId="2" fontId="14" fillId="0" borderId="0" xfId="0" applyNumberFormat="1" applyFont="1" applyAlignment="1">
      <alignment horizontal="center"/>
    </xf>
    <xf numFmtId="49" fontId="14" fillId="0" borderId="0" xfId="0" applyNumberFormat="1" applyFont="1" applyAlignment="1">
      <alignment horizontal="left"/>
    </xf>
    <xf numFmtId="165" fontId="14" fillId="0" borderId="0" xfId="0" applyNumberFormat="1" applyFont="1"/>
    <xf numFmtId="0" fontId="14" fillId="0" borderId="0" xfId="0" applyFont="1" applyAlignment="1">
      <alignment horizontal="right" vertical="center"/>
    </xf>
    <xf numFmtId="0" fontId="14" fillId="0" borderId="4" xfId="0" applyFont="1" applyBorder="1"/>
    <xf numFmtId="0" fontId="15" fillId="0" borderId="0" xfId="0" applyFont="1" applyAlignment="1">
      <alignment horizontal="left" vertical="center" wrapText="1"/>
    </xf>
    <xf numFmtId="2" fontId="16" fillId="0" borderId="0" xfId="0" applyNumberFormat="1" applyFont="1" applyAlignment="1">
      <alignment horizontal="center" vertical="center"/>
    </xf>
    <xf numFmtId="0" fontId="14" fillId="0" borderId="0" xfId="0" applyFont="1" applyAlignment="1">
      <alignment horizontal="center" vertical="center" wrapText="1"/>
    </xf>
    <xf numFmtId="0" fontId="15" fillId="0" borderId="0" xfId="0" applyFont="1"/>
    <xf numFmtId="0" fontId="16" fillId="0" borderId="0" xfId="0" applyFont="1" applyAlignment="1">
      <alignment horizontal="center" vertical="center"/>
    </xf>
    <xf numFmtId="1" fontId="16" fillId="0" borderId="0" xfId="0" applyNumberFormat="1" applyFont="1" applyAlignment="1">
      <alignment horizontal="center" vertical="center"/>
    </xf>
    <xf numFmtId="165" fontId="16" fillId="0" borderId="0" xfId="0" applyNumberFormat="1" applyFont="1" applyAlignment="1">
      <alignment horizontal="center" vertical="center"/>
    </xf>
    <xf numFmtId="168" fontId="16" fillId="0" borderId="0" xfId="0" applyNumberFormat="1" applyFont="1" applyAlignment="1">
      <alignment horizontal="center" vertical="center"/>
    </xf>
    <xf numFmtId="1" fontId="14" fillId="0" borderId="0" xfId="0" applyNumberFormat="1" applyFont="1" applyAlignment="1">
      <alignment horizontal="left" vertical="center"/>
    </xf>
    <xf numFmtId="0" fontId="16" fillId="0" borderId="0" xfId="0" applyFont="1" applyAlignment="1">
      <alignment horizontal="center"/>
    </xf>
    <xf numFmtId="0" fontId="15" fillId="0" borderId="0" xfId="0" applyFont="1" applyAlignment="1">
      <alignment horizontal="center"/>
    </xf>
    <xf numFmtId="0" fontId="14" fillId="0" borderId="9" xfId="0" applyFont="1" applyBorder="1"/>
    <xf numFmtId="0" fontId="14" fillId="0" borderId="4" xfId="0" applyFont="1" applyBorder="1" applyAlignment="1">
      <alignment horizontal="center" vertical="center"/>
    </xf>
    <xf numFmtId="0" fontId="16" fillId="0" borderId="4" xfId="0" applyFont="1" applyBorder="1" applyAlignment="1">
      <alignment horizontal="center" vertical="center"/>
    </xf>
    <xf numFmtId="0" fontId="14" fillId="0" borderId="7" xfId="0" applyFont="1" applyBorder="1" applyAlignment="1">
      <alignment horizontal="left" vertical="center"/>
    </xf>
    <xf numFmtId="0" fontId="14" fillId="0" borderId="9" xfId="0" applyFont="1" applyBorder="1" applyAlignment="1">
      <alignment horizontal="left" vertical="center"/>
    </xf>
    <xf numFmtId="0" fontId="30" fillId="0" borderId="0" xfId="0" applyFont="1"/>
    <xf numFmtId="0" fontId="14" fillId="0" borderId="0" xfId="0" quotePrefix="1" applyFont="1" applyAlignment="1">
      <alignment vertical="center"/>
    </xf>
    <xf numFmtId="2" fontId="27" fillId="0" borderId="0" xfId="0" applyNumberFormat="1" applyFont="1" applyAlignment="1">
      <alignment horizontal="center" vertical="center"/>
    </xf>
    <xf numFmtId="165" fontId="16" fillId="0" borderId="0" xfId="0" applyNumberFormat="1" applyFont="1" applyAlignment="1">
      <alignment horizontal="center" vertical="center" wrapText="1"/>
    </xf>
    <xf numFmtId="1" fontId="15" fillId="0" borderId="0" xfId="0" applyNumberFormat="1" applyFont="1" applyAlignment="1">
      <alignment horizontal="left" vertical="center"/>
    </xf>
    <xf numFmtId="0" fontId="14" fillId="0" borderId="6" xfId="0" applyFont="1" applyBorder="1"/>
    <xf numFmtId="16" fontId="20" fillId="0" borderId="0" xfId="0" quotePrefix="1" applyNumberFormat="1" applyFont="1" applyAlignment="1">
      <alignment horizontal="center"/>
    </xf>
    <xf numFmtId="0" fontId="20" fillId="0" borderId="0" xfId="0" quotePrefix="1" applyFont="1" applyAlignment="1">
      <alignment horizontal="center"/>
    </xf>
    <xf numFmtId="0" fontId="14" fillId="0" borderId="6" xfId="0" applyFont="1" applyBorder="1" applyAlignment="1">
      <alignment vertical="center"/>
    </xf>
    <xf numFmtId="164" fontId="16" fillId="0" borderId="0" xfId="0" applyNumberFormat="1" applyFont="1" applyAlignment="1">
      <alignment horizontal="center" vertical="center"/>
    </xf>
    <xf numFmtId="49" fontId="16" fillId="0" borderId="0" xfId="0" applyNumberFormat="1" applyFont="1" applyAlignment="1">
      <alignment horizontal="left" vertical="center" wrapText="1"/>
    </xf>
    <xf numFmtId="166" fontId="16" fillId="0" borderId="0" xfId="0" applyNumberFormat="1" applyFont="1" applyAlignment="1">
      <alignment horizontal="center" vertical="center"/>
    </xf>
    <xf numFmtId="0" fontId="20" fillId="0" borderId="0" xfId="0" applyFont="1" applyAlignment="1">
      <alignment horizontal="left" vertical="top"/>
    </xf>
    <xf numFmtId="0" fontId="14" fillId="0" borderId="0" xfId="0" quotePrefix="1" applyFont="1" applyAlignment="1">
      <alignment horizontal="center"/>
    </xf>
    <xf numFmtId="0" fontId="31" fillId="0" borderId="0" xfId="0" applyFont="1"/>
    <xf numFmtId="0" fontId="0" fillId="0" borderId="0" xfId="0" applyAlignment="1">
      <alignment vertical="center"/>
    </xf>
    <xf numFmtId="0" fontId="18" fillId="0" borderId="0" xfId="0" applyFont="1" applyAlignment="1">
      <alignment horizontal="center" vertical="center"/>
    </xf>
    <xf numFmtId="0" fontId="0" fillId="0" borderId="0" xfId="0" applyAlignment="1">
      <alignment horizontal="left" vertical="center"/>
    </xf>
    <xf numFmtId="1" fontId="14" fillId="0" borderId="0" xfId="0" applyNumberFormat="1" applyFont="1" applyAlignment="1">
      <alignment horizontal="center" vertical="center"/>
    </xf>
    <xf numFmtId="0" fontId="14" fillId="0" borderId="4" xfId="0" applyFont="1" applyBorder="1" applyAlignment="1">
      <alignment horizontal="left" vertical="center"/>
    </xf>
    <xf numFmtId="0" fontId="19" fillId="0" borderId="0" xfId="0" applyFont="1" applyAlignment="1">
      <alignment horizontal="center" vertical="center"/>
    </xf>
    <xf numFmtId="0" fontId="39" fillId="0" borderId="0" xfId="0" applyFont="1"/>
    <xf numFmtId="0" fontId="39" fillId="0" borderId="0" xfId="0" applyFont="1" applyAlignment="1">
      <alignment vertical="center"/>
    </xf>
    <xf numFmtId="0" fontId="40" fillId="0" borderId="0" xfId="0" applyFont="1"/>
    <xf numFmtId="1" fontId="19" fillId="0" borderId="0" xfId="0" applyNumberFormat="1" applyFont="1" applyAlignment="1">
      <alignment horizontal="center"/>
    </xf>
    <xf numFmtId="0" fontId="19" fillId="0" borderId="0" xfId="0" applyFont="1" applyAlignment="1">
      <alignment horizontal="left" vertical="center"/>
    </xf>
    <xf numFmtId="0" fontId="19" fillId="0" borderId="0" xfId="0" applyFont="1" applyAlignment="1">
      <alignment horizontal="left"/>
    </xf>
    <xf numFmtId="2" fontId="19" fillId="0" borderId="0" xfId="0" applyNumberFormat="1" applyFont="1"/>
    <xf numFmtId="0" fontId="19" fillId="0" borderId="0" xfId="0" applyFont="1" applyAlignment="1">
      <alignment horizontal="center"/>
    </xf>
    <xf numFmtId="49" fontId="14" fillId="0" borderId="0" xfId="0" applyNumberFormat="1" applyFont="1" applyAlignment="1">
      <alignment horizontal="left" vertical="center"/>
    </xf>
    <xf numFmtId="2" fontId="14" fillId="2" borderId="0" xfId="0" applyNumberFormat="1" applyFont="1" applyFill="1" applyAlignment="1">
      <alignment horizontal="center"/>
    </xf>
    <xf numFmtId="2" fontId="14" fillId="2" borderId="0" xfId="0" applyNumberFormat="1" applyFont="1" applyFill="1" applyAlignment="1">
      <alignment horizontal="center" vertical="center"/>
    </xf>
    <xf numFmtId="2" fontId="14" fillId="0" borderId="0" xfId="0" applyNumberFormat="1" applyFont="1"/>
    <xf numFmtId="167" fontId="14" fillId="0" borderId="0" xfId="0" applyNumberFormat="1" applyFont="1"/>
    <xf numFmtId="49" fontId="25" fillId="0" borderId="9" xfId="0" applyNumberFormat="1" applyFont="1" applyBorder="1" applyAlignment="1">
      <alignment horizontal="center" vertical="center" wrapText="1"/>
    </xf>
    <xf numFmtId="1" fontId="16" fillId="0" borderId="4" xfId="0" applyNumberFormat="1" applyFont="1" applyBorder="1" applyAlignment="1">
      <alignment horizontal="center" vertical="center"/>
    </xf>
    <xf numFmtId="0" fontId="14" fillId="0" borderId="4" xfId="0" applyFont="1" applyBorder="1" applyAlignment="1">
      <alignment vertical="center"/>
    </xf>
    <xf numFmtId="0" fontId="44" fillId="0" borderId="0" xfId="0" applyFont="1" applyAlignment="1">
      <alignment horizontal="center" vertical="center"/>
    </xf>
    <xf numFmtId="0" fontId="44" fillId="0" borderId="0" xfId="0" applyFont="1" applyAlignment="1">
      <alignment horizontal="left" vertical="center"/>
    </xf>
    <xf numFmtId="0" fontId="14" fillId="0" borderId="0" xfId="0" quotePrefix="1" applyFont="1"/>
    <xf numFmtId="0" fontId="31" fillId="0" borderId="9" xfId="0" applyFont="1" applyBorder="1"/>
    <xf numFmtId="0" fontId="14" fillId="0" borderId="0" xfId="0" quotePrefix="1" applyFont="1" applyAlignment="1">
      <alignment horizontal="right" vertical="center"/>
    </xf>
    <xf numFmtId="0" fontId="16" fillId="0" borderId="4" xfId="0" applyFont="1" applyBorder="1" applyAlignment="1">
      <alignment horizontal="center" vertical="center" wrapText="1"/>
    </xf>
    <xf numFmtId="0" fontId="14" fillId="0" borderId="9" xfId="0" applyFont="1" applyBorder="1" applyAlignment="1">
      <alignment vertical="center"/>
    </xf>
    <xf numFmtId="0" fontId="14" fillId="0" borderId="7" xfId="0" applyFont="1" applyBorder="1" applyAlignment="1">
      <alignment vertical="center"/>
    </xf>
    <xf numFmtId="0" fontId="14" fillId="0" borderId="7" xfId="0" applyFont="1" applyBorder="1" applyAlignment="1">
      <alignment horizontal="center" vertical="center"/>
    </xf>
    <xf numFmtId="0" fontId="16" fillId="0" borderId="9" xfId="0" applyFont="1" applyBorder="1" applyAlignment="1">
      <alignment horizontal="center" vertical="center"/>
    </xf>
    <xf numFmtId="165" fontId="16" fillId="0" borderId="4" xfId="0" applyNumberFormat="1" applyFont="1" applyBorder="1" applyAlignment="1">
      <alignment horizontal="center" vertical="center"/>
    </xf>
    <xf numFmtId="0" fontId="14" fillId="0" borderId="1" xfId="0" applyFont="1" applyBorder="1" applyAlignment="1">
      <alignment horizontal="left" vertical="center" wrapText="1"/>
    </xf>
    <xf numFmtId="0" fontId="16" fillId="0" borderId="9" xfId="0" applyFont="1" applyBorder="1" applyAlignment="1">
      <alignment horizontal="left" vertical="center"/>
    </xf>
    <xf numFmtId="0" fontId="14" fillId="0" borderId="9" xfId="0" applyFont="1" applyBorder="1" applyAlignment="1">
      <alignment horizontal="center" vertical="center" wrapText="1"/>
    </xf>
    <xf numFmtId="0" fontId="21" fillId="0" borderId="0" xfId="0" applyFont="1" applyAlignment="1">
      <alignment horizontal="left" vertical="center"/>
    </xf>
    <xf numFmtId="165" fontId="13" fillId="0" borderId="0" xfId="0" applyNumberFormat="1" applyFont="1" applyAlignment="1">
      <alignment horizontal="center" vertical="center"/>
    </xf>
    <xf numFmtId="165" fontId="16" fillId="0" borderId="0" xfId="0" applyNumberFormat="1" applyFont="1" applyAlignment="1">
      <alignment horizontal="center"/>
    </xf>
    <xf numFmtId="0" fontId="44" fillId="0" borderId="0" xfId="0" applyFont="1"/>
    <xf numFmtId="0" fontId="34" fillId="0" borderId="0" xfId="0" applyFont="1" applyAlignment="1">
      <alignment horizontal="center" vertical="center"/>
    </xf>
    <xf numFmtId="0" fontId="14" fillId="0" borderId="4" xfId="0" quotePrefix="1" applyFont="1" applyBorder="1" applyAlignment="1">
      <alignment horizontal="right" vertical="center"/>
    </xf>
    <xf numFmtId="165" fontId="16" fillId="0" borderId="4" xfId="0" applyNumberFormat="1" applyFont="1" applyBorder="1" applyAlignment="1">
      <alignment horizontal="center" vertical="center" wrapText="1"/>
    </xf>
    <xf numFmtId="0" fontId="16" fillId="0" borderId="4" xfId="0" applyFont="1" applyBorder="1" applyAlignment="1">
      <alignment horizontal="left" vertical="center" wrapText="1"/>
    </xf>
    <xf numFmtId="0" fontId="44" fillId="0" borderId="0" xfId="0" quotePrefix="1" applyFont="1" applyAlignment="1">
      <alignment horizontal="center" vertical="center"/>
    </xf>
    <xf numFmtId="0" fontId="44" fillId="0" borderId="0" xfId="0" applyFont="1" applyAlignment="1">
      <alignment vertical="center"/>
    </xf>
    <xf numFmtId="0" fontId="14" fillId="0" borderId="4" xfId="0" applyFont="1" applyBorder="1" applyAlignment="1">
      <alignment horizontal="right" vertical="center"/>
    </xf>
    <xf numFmtId="0" fontId="44" fillId="0" borderId="4" xfId="0" quotePrefix="1" applyFont="1" applyBorder="1" applyAlignment="1">
      <alignment horizontal="center" vertical="center"/>
    </xf>
    <xf numFmtId="0" fontId="44" fillId="0" borderId="4" xfId="0" applyFont="1" applyBorder="1" applyAlignment="1">
      <alignment horizontal="center" vertical="center"/>
    </xf>
    <xf numFmtId="0" fontId="44" fillId="0" borderId="4" xfId="0" applyFont="1" applyBorder="1" applyAlignment="1">
      <alignment vertical="center"/>
    </xf>
    <xf numFmtId="0" fontId="36" fillId="0" borderId="0" xfId="58" applyFont="1" applyAlignment="1">
      <alignment vertical="center"/>
    </xf>
    <xf numFmtId="0" fontId="46" fillId="0" borderId="0" xfId="58"/>
    <xf numFmtId="0" fontId="37" fillId="0" borderId="8" xfId="58" applyFont="1" applyBorder="1" applyAlignment="1">
      <alignment horizontal="center" vertical="center" wrapText="1"/>
    </xf>
    <xf numFmtId="0" fontId="46" fillId="0" borderId="0" xfId="58" applyProtection="1">
      <protection hidden="1"/>
    </xf>
    <xf numFmtId="0" fontId="37" fillId="0" borderId="0" xfId="58" applyFont="1"/>
    <xf numFmtId="165" fontId="46" fillId="0" borderId="0" xfId="58" applyNumberFormat="1"/>
    <xf numFmtId="0" fontId="46" fillId="0" borderId="0" xfId="62"/>
    <xf numFmtId="0" fontId="36" fillId="0" borderId="0" xfId="57" applyFont="1" applyAlignment="1">
      <alignment vertical="center"/>
    </xf>
    <xf numFmtId="0" fontId="37" fillId="0" borderId="0" xfId="57" applyFont="1" applyAlignment="1">
      <alignment horizontal="center" vertical="center"/>
    </xf>
    <xf numFmtId="0" fontId="46" fillId="0" borderId="0" xfId="57"/>
    <xf numFmtId="0" fontId="38" fillId="0" borderId="0" xfId="57" applyFont="1" applyAlignment="1">
      <alignment horizontal="center"/>
    </xf>
    <xf numFmtId="0" fontId="37" fillId="0" borderId="13" xfId="57" applyFont="1" applyBorder="1" applyAlignment="1">
      <alignment horizontal="center" vertical="center"/>
    </xf>
    <xf numFmtId="0" fontId="37" fillId="0" borderId="0" xfId="60" applyFont="1" applyAlignment="1">
      <alignment horizontal="center" vertical="center"/>
    </xf>
    <xf numFmtId="0" fontId="37" fillId="0" borderId="0" xfId="60" applyFont="1"/>
    <xf numFmtId="0" fontId="46" fillId="0" borderId="0" xfId="60"/>
    <xf numFmtId="0" fontId="37" fillId="0" borderId="0" xfId="60" applyFont="1" applyAlignment="1">
      <alignment horizontal="left" vertical="center"/>
    </xf>
    <xf numFmtId="0" fontId="14" fillId="0" borderId="0" xfId="60" applyFont="1" applyAlignment="1">
      <alignment horizontal="center" vertical="center"/>
    </xf>
    <xf numFmtId="0" fontId="37" fillId="0" borderId="0" xfId="60" applyFont="1" applyAlignment="1">
      <alignment horizontal="center" vertical="center" wrapText="1"/>
    </xf>
    <xf numFmtId="0" fontId="38" fillId="3" borderId="8" xfId="60" applyFont="1" applyFill="1" applyBorder="1" applyAlignment="1">
      <alignment horizontal="left" vertical="center" wrapText="1"/>
    </xf>
    <xf numFmtId="0" fontId="14" fillId="0" borderId="14" xfId="60" applyFont="1" applyBorder="1" applyAlignment="1">
      <alignment horizontal="center" vertical="center"/>
    </xf>
    <xf numFmtId="0" fontId="37" fillId="0" borderId="8" xfId="60" applyFont="1" applyBorder="1" applyAlignment="1">
      <alignment horizontal="left" vertical="center"/>
    </xf>
    <xf numFmtId="0" fontId="14" fillId="0" borderId="14" xfId="60" applyFont="1" applyBorder="1" applyAlignment="1">
      <alignment horizontal="center" vertical="center" wrapText="1"/>
    </xf>
    <xf numFmtId="0" fontId="14" fillId="0" borderId="8" xfId="60" applyFont="1" applyBorder="1" applyAlignment="1">
      <alignment horizontal="center" vertical="center" wrapText="1"/>
    </xf>
    <xf numFmtId="0" fontId="14" fillId="0" borderId="8" xfId="60" applyFont="1" applyBorder="1" applyAlignment="1">
      <alignment horizontal="left" vertical="center"/>
    </xf>
    <xf numFmtId="0" fontId="14" fillId="0" borderId="15" xfId="60" applyFont="1" applyBorder="1" applyAlignment="1">
      <alignment horizontal="center" vertical="center" wrapText="1"/>
    </xf>
    <xf numFmtId="0" fontId="14" fillId="0" borderId="15" xfId="60" applyFont="1" applyBorder="1" applyAlignment="1">
      <alignment horizontal="left" vertical="center"/>
    </xf>
    <xf numFmtId="0" fontId="14" fillId="0" borderId="8" xfId="60" applyFont="1" applyBorder="1" applyAlignment="1">
      <alignment horizontal="left" vertical="center" wrapText="1"/>
    </xf>
    <xf numFmtId="0" fontId="37" fillId="0" borderId="16" xfId="60" applyFont="1" applyBorder="1" applyAlignment="1">
      <alignment horizontal="left" vertical="center"/>
    </xf>
    <xf numFmtId="49" fontId="25" fillId="0" borderId="0" xfId="61" applyNumberFormat="1" applyFont="1" applyAlignment="1">
      <alignment horizontal="center" vertical="center"/>
    </xf>
    <xf numFmtId="0" fontId="14" fillId="0" borderId="0" xfId="61" applyFont="1"/>
    <xf numFmtId="0" fontId="46" fillId="0" borderId="0" xfId="61"/>
    <xf numFmtId="0" fontId="46" fillId="0" borderId="0" xfId="61" applyAlignment="1">
      <alignment horizontal="center" vertical="center"/>
    </xf>
    <xf numFmtId="49" fontId="16" fillId="0" borderId="0" xfId="61" applyNumberFormat="1" applyFont="1" applyAlignment="1">
      <alignment vertical="center"/>
    </xf>
    <xf numFmtId="0" fontId="14" fillId="0" borderId="0" xfId="61" applyFont="1" applyAlignment="1">
      <alignment vertical="center"/>
    </xf>
    <xf numFmtId="0" fontId="14" fillId="0" borderId="0" xfId="61" applyFont="1" applyAlignment="1">
      <alignment horizontal="left" vertical="center" wrapText="1"/>
    </xf>
    <xf numFmtId="0" fontId="16" fillId="0" borderId="0" xfId="61" applyFont="1" applyAlignment="1">
      <alignment vertical="center"/>
    </xf>
    <xf numFmtId="0" fontId="14" fillId="0" borderId="0" xfId="61" applyFont="1" applyAlignment="1">
      <alignment horizontal="left" vertical="center"/>
    </xf>
    <xf numFmtId="0" fontId="14" fillId="0" borderId="7" xfId="61" applyFont="1" applyBorder="1"/>
    <xf numFmtId="0" fontId="21" fillId="0" borderId="0" xfId="61" applyFont="1" applyAlignment="1">
      <alignment vertical="center"/>
    </xf>
    <xf numFmtId="0" fontId="15" fillId="0" borderId="0" xfId="61" applyFont="1"/>
    <xf numFmtId="0" fontId="15" fillId="0" borderId="0" xfId="61" applyFont="1" applyAlignment="1">
      <alignment horizontal="left" vertical="center" wrapText="1"/>
    </xf>
    <xf numFmtId="0" fontId="15" fillId="0" borderId="0" xfId="61" applyFont="1" applyAlignment="1">
      <alignment vertical="center"/>
    </xf>
    <xf numFmtId="0" fontId="14" fillId="0" borderId="0" xfId="61" applyFont="1" applyAlignment="1">
      <alignment horizontal="center" vertical="center"/>
    </xf>
    <xf numFmtId="0" fontId="46" fillId="0" borderId="0" xfId="61" applyAlignment="1">
      <alignment horizontal="center"/>
    </xf>
    <xf numFmtId="0" fontId="15" fillId="0" borderId="0" xfId="61" applyFont="1" applyAlignment="1">
      <alignment horizontal="left" vertical="center"/>
    </xf>
    <xf numFmtId="0" fontId="46" fillId="0" borderId="0" xfId="61" applyAlignment="1">
      <alignment wrapText="1"/>
    </xf>
    <xf numFmtId="0" fontId="16" fillId="0" borderId="0" xfId="61" applyFont="1" applyAlignment="1">
      <alignment horizontal="center" vertical="center"/>
    </xf>
    <xf numFmtId="0" fontId="16" fillId="0" borderId="0" xfId="61" applyFont="1"/>
    <xf numFmtId="167" fontId="14" fillId="0" borderId="0" xfId="61" applyNumberFormat="1" applyFont="1" applyAlignment="1">
      <alignment vertical="center"/>
    </xf>
    <xf numFmtId="1" fontId="16" fillId="0" borderId="0" xfId="61" applyNumberFormat="1" applyFont="1" applyAlignment="1">
      <alignment horizontal="center" vertical="center"/>
    </xf>
    <xf numFmtId="49" fontId="16" fillId="0" borderId="4" xfId="61" applyNumberFormat="1" applyFont="1" applyBorder="1" applyAlignment="1">
      <alignment vertical="center"/>
    </xf>
    <xf numFmtId="0" fontId="14" fillId="0" borderId="4" xfId="61" applyFont="1" applyBorder="1"/>
    <xf numFmtId="49" fontId="16" fillId="0" borderId="9" xfId="61" applyNumberFormat="1" applyFont="1" applyBorder="1" applyAlignment="1">
      <alignment vertical="center"/>
    </xf>
    <xf numFmtId="0" fontId="14" fillId="0" borderId="9" xfId="61" applyFont="1" applyBorder="1" applyAlignment="1">
      <alignment vertical="center"/>
    </xf>
    <xf numFmtId="0" fontId="14" fillId="0" borderId="9" xfId="61" applyFont="1" applyBorder="1" applyAlignment="1">
      <alignment horizontal="center" vertical="center"/>
    </xf>
    <xf numFmtId="0" fontId="14" fillId="0" borderId="9" xfId="61" applyFont="1" applyBorder="1"/>
    <xf numFmtId="0" fontId="14" fillId="0" borderId="0" xfId="61" applyFont="1" applyAlignment="1">
      <alignment horizontal="center" vertical="center" wrapText="1"/>
    </xf>
    <xf numFmtId="167" fontId="14" fillId="0" borderId="0" xfId="61" applyNumberFormat="1" applyFont="1" applyAlignment="1">
      <alignment horizontal="left" vertical="center"/>
    </xf>
    <xf numFmtId="0" fontId="46" fillId="0" borderId="0" xfId="61" applyAlignment="1">
      <alignment vertical="center"/>
    </xf>
    <xf numFmtId="0" fontId="14" fillId="0" borderId="4" xfId="61" applyFont="1" applyBorder="1" applyAlignment="1">
      <alignment horizontal="left" vertical="center"/>
    </xf>
    <xf numFmtId="0" fontId="14" fillId="0" borderId="4" xfId="61" applyFont="1" applyBorder="1" applyAlignment="1">
      <alignment vertical="center"/>
    </xf>
    <xf numFmtId="0" fontId="14" fillId="0" borderId="4" xfId="61" applyFont="1" applyBorder="1" applyAlignment="1">
      <alignment horizontal="center" vertical="center"/>
    </xf>
    <xf numFmtId="0" fontId="46" fillId="0" borderId="4" xfId="61" applyBorder="1"/>
    <xf numFmtId="0" fontId="46" fillId="0" borderId="4" xfId="61" applyBorder="1" applyAlignment="1">
      <alignment wrapText="1"/>
    </xf>
    <xf numFmtId="169" fontId="14" fillId="0" borderId="0" xfId="61" applyNumberFormat="1" applyFont="1" applyAlignment="1">
      <alignment horizontal="center" vertical="center"/>
    </xf>
    <xf numFmtId="0" fontId="12" fillId="0" borderId="0" xfId="61" applyFont="1" applyAlignment="1">
      <alignment horizontal="center" vertical="center"/>
    </xf>
    <xf numFmtId="169" fontId="14" fillId="0" borderId="0" xfId="61" applyNumberFormat="1" applyFont="1" applyAlignment="1">
      <alignment vertical="center"/>
    </xf>
    <xf numFmtId="0" fontId="14" fillId="0" borderId="0" xfId="61" applyFont="1" applyAlignment="1">
      <alignment horizontal="center"/>
    </xf>
    <xf numFmtId="49" fontId="16" fillId="0" borderId="0" xfId="61" applyNumberFormat="1" applyFont="1"/>
    <xf numFmtId="0" fontId="16" fillId="0" borderId="0" xfId="61" applyFont="1" applyAlignment="1">
      <alignment horizontal="right"/>
    </xf>
    <xf numFmtId="0" fontId="14" fillId="0" borderId="10" xfId="61" applyFont="1" applyBorder="1"/>
    <xf numFmtId="0" fontId="14" fillId="0" borderId="6" xfId="61" applyFont="1" applyBorder="1" applyAlignment="1">
      <alignment horizontal="left"/>
    </xf>
    <xf numFmtId="0" fontId="14" fillId="0" borderId="0" xfId="61" applyFont="1" applyAlignment="1">
      <alignment horizontal="left"/>
    </xf>
    <xf numFmtId="0" fontId="14" fillId="0" borderId="3" xfId="61" applyFont="1" applyBorder="1"/>
    <xf numFmtId="0" fontId="14" fillId="0" borderId="5" xfId="61" applyFont="1" applyBorder="1"/>
    <xf numFmtId="0" fontId="14" fillId="0" borderId="0" xfId="61" applyFont="1" applyAlignment="1">
      <alignment horizontal="right" vertical="center"/>
    </xf>
    <xf numFmtId="0" fontId="25" fillId="0" borderId="0" xfId="59" applyFont="1"/>
    <xf numFmtId="0" fontId="30" fillId="0" borderId="0" xfId="59" applyFont="1"/>
    <xf numFmtId="0" fontId="14" fillId="0" borderId="0" xfId="59" applyFont="1"/>
    <xf numFmtId="0" fontId="16" fillId="0" borderId="6" xfId="59" applyFont="1" applyBorder="1"/>
    <xf numFmtId="0" fontId="34" fillId="0" borderId="0" xfId="59" applyFont="1"/>
    <xf numFmtId="0" fontId="34" fillId="0" borderId="0" xfId="59" applyFont="1" applyAlignment="1">
      <alignment horizontal="center"/>
    </xf>
    <xf numFmtId="0" fontId="34" fillId="0" borderId="7" xfId="59" applyFont="1" applyBorder="1"/>
    <xf numFmtId="49" fontId="16" fillId="0" borderId="6" xfId="59" applyNumberFormat="1" applyFont="1" applyBorder="1" applyAlignment="1">
      <alignment horizontal="right"/>
    </xf>
    <xf numFmtId="0" fontId="14" fillId="0" borderId="7" xfId="59" applyFont="1" applyBorder="1"/>
    <xf numFmtId="0" fontId="16" fillId="0" borderId="0" xfId="59" applyFont="1"/>
    <xf numFmtId="49" fontId="16" fillId="0" borderId="3" xfId="59" applyNumberFormat="1" applyFont="1" applyBorder="1"/>
    <xf numFmtId="0" fontId="14" fillId="0" borderId="4" xfId="59" applyFont="1" applyBorder="1"/>
    <xf numFmtId="0" fontId="14" fillId="0" borderId="4" xfId="59" applyFont="1" applyBorder="1" applyAlignment="1">
      <alignment horizontal="center"/>
    </xf>
    <xf numFmtId="0" fontId="14" fillId="0" borderId="5" xfId="59" applyFont="1" applyBorder="1"/>
    <xf numFmtId="0" fontId="14" fillId="0" borderId="0" xfId="59" applyFont="1" applyAlignment="1">
      <alignment horizontal="center"/>
    </xf>
    <xf numFmtId="49" fontId="16" fillId="0" borderId="6" xfId="59" applyNumberFormat="1" applyFont="1" applyBorder="1"/>
    <xf numFmtId="2" fontId="14" fillId="0" borderId="0" xfId="59" applyNumberFormat="1" applyFont="1" applyAlignment="1">
      <alignment horizontal="left"/>
    </xf>
    <xf numFmtId="0" fontId="14" fillId="0" borderId="7" xfId="59" applyFont="1" applyBorder="1" applyAlignment="1">
      <alignment horizontal="center"/>
    </xf>
    <xf numFmtId="0" fontId="14" fillId="0" borderId="0" xfId="59" applyFont="1" applyAlignment="1">
      <alignment horizontal="left"/>
    </xf>
    <xf numFmtId="49" fontId="14" fillId="0" borderId="0" xfId="59" applyNumberFormat="1" applyFont="1" applyAlignment="1">
      <alignment horizontal="right"/>
    </xf>
    <xf numFmtId="49" fontId="14" fillId="0" borderId="0" xfId="59" applyNumberFormat="1" applyFont="1" applyAlignment="1">
      <alignment horizontal="center"/>
    </xf>
    <xf numFmtId="0" fontId="14" fillId="0" borderId="0" xfId="59" applyFont="1" applyAlignment="1">
      <alignment horizontal="left" vertical="center" wrapText="1"/>
    </xf>
    <xf numFmtId="0" fontId="19" fillId="0" borderId="0" xfId="59" applyFont="1"/>
    <xf numFmtId="167" fontId="19" fillId="0" borderId="0" xfId="59" applyNumberFormat="1" applyFont="1" applyAlignment="1">
      <alignment horizontal="center" vertical="center"/>
    </xf>
    <xf numFmtId="0" fontId="19" fillId="0" borderId="0" xfId="59" applyFont="1" applyAlignment="1">
      <alignment vertical="center"/>
    </xf>
    <xf numFmtId="2" fontId="14" fillId="0" borderId="0" xfId="59" applyNumberFormat="1" applyFont="1" applyAlignment="1">
      <alignment horizontal="center"/>
    </xf>
    <xf numFmtId="49" fontId="15" fillId="0" borderId="0" xfId="59" applyNumberFormat="1" applyFont="1" applyAlignment="1">
      <alignment horizontal="right"/>
    </xf>
    <xf numFmtId="0" fontId="16" fillId="0" borderId="7" xfId="59" applyFont="1" applyBorder="1" applyAlignment="1">
      <alignment horizontal="center"/>
    </xf>
    <xf numFmtId="0" fontId="15" fillId="0" borderId="0" xfId="59" applyFont="1"/>
    <xf numFmtId="0" fontId="46" fillId="0" borderId="0" xfId="59"/>
    <xf numFmtId="49" fontId="46" fillId="0" borderId="0" xfId="59" applyNumberFormat="1" applyAlignment="1">
      <alignment horizontal="center"/>
    </xf>
    <xf numFmtId="0" fontId="15" fillId="0" borderId="0" xfId="59" applyFont="1" applyAlignment="1">
      <alignment horizontal="right"/>
    </xf>
    <xf numFmtId="0" fontId="46" fillId="0" borderId="0" xfId="59" applyAlignment="1">
      <alignment horizontal="right"/>
    </xf>
    <xf numFmtId="0" fontId="14" fillId="0" borderId="6" xfId="59" applyFont="1" applyBorder="1"/>
    <xf numFmtId="0" fontId="37" fillId="0" borderId="0" xfId="59" applyFont="1"/>
    <xf numFmtId="0" fontId="15" fillId="0" borderId="0" xfId="59" applyFont="1" applyAlignment="1">
      <alignment horizontal="left"/>
    </xf>
    <xf numFmtId="49" fontId="15" fillId="0" borderId="0" xfId="59" applyNumberFormat="1" applyFont="1" applyAlignment="1">
      <alignment horizontal="center"/>
    </xf>
    <xf numFmtId="49" fontId="14" fillId="0" borderId="0" xfId="59" applyNumberFormat="1" applyFont="1"/>
    <xf numFmtId="0" fontId="51" fillId="0" borderId="0" xfId="59" applyFont="1"/>
    <xf numFmtId="49" fontId="16" fillId="0" borderId="3" xfId="59" applyNumberFormat="1" applyFont="1" applyBorder="1" applyAlignment="1">
      <alignment horizontal="right"/>
    </xf>
    <xf numFmtId="165" fontId="14" fillId="0" borderId="0" xfId="59" applyNumberFormat="1" applyFont="1" applyAlignment="1">
      <alignment horizontal="center"/>
    </xf>
    <xf numFmtId="0" fontId="14" fillId="0" borderId="0" xfId="59" applyFont="1" applyAlignment="1">
      <alignment vertical="center"/>
    </xf>
    <xf numFmtId="0" fontId="14" fillId="0" borderId="0" xfId="59" applyFont="1" applyAlignment="1">
      <alignment horizontal="right" vertical="center"/>
    </xf>
    <xf numFmtId="0" fontId="46" fillId="0" borderId="0" xfId="59" applyAlignment="1">
      <alignment vertical="center"/>
    </xf>
    <xf numFmtId="0" fontId="15" fillId="0" borderId="4" xfId="59" applyFont="1" applyBorder="1"/>
    <xf numFmtId="0" fontId="16" fillId="0" borderId="4" xfId="59" applyFont="1" applyBorder="1"/>
    <xf numFmtId="0" fontId="14" fillId="0" borderId="0" xfId="59" applyFont="1" applyAlignment="1">
      <alignment horizontal="center" vertical="center"/>
    </xf>
    <xf numFmtId="49" fontId="16" fillId="0" borderId="6" xfId="59" applyNumberFormat="1" applyFont="1" applyBorder="1" applyAlignment="1">
      <alignment horizontal="right" vertical="center"/>
    </xf>
    <xf numFmtId="0" fontId="14" fillId="0" borderId="7" xfId="59" applyFont="1" applyBorder="1" applyAlignment="1">
      <alignment vertical="center"/>
    </xf>
    <xf numFmtId="0" fontId="16" fillId="0" borderId="6" xfId="59" applyFont="1" applyBorder="1" applyAlignment="1">
      <alignment horizontal="right" vertical="center"/>
    </xf>
    <xf numFmtId="167" fontId="14" fillId="0" borderId="0" xfId="59" applyNumberFormat="1" applyFont="1" applyAlignment="1">
      <alignment horizontal="left" vertical="center"/>
    </xf>
    <xf numFmtId="49" fontId="16" fillId="0" borderId="6" xfId="59" applyNumberFormat="1" applyFont="1" applyBorder="1" applyAlignment="1">
      <alignment vertical="center"/>
    </xf>
    <xf numFmtId="0" fontId="16" fillId="0" borderId="3" xfId="59" applyFont="1" applyBorder="1"/>
    <xf numFmtId="0" fontId="16" fillId="0" borderId="4" xfId="59" applyFont="1" applyBorder="1" applyAlignment="1">
      <alignment horizontal="left"/>
    </xf>
    <xf numFmtId="0" fontId="16" fillId="0" borderId="0" xfId="59" applyFont="1" applyAlignment="1">
      <alignment horizontal="left"/>
    </xf>
    <xf numFmtId="0" fontId="46" fillId="0" borderId="0" xfId="64"/>
    <xf numFmtId="0" fontId="14" fillId="3" borderId="8" xfId="64" applyFont="1" applyFill="1" applyBorder="1" applyAlignment="1">
      <alignment horizontal="left" vertical="center" wrapText="1"/>
    </xf>
    <xf numFmtId="0" fontId="16" fillId="3" borderId="8" xfId="64" applyFont="1" applyFill="1" applyBorder="1" applyAlignment="1">
      <alignment horizontal="center" vertical="center" wrapText="1"/>
    </xf>
    <xf numFmtId="49" fontId="16" fillId="3" borderId="8" xfId="64" applyNumberFormat="1" applyFont="1" applyFill="1" applyBorder="1" applyAlignment="1">
      <alignment horizontal="left" vertical="center" wrapText="1"/>
    </xf>
    <xf numFmtId="0" fontId="14" fillId="3" borderId="8" xfId="64" applyFont="1" applyFill="1" applyBorder="1" applyAlignment="1">
      <alignment horizontal="center" vertical="center" wrapText="1"/>
    </xf>
    <xf numFmtId="49" fontId="14" fillId="3" borderId="8" xfId="64" applyNumberFormat="1" applyFont="1" applyFill="1" applyBorder="1" applyAlignment="1">
      <alignment horizontal="left" vertical="center" wrapText="1"/>
    </xf>
    <xf numFmtId="0" fontId="37" fillId="3" borderId="8" xfId="64" applyFont="1" applyFill="1" applyBorder="1" applyAlignment="1">
      <alignment horizontal="center" vertical="center" wrapText="1"/>
    </xf>
    <xf numFmtId="0" fontId="37" fillId="2" borderId="8" xfId="64" applyFont="1" applyFill="1" applyBorder="1" applyAlignment="1">
      <alignment horizontal="center" vertical="center"/>
    </xf>
    <xf numFmtId="0" fontId="37" fillId="3" borderId="12" xfId="64" applyFont="1" applyFill="1" applyBorder="1" applyAlignment="1">
      <alignment horizontal="left" vertical="center"/>
    </xf>
    <xf numFmtId="0" fontId="37" fillId="3" borderId="12" xfId="64" applyFont="1" applyFill="1" applyBorder="1" applyAlignment="1">
      <alignment horizontal="center" vertical="center"/>
    </xf>
    <xf numFmtId="0" fontId="37" fillId="3" borderId="12" xfId="64" applyFont="1" applyFill="1" applyBorder="1" applyAlignment="1">
      <alignment vertical="center"/>
    </xf>
    <xf numFmtId="0" fontId="37" fillId="2" borderId="8" xfId="64" applyFont="1" applyFill="1" applyBorder="1" applyAlignment="1">
      <alignment horizontal="left" vertical="center"/>
    </xf>
    <xf numFmtId="0" fontId="37" fillId="2" borderId="8" xfId="64" applyFont="1" applyFill="1" applyBorder="1" applyAlignment="1">
      <alignment vertical="center"/>
    </xf>
    <xf numFmtId="0" fontId="37" fillId="3" borderId="8" xfId="64" applyFont="1" applyFill="1" applyBorder="1" applyAlignment="1">
      <alignment horizontal="left" vertical="center"/>
    </xf>
    <xf numFmtId="0" fontId="37" fillId="3" borderId="8" xfId="64" applyFont="1" applyFill="1" applyBorder="1" applyAlignment="1">
      <alignment horizontal="center" vertical="center"/>
    </xf>
    <xf numFmtId="0" fontId="37" fillId="3" borderId="8" xfId="64" applyFont="1" applyFill="1" applyBorder="1" applyAlignment="1">
      <alignment vertical="center"/>
    </xf>
    <xf numFmtId="49" fontId="37" fillId="2" borderId="8" xfId="64" applyNumberFormat="1" applyFont="1" applyFill="1" applyBorder="1" applyAlignment="1">
      <alignment vertical="center"/>
    </xf>
    <xf numFmtId="0" fontId="37" fillId="2" borderId="8" xfId="64" applyFont="1" applyFill="1" applyBorder="1" applyAlignment="1">
      <alignment horizontal="left" vertical="center" wrapText="1"/>
    </xf>
    <xf numFmtId="0" fontId="37" fillId="3" borderId="8" xfId="64" applyFont="1" applyFill="1" applyBorder="1" applyAlignment="1">
      <alignment horizontal="left" vertical="center" wrapText="1"/>
    </xf>
    <xf numFmtId="0" fontId="37" fillId="2" borderId="8" xfId="64" applyFont="1" applyFill="1" applyBorder="1" applyAlignment="1">
      <alignment vertical="center" wrapText="1"/>
    </xf>
    <xf numFmtId="49" fontId="37" fillId="3" borderId="8" xfId="64" applyNumberFormat="1" applyFont="1" applyFill="1" applyBorder="1" applyAlignment="1">
      <alignment horizontal="left" vertical="center" wrapText="1"/>
    </xf>
    <xf numFmtId="0" fontId="37" fillId="0" borderId="8" xfId="64" applyFont="1" applyBorder="1" applyAlignment="1">
      <alignment horizontal="center" vertical="center"/>
    </xf>
    <xf numFmtId="0" fontId="46" fillId="0" borderId="0" xfId="64" applyAlignment="1">
      <alignment horizontal="center"/>
    </xf>
    <xf numFmtId="0" fontId="46" fillId="0" borderId="4" xfId="61" applyBorder="1" applyAlignment="1">
      <alignment horizontal="center" vertical="center"/>
    </xf>
    <xf numFmtId="0" fontId="46" fillId="0" borderId="9" xfId="61" applyBorder="1" applyAlignment="1">
      <alignment horizontal="center" vertical="center"/>
    </xf>
    <xf numFmtId="0" fontId="46" fillId="0" borderId="0" xfId="61" applyAlignment="1">
      <alignment horizontal="left" vertical="center" wrapText="1"/>
    </xf>
    <xf numFmtId="0" fontId="50" fillId="0" borderId="0" xfId="61" applyFont="1" applyAlignment="1">
      <alignment horizontal="center" vertical="center" wrapText="1"/>
    </xf>
    <xf numFmtId="0" fontId="37" fillId="0" borderId="0" xfId="57" applyFont="1" applyAlignment="1">
      <alignment horizontal="left" vertical="center"/>
    </xf>
    <xf numFmtId="0" fontId="0" fillId="0" borderId="0" xfId="0" applyAlignment="1">
      <alignment horizontal="left"/>
    </xf>
    <xf numFmtId="0" fontId="37" fillId="0" borderId="0" xfId="63" applyFont="1" applyAlignment="1">
      <alignment horizontal="left" vertical="top"/>
    </xf>
    <xf numFmtId="0" fontId="37" fillId="0" borderId="0" xfId="63" applyFont="1" applyAlignment="1">
      <alignment horizontal="left" vertical="center"/>
    </xf>
    <xf numFmtId="0" fontId="37" fillId="0" borderId="0" xfId="57" applyFont="1" applyAlignment="1">
      <alignment horizontal="left" vertical="top"/>
    </xf>
    <xf numFmtId="0" fontId="46" fillId="0" borderId="9" xfId="61" applyBorder="1" applyAlignment="1">
      <alignment horizontal="center"/>
    </xf>
    <xf numFmtId="0" fontId="46" fillId="0" borderId="0" xfId="61" applyAlignment="1">
      <alignment horizontal="left"/>
    </xf>
    <xf numFmtId="0" fontId="15" fillId="0" borderId="9" xfId="61" applyFont="1" applyBorder="1" applyAlignment="1">
      <alignment horizontal="center" vertical="center" wrapText="1"/>
    </xf>
    <xf numFmtId="0" fontId="16" fillId="0" borderId="9" xfId="61" applyFont="1" applyBorder="1"/>
    <xf numFmtId="0" fontId="14" fillId="0" borderId="11" xfId="61" applyFont="1" applyBorder="1"/>
    <xf numFmtId="0" fontId="14" fillId="0" borderId="9" xfId="61" applyFont="1" applyBorder="1" applyAlignment="1">
      <alignment horizontal="right"/>
    </xf>
    <xf numFmtId="169" fontId="14" fillId="0" borderId="9" xfId="61" applyNumberFormat="1" applyFont="1" applyBorder="1"/>
    <xf numFmtId="0" fontId="16" fillId="0" borderId="4" xfId="61" applyFont="1" applyBorder="1" applyAlignment="1">
      <alignment vertical="center"/>
    </xf>
    <xf numFmtId="0" fontId="14" fillId="0" borderId="4" xfId="61" applyFont="1" applyBorder="1" applyAlignment="1">
      <alignment horizontal="right" vertical="center"/>
    </xf>
    <xf numFmtId="169" fontId="14" fillId="0" borderId="4" xfId="61" applyNumberFormat="1" applyFont="1" applyBorder="1" applyAlignment="1">
      <alignment vertical="center"/>
    </xf>
    <xf numFmtId="0" fontId="16" fillId="0" borderId="0" xfId="61" applyFont="1" applyAlignment="1">
      <alignment horizontal="center" vertical="center" wrapText="1"/>
    </xf>
    <xf numFmtId="0" fontId="46" fillId="0" borderId="0" xfId="61" applyAlignment="1">
      <alignment horizontal="center" vertical="center" wrapText="1"/>
    </xf>
    <xf numFmtId="2" fontId="14" fillId="0" borderId="0" xfId="61" applyNumberFormat="1" applyFont="1" applyAlignment="1">
      <alignment horizontal="center" vertical="center"/>
    </xf>
    <xf numFmtId="0" fontId="13" fillId="0" borderId="0" xfId="61" applyFont="1" applyAlignment="1">
      <alignment horizontal="center" vertical="center"/>
    </xf>
    <xf numFmtId="0" fontId="46" fillId="0" borderId="0" xfId="61" applyAlignment="1">
      <alignment horizontal="right" vertical="center"/>
    </xf>
    <xf numFmtId="0" fontId="14" fillId="0" borderId="0" xfId="59" applyFont="1" applyAlignment="1">
      <alignment wrapText="1"/>
    </xf>
    <xf numFmtId="0" fontId="46" fillId="0" borderId="7" xfId="59" applyBorder="1"/>
    <xf numFmtId="0" fontId="46" fillId="0" borderId="0" xfId="59" applyAlignment="1">
      <alignment wrapText="1"/>
    </xf>
    <xf numFmtId="0" fontId="14" fillId="0" borderId="0" xfId="59" applyFont="1" applyAlignment="1">
      <alignment vertical="center" wrapText="1"/>
    </xf>
    <xf numFmtId="0" fontId="46" fillId="0" borderId="0" xfId="59" applyAlignment="1">
      <alignment horizontal="left"/>
    </xf>
    <xf numFmtId="0" fontId="46" fillId="0" borderId="7" xfId="59" applyBorder="1" applyAlignment="1">
      <alignment wrapText="1"/>
    </xf>
    <xf numFmtId="0" fontId="14" fillId="0" borderId="0" xfId="59" applyFont="1" applyAlignment="1">
      <alignment horizontal="center" wrapText="1"/>
    </xf>
    <xf numFmtId="0" fontId="46" fillId="0" borderId="0" xfId="59" applyAlignment="1">
      <alignment horizontal="center"/>
    </xf>
    <xf numFmtId="0" fontId="14" fillId="0" borderId="0" xfId="59" applyFont="1" applyAlignment="1">
      <alignment horizontal="left" wrapText="1"/>
    </xf>
    <xf numFmtId="0" fontId="44" fillId="0" borderId="0" xfId="59" applyFont="1" applyAlignment="1">
      <alignment horizontal="center"/>
    </xf>
    <xf numFmtId="0" fontId="17" fillId="0" borderId="0" xfId="59" applyFont="1"/>
    <xf numFmtId="0" fontId="53" fillId="0" borderId="0" xfId="59" applyFont="1" applyAlignment="1">
      <alignment horizontal="center" vertical="center"/>
    </xf>
    <xf numFmtId="0" fontId="16" fillId="0" borderId="0" xfId="59" applyFont="1" applyAlignment="1">
      <alignment vertical="center"/>
    </xf>
    <xf numFmtId="0" fontId="44" fillId="0" borderId="0" xfId="59" applyFont="1" applyAlignment="1">
      <alignment horizontal="center" vertical="center"/>
    </xf>
    <xf numFmtId="0" fontId="17" fillId="0" borderId="0" xfId="59" applyFont="1" applyAlignment="1">
      <alignment horizontal="left" vertical="center"/>
    </xf>
    <xf numFmtId="0" fontId="17" fillId="0" borderId="0" xfId="59" applyFont="1" applyAlignment="1">
      <alignment horizontal="center"/>
    </xf>
    <xf numFmtId="0" fontId="13" fillId="0" borderId="0" xfId="0" applyFont="1" applyAlignment="1">
      <alignment horizontal="center" vertical="center"/>
    </xf>
    <xf numFmtId="0" fontId="35" fillId="0" borderId="8" xfId="0" applyFont="1" applyBorder="1" applyAlignment="1">
      <alignment horizontal="center"/>
    </xf>
    <xf numFmtId="0" fontId="35" fillId="0" borderId="17" xfId="0" applyFont="1" applyBorder="1" applyAlignment="1">
      <alignment horizontal="center"/>
    </xf>
    <xf numFmtId="2" fontId="35" fillId="0" borderId="8" xfId="0" applyNumberFormat="1" applyFont="1" applyBorder="1" applyAlignment="1">
      <alignment horizontal="center"/>
    </xf>
    <xf numFmtId="2" fontId="35" fillId="0" borderId="17" xfId="0" applyNumberFormat="1" applyFont="1" applyBorder="1" applyAlignment="1">
      <alignment horizontal="center"/>
    </xf>
    <xf numFmtId="0" fontId="45" fillId="0" borderId="0" xfId="0" applyFont="1" applyAlignment="1">
      <alignment horizontal="center" vertical="center"/>
    </xf>
    <xf numFmtId="2" fontId="13" fillId="0" borderId="0" xfId="0" applyNumberFormat="1" applyFont="1" applyAlignment="1">
      <alignment horizontal="center" vertical="center"/>
    </xf>
    <xf numFmtId="49" fontId="16" fillId="0" borderId="9" xfId="0" applyNumberFormat="1" applyFont="1" applyBorder="1" applyAlignment="1">
      <alignment horizontal="left" vertical="center" wrapText="1"/>
    </xf>
    <xf numFmtId="0" fontId="13" fillId="0" borderId="4" xfId="0" applyFont="1" applyBorder="1" applyAlignment="1">
      <alignment horizontal="center" vertical="center"/>
    </xf>
    <xf numFmtId="0" fontId="44" fillId="0" borderId="4" xfId="0" applyFont="1" applyBorder="1" applyAlignment="1">
      <alignment horizontal="left" vertical="center"/>
    </xf>
    <xf numFmtId="0" fontId="45" fillId="0" borderId="4" xfId="0" applyFont="1" applyBorder="1" applyAlignment="1">
      <alignment horizontal="center" vertical="center"/>
    </xf>
    <xf numFmtId="0" fontId="16" fillId="0" borderId="0" xfId="0" applyFont="1" applyAlignment="1">
      <alignment horizontal="left" vertical="center" wrapText="1"/>
    </xf>
    <xf numFmtId="0" fontId="13" fillId="0" borderId="9" xfId="0" applyFont="1" applyBorder="1" applyAlignment="1">
      <alignment horizontal="center" vertical="center"/>
    </xf>
    <xf numFmtId="0" fontId="44" fillId="0" borderId="9" xfId="0" applyFont="1" applyBorder="1" applyAlignment="1">
      <alignment horizontal="left" vertical="center"/>
    </xf>
    <xf numFmtId="0" fontId="44" fillId="0" borderId="9" xfId="0" applyFont="1" applyBorder="1" applyAlignment="1">
      <alignment horizontal="center" vertical="center"/>
    </xf>
    <xf numFmtId="0" fontId="45" fillId="0" borderId="9" xfId="0" applyFont="1" applyBorder="1" applyAlignment="1">
      <alignment horizontal="center" vertical="center"/>
    </xf>
    <xf numFmtId="2" fontId="13" fillId="0" borderId="9" xfId="0" applyNumberFormat="1" applyFont="1" applyBorder="1" applyAlignment="1">
      <alignment horizontal="center" vertical="center"/>
    </xf>
    <xf numFmtId="0" fontId="21" fillId="0" borderId="0" xfId="0" applyFont="1" applyAlignment="1">
      <alignment horizontal="left" vertical="center" wrapText="1"/>
    </xf>
    <xf numFmtId="0" fontId="0" fillId="0" borderId="4" xfId="0" applyBorder="1"/>
    <xf numFmtId="0" fontId="14" fillId="0" borderId="8" xfId="0" applyFont="1" applyBorder="1" applyAlignment="1">
      <alignment horizontal="center" vertical="center"/>
    </xf>
    <xf numFmtId="49" fontId="25" fillId="0" borderId="0" xfId="61" applyNumberFormat="1" applyFont="1" applyAlignment="1">
      <alignment horizontal="center" vertical="center" wrapText="1"/>
    </xf>
    <xf numFmtId="0" fontId="46" fillId="0" borderId="0" xfId="59" applyAlignment="1">
      <alignment horizontal="center" wrapText="1"/>
    </xf>
    <xf numFmtId="49" fontId="25" fillId="0" borderId="0" xfId="0" applyNumberFormat="1" applyFont="1" applyAlignment="1">
      <alignment horizontal="center" vertical="center" wrapText="1"/>
    </xf>
    <xf numFmtId="0" fontId="31" fillId="0" borderId="0" xfId="0" applyFont="1" applyAlignment="1">
      <alignment vertical="center"/>
    </xf>
    <xf numFmtId="0" fontId="36" fillId="0" borderId="0" xfId="58" applyFont="1" applyAlignment="1">
      <alignment horizontal="center" vertical="center" wrapText="1"/>
    </xf>
    <xf numFmtId="0" fontId="46" fillId="0" borderId="0" xfId="58" applyAlignment="1">
      <alignment horizontal="center" vertical="center"/>
    </xf>
    <xf numFmtId="0" fontId="36" fillId="0" borderId="0" xfId="62" applyFont="1" applyAlignment="1">
      <alignment horizontal="center" vertical="center" wrapText="1"/>
    </xf>
    <xf numFmtId="0" fontId="46" fillId="0" borderId="0" xfId="62" applyAlignment="1">
      <alignment horizontal="center" vertical="center" wrapText="1"/>
    </xf>
    <xf numFmtId="0" fontId="36" fillId="0" borderId="0" xfId="57" applyFont="1" applyAlignment="1">
      <alignment horizontal="center" vertical="center"/>
    </xf>
    <xf numFmtId="0" fontId="36" fillId="3" borderId="0" xfId="57" applyFont="1" applyFill="1" applyAlignment="1">
      <alignment horizontal="center" vertical="center"/>
    </xf>
    <xf numFmtId="0" fontId="46" fillId="0" borderId="0" xfId="60" applyAlignment="1">
      <alignment horizontal="left" vertical="center"/>
    </xf>
    <xf numFmtId="0" fontId="36" fillId="0" borderId="0" xfId="60" applyFont="1" applyAlignment="1">
      <alignment horizontal="center" vertical="center"/>
    </xf>
    <xf numFmtId="0" fontId="36" fillId="0" borderId="0" xfId="60" applyFont="1" applyAlignment="1">
      <alignment vertical="center"/>
    </xf>
    <xf numFmtId="0" fontId="53" fillId="0" borderId="7" xfId="59" applyFont="1" applyBorder="1" applyAlignment="1">
      <alignment horizontal="center" vertical="center"/>
    </xf>
    <xf numFmtId="0" fontId="14" fillId="0" borderId="0" xfId="0" applyFont="1" applyAlignment="1">
      <alignment horizontal="left" vertical="top"/>
    </xf>
    <xf numFmtId="0" fontId="14" fillId="0" borderId="0" xfId="59" applyFont="1" applyAlignment="1">
      <alignment horizontal="left" vertical="center"/>
    </xf>
    <xf numFmtId="167" fontId="14" fillId="0" borderId="6" xfId="59" applyNumberFormat="1" applyFont="1" applyBorder="1" applyAlignment="1">
      <alignment horizontal="left" vertical="center"/>
    </xf>
    <xf numFmtId="0" fontId="37" fillId="3" borderId="8" xfId="64" applyFont="1" applyFill="1" applyBorder="1" applyAlignment="1">
      <alignment horizontal="center"/>
    </xf>
    <xf numFmtId="49" fontId="14" fillId="2" borderId="8" xfId="64" applyNumberFormat="1" applyFont="1" applyFill="1" applyBorder="1" applyAlignment="1">
      <alignment horizontal="left" vertical="center" wrapText="1"/>
    </xf>
    <xf numFmtId="0" fontId="38" fillId="2" borderId="8" xfId="64" applyFont="1" applyFill="1" applyBorder="1" applyAlignment="1">
      <alignment horizontal="center" vertical="center" wrapText="1"/>
    </xf>
    <xf numFmtId="0" fontId="16" fillId="2" borderId="8" xfId="64" applyFont="1" applyFill="1" applyBorder="1" applyAlignment="1">
      <alignment horizontal="center" vertical="center" wrapText="1"/>
    </xf>
    <xf numFmtId="0" fontId="46" fillId="0" borderId="4" xfId="59" applyBorder="1" applyAlignment="1">
      <alignment horizontal="left" wrapText="1"/>
    </xf>
    <xf numFmtId="0" fontId="30" fillId="0" borderId="4" xfId="59" applyFont="1" applyBorder="1"/>
    <xf numFmtId="0" fontId="14" fillId="0" borderId="4" xfId="0" applyFont="1" applyBorder="1" applyAlignment="1">
      <alignment horizontal="center" vertical="center" wrapText="1"/>
    </xf>
    <xf numFmtId="0" fontId="17" fillId="0" borderId="0" xfId="0" applyFont="1" applyAlignment="1">
      <alignment horizontal="center" vertical="center"/>
    </xf>
    <xf numFmtId="0" fontId="0" fillId="0" borderId="4" xfId="0" applyBorder="1" applyAlignment="1">
      <alignment horizontal="left" vertical="center"/>
    </xf>
    <xf numFmtId="0" fontId="12" fillId="0" borderId="0" xfId="0" applyFont="1" applyAlignment="1">
      <alignment horizontal="center" vertical="center"/>
    </xf>
    <xf numFmtId="0" fontId="12" fillId="0" borderId="9"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2" fontId="13" fillId="0" borderId="4" xfId="0" applyNumberFormat="1" applyFont="1" applyBorder="1" applyAlignment="1">
      <alignment horizontal="center" vertical="center"/>
    </xf>
    <xf numFmtId="2" fontId="37" fillId="0" borderId="0" xfId="57" applyNumberFormat="1" applyFont="1" applyAlignment="1">
      <alignment horizontal="center" vertical="center"/>
    </xf>
    <xf numFmtId="0" fontId="15" fillId="0" borderId="0" xfId="0" applyFont="1" applyAlignment="1">
      <alignment vertical="top"/>
    </xf>
    <xf numFmtId="0" fontId="0" fillId="0" borderId="0" xfId="0" applyAlignment="1">
      <alignment horizontal="right" vertical="center"/>
    </xf>
    <xf numFmtId="0" fontId="0" fillId="0" borderId="7" xfId="0" applyBorder="1"/>
    <xf numFmtId="0" fontId="12" fillId="0" borderId="6" xfId="0" applyFont="1" applyBorder="1" applyAlignment="1">
      <alignment horizontal="left" vertic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8" fillId="0" borderId="0" xfId="0" applyFont="1" applyAlignment="1">
      <alignment horizontal="left" vertical="center"/>
    </xf>
    <xf numFmtId="49" fontId="41" fillId="0" borderId="0" xfId="0" applyNumberFormat="1" applyFont="1" applyAlignment="1">
      <alignment horizontal="left" vertical="center" wrapText="1"/>
    </xf>
    <xf numFmtId="0" fontId="55" fillId="0" borderId="0" xfId="59" applyFont="1"/>
    <xf numFmtId="0" fontId="48" fillId="0" borderId="0" xfId="61" applyFont="1" applyAlignment="1">
      <alignment horizontal="center" vertical="center" wrapText="1"/>
    </xf>
    <xf numFmtId="165" fontId="14" fillId="0" borderId="4" xfId="0" applyNumberFormat="1" applyFont="1" applyBorder="1" applyAlignment="1">
      <alignment horizontal="center" vertical="center"/>
    </xf>
    <xf numFmtId="2" fontId="14" fillId="0" borderId="4" xfId="0" applyNumberFormat="1" applyFont="1" applyBorder="1" applyAlignment="1">
      <alignment horizontal="center" vertical="center"/>
    </xf>
    <xf numFmtId="0" fontId="34" fillId="0" borderId="0" xfId="0" applyFont="1" applyAlignment="1">
      <alignment horizontal="center"/>
    </xf>
    <xf numFmtId="0" fontId="34" fillId="0" borderId="0" xfId="0" applyFont="1" applyAlignment="1">
      <alignment horizontal="center" vertical="center" wrapText="1"/>
    </xf>
    <xf numFmtId="0" fontId="14" fillId="2" borderId="0" xfId="0" applyFont="1" applyFill="1" applyAlignment="1">
      <alignment horizontal="center" vertical="center"/>
    </xf>
    <xf numFmtId="165" fontId="17" fillId="0" borderId="0" xfId="0" applyNumberFormat="1" applyFont="1" applyAlignment="1">
      <alignment horizontal="center" vertical="center"/>
    </xf>
    <xf numFmtId="0" fontId="67" fillId="0" borderId="0" xfId="61" quotePrefix="1" applyFont="1"/>
    <xf numFmtId="1" fontId="14" fillId="0" borderId="0" xfId="0" applyNumberFormat="1" applyFont="1" applyAlignment="1">
      <alignment horizontal="center"/>
    </xf>
    <xf numFmtId="0" fontId="14" fillId="2" borderId="0" xfId="0" applyFont="1" applyFill="1" applyAlignment="1">
      <alignment horizontal="center"/>
    </xf>
    <xf numFmtId="0" fontId="14" fillId="2" borderId="0" xfId="0" applyFont="1" applyFill="1" applyAlignment="1">
      <alignment horizontal="center" wrapText="1"/>
    </xf>
    <xf numFmtId="2" fontId="14" fillId="2" borderId="0" xfId="0" applyNumberFormat="1" applyFont="1" applyFill="1" applyAlignment="1">
      <alignment horizontal="center" wrapText="1"/>
    </xf>
    <xf numFmtId="0" fontId="14" fillId="0" borderId="19" xfId="0" applyFont="1" applyBorder="1" applyAlignment="1">
      <alignment vertical="center"/>
    </xf>
    <xf numFmtId="0" fontId="14" fillId="0" borderId="0" xfId="10" applyFont="1"/>
    <xf numFmtId="0" fontId="14" fillId="0" borderId="0" xfId="10" applyFont="1" applyAlignment="1">
      <alignment horizontal="left"/>
    </xf>
    <xf numFmtId="0" fontId="16" fillId="0" borderId="0" xfId="10" applyFont="1"/>
    <xf numFmtId="49" fontId="16" fillId="0" borderId="0" xfId="10" applyNumberFormat="1" applyFont="1"/>
    <xf numFmtId="2" fontId="14" fillId="0" borderId="0" xfId="10" applyNumberFormat="1" applyFont="1" applyAlignment="1">
      <alignment horizontal="center" vertical="center"/>
    </xf>
    <xf numFmtId="2" fontId="16" fillId="0" borderId="0" xfId="10" applyNumberFormat="1" applyFont="1" applyAlignment="1">
      <alignment horizontal="center" vertical="center"/>
    </xf>
    <xf numFmtId="0" fontId="14" fillId="0" borderId="2" xfId="10" applyFont="1" applyBorder="1" applyAlignment="1">
      <alignment horizontal="left" vertical="center"/>
    </xf>
    <xf numFmtId="0" fontId="14" fillId="0" borderId="2" xfId="10" applyFont="1" applyBorder="1" applyAlignment="1">
      <alignment horizontal="center" vertical="center"/>
    </xf>
    <xf numFmtId="0" fontId="14" fillId="0" borderId="0" xfId="10" applyFont="1" applyAlignment="1">
      <alignment horizontal="left" vertical="center"/>
    </xf>
    <xf numFmtId="168" fontId="16" fillId="0" borderId="0" xfId="10" applyNumberFormat="1" applyFont="1" applyAlignment="1">
      <alignment horizontal="center" vertical="center"/>
    </xf>
    <xf numFmtId="0" fontId="14" fillId="0" borderId="0" xfId="10" applyFont="1" applyAlignment="1">
      <alignment horizontal="center" vertical="center"/>
    </xf>
    <xf numFmtId="1" fontId="16" fillId="0" borderId="0" xfId="10" applyNumberFormat="1" applyFont="1" applyAlignment="1">
      <alignment horizontal="center" vertical="center"/>
    </xf>
    <xf numFmtId="0" fontId="16" fillId="0" borderId="0" xfId="10" applyFont="1" applyAlignment="1">
      <alignment horizontal="left" vertical="center"/>
    </xf>
    <xf numFmtId="0" fontId="16" fillId="0" borderId="0" xfId="10" applyFont="1" applyAlignment="1">
      <alignment horizontal="center" vertical="center"/>
    </xf>
    <xf numFmtId="165" fontId="14" fillId="0" borderId="0" xfId="10" applyNumberFormat="1" applyFont="1" applyAlignment="1">
      <alignment horizontal="center" vertical="center"/>
    </xf>
    <xf numFmtId="0" fontId="14" fillId="0" borderId="0" xfId="10" applyFont="1" applyAlignment="1">
      <alignment horizontal="center"/>
    </xf>
    <xf numFmtId="168" fontId="16" fillId="0" borderId="2" xfId="10" applyNumberFormat="1" applyFont="1" applyBorder="1" applyAlignment="1">
      <alignment horizontal="center" vertical="center"/>
    </xf>
    <xf numFmtId="49" fontId="16" fillId="0" borderId="2" xfId="10" applyNumberFormat="1" applyFont="1" applyBorder="1" applyAlignment="1">
      <alignment vertical="center"/>
    </xf>
    <xf numFmtId="49" fontId="16" fillId="0" borderId="0" xfId="10" applyNumberFormat="1" applyFont="1" applyAlignment="1">
      <alignment vertical="center"/>
    </xf>
    <xf numFmtId="0" fontId="14" fillId="0" borderId="0" xfId="10" applyFont="1" applyAlignment="1">
      <alignment vertical="center"/>
    </xf>
    <xf numFmtId="49" fontId="16" fillId="0" borderId="0" xfId="10" applyNumberFormat="1" applyFont="1" applyAlignment="1">
      <alignment horizontal="center" vertical="center"/>
    </xf>
    <xf numFmtId="49" fontId="14" fillId="0" borderId="0" xfId="10" applyNumberFormat="1" applyFont="1" applyAlignment="1">
      <alignment horizontal="center" vertical="center"/>
    </xf>
    <xf numFmtId="0" fontId="16" fillId="0" borderId="0" xfId="10" applyFont="1" applyAlignment="1">
      <alignment vertical="center"/>
    </xf>
    <xf numFmtId="0" fontId="16" fillId="0" borderId="20" xfId="10" applyFont="1" applyBorder="1" applyAlignment="1">
      <alignment horizontal="left" vertical="center"/>
    </xf>
    <xf numFmtId="49" fontId="16" fillId="0" borderId="21" xfId="10" applyNumberFormat="1" applyFont="1" applyBorder="1" applyAlignment="1">
      <alignment vertical="center"/>
    </xf>
    <xf numFmtId="49" fontId="16" fillId="0" borderId="22" xfId="10" applyNumberFormat="1" applyFont="1" applyBorder="1" applyAlignment="1">
      <alignment vertical="center"/>
    </xf>
    <xf numFmtId="0" fontId="14" fillId="0" borderId="0" xfId="10" applyFont="1" applyAlignment="1">
      <alignment horizontal="center" vertical="center" wrapText="1"/>
    </xf>
    <xf numFmtId="0" fontId="16" fillId="0" borderId="0" xfId="10" applyFont="1" applyAlignment="1">
      <alignment horizontal="center" vertical="center" wrapText="1"/>
    </xf>
    <xf numFmtId="165" fontId="16" fillId="0" borderId="0" xfId="10" applyNumberFormat="1" applyFont="1" applyAlignment="1">
      <alignment horizontal="center" vertical="center"/>
    </xf>
    <xf numFmtId="49" fontId="16" fillId="0" borderId="0" xfId="10" applyNumberFormat="1" applyFont="1" applyAlignment="1">
      <alignment horizontal="center" vertical="center" wrapText="1"/>
    </xf>
    <xf numFmtId="49" fontId="16" fillId="0" borderId="0" xfId="10" applyNumberFormat="1" applyFont="1" applyAlignment="1">
      <alignment horizontal="left" vertical="center" wrapText="1"/>
    </xf>
    <xf numFmtId="49" fontId="32" fillId="0" borderId="0" xfId="10" applyNumberFormat="1" applyFont="1" applyAlignment="1">
      <alignment horizontal="center" vertical="center" wrapText="1"/>
    </xf>
    <xf numFmtId="0" fontId="14" fillId="0" borderId="23" xfId="10" applyFont="1" applyBorder="1" applyAlignment="1">
      <alignment vertical="center"/>
    </xf>
    <xf numFmtId="0" fontId="16" fillId="0" borderId="2" xfId="10" applyFont="1" applyBorder="1" applyAlignment="1">
      <alignment horizontal="left" vertical="center"/>
    </xf>
    <xf numFmtId="0" fontId="14" fillId="0" borderId="2" xfId="10" applyFont="1" applyBorder="1" applyAlignment="1">
      <alignment vertical="center"/>
    </xf>
    <xf numFmtId="0" fontId="16" fillId="0" borderId="2" xfId="10" applyFont="1" applyBorder="1" applyAlignment="1">
      <alignment vertical="center"/>
    </xf>
    <xf numFmtId="0" fontId="14" fillId="0" borderId="21" xfId="10" applyFont="1" applyBorder="1" applyAlignment="1">
      <alignment vertical="center"/>
    </xf>
    <xf numFmtId="0" fontId="14" fillId="0" borderId="1" xfId="10" applyFont="1" applyBorder="1" applyAlignment="1">
      <alignment vertical="center"/>
    </xf>
    <xf numFmtId="0" fontId="14" fillId="0" borderId="22" xfId="10" applyFont="1" applyBorder="1" applyAlignment="1">
      <alignment vertical="center"/>
    </xf>
    <xf numFmtId="1" fontId="14" fillId="0" borderId="0" xfId="10" applyNumberFormat="1" applyFont="1" applyAlignment="1">
      <alignment horizontal="center" vertical="center"/>
    </xf>
    <xf numFmtId="0" fontId="14" fillId="0" borderId="22" xfId="10" applyFont="1" applyBorder="1" applyAlignment="1">
      <alignment horizontal="center" vertical="center"/>
    </xf>
    <xf numFmtId="0" fontId="16" fillId="0" borderId="0" xfId="10" applyFont="1" applyAlignment="1">
      <alignment horizontal="center"/>
    </xf>
    <xf numFmtId="0" fontId="14" fillId="0" borderId="1" xfId="10" applyFont="1" applyBorder="1" applyAlignment="1">
      <alignment horizontal="center" vertical="center"/>
    </xf>
    <xf numFmtId="0" fontId="17" fillId="0" borderId="0" xfId="10" applyFont="1" applyAlignment="1">
      <alignment vertical="center"/>
    </xf>
    <xf numFmtId="165" fontId="17" fillId="0" borderId="19" xfId="10" applyNumberFormat="1" applyFont="1" applyBorder="1" applyAlignment="1">
      <alignment horizontal="center" vertical="center"/>
    </xf>
    <xf numFmtId="165" fontId="17" fillId="0" borderId="4" xfId="10" applyNumberFormat="1" applyFont="1" applyBorder="1" applyAlignment="1">
      <alignment horizontal="center" vertical="center"/>
    </xf>
    <xf numFmtId="0" fontId="14" fillId="0" borderId="5" xfId="10" applyFont="1" applyBorder="1" applyAlignment="1">
      <alignment horizontal="left" vertical="center"/>
    </xf>
    <xf numFmtId="168" fontId="14" fillId="0" borderId="4" xfId="10" applyNumberFormat="1" applyFont="1" applyBorder="1" applyAlignment="1">
      <alignment horizontal="left" vertical="center"/>
    </xf>
    <xf numFmtId="0" fontId="14" fillId="0" borderId="4" xfId="10" applyFont="1" applyBorder="1" applyAlignment="1">
      <alignment horizontal="center" vertical="center"/>
    </xf>
    <xf numFmtId="0" fontId="14" fillId="0" borderId="3" xfId="10" applyFont="1" applyBorder="1" applyAlignment="1">
      <alignment vertical="center"/>
    </xf>
    <xf numFmtId="0" fontId="14" fillId="0" borderId="7" xfId="10" applyFont="1" applyBorder="1"/>
    <xf numFmtId="0" fontId="15" fillId="0" borderId="6" xfId="10" applyFont="1" applyBorder="1" applyAlignment="1">
      <alignment vertical="center"/>
    </xf>
    <xf numFmtId="0" fontId="14" fillId="0" borderId="6" xfId="10" applyFont="1" applyBorder="1" applyAlignment="1">
      <alignment vertical="center"/>
    </xf>
    <xf numFmtId="0" fontId="14" fillId="0" borderId="7" xfId="51" applyFont="1" applyBorder="1" applyAlignment="1">
      <alignment horizontal="left" vertical="center"/>
    </xf>
    <xf numFmtId="0" fontId="15" fillId="0" borderId="6" xfId="51" applyFont="1" applyBorder="1" applyAlignment="1">
      <alignment vertical="center"/>
    </xf>
    <xf numFmtId="0" fontId="14" fillId="0" borderId="4" xfId="10" applyFont="1" applyBorder="1" applyAlignment="1">
      <alignment vertical="center"/>
    </xf>
    <xf numFmtId="49" fontId="16" fillId="0" borderId="24" xfId="10" applyNumberFormat="1" applyFont="1" applyBorder="1" applyAlignment="1">
      <alignment vertical="center"/>
    </xf>
    <xf numFmtId="0" fontId="16" fillId="0" borderId="20" xfId="10" applyFont="1" applyBorder="1" applyAlignment="1">
      <alignment vertical="center"/>
    </xf>
    <xf numFmtId="0" fontId="14" fillId="0" borderId="20" xfId="10" applyFont="1" applyBorder="1" applyAlignment="1">
      <alignment vertical="center"/>
    </xf>
    <xf numFmtId="0" fontId="14" fillId="0" borderId="20" xfId="10" applyFont="1" applyBorder="1" applyAlignment="1">
      <alignment horizontal="left" vertical="center"/>
    </xf>
    <xf numFmtId="0" fontId="14" fillId="0" borderId="25" xfId="10" applyFont="1" applyBorder="1" applyAlignment="1">
      <alignment vertical="center"/>
    </xf>
    <xf numFmtId="165" fontId="17" fillId="0" borderId="2" xfId="10" applyNumberFormat="1" applyFont="1" applyBorder="1" applyAlignment="1">
      <alignment horizontal="center" vertical="center"/>
    </xf>
    <xf numFmtId="165" fontId="14" fillId="0" borderId="2" xfId="10" applyNumberFormat="1" applyFont="1" applyBorder="1" applyAlignment="1">
      <alignment horizontal="center" vertical="center"/>
    </xf>
    <xf numFmtId="0" fontId="15" fillId="0" borderId="2" xfId="10" applyFont="1" applyBorder="1" applyAlignment="1">
      <alignment vertical="center"/>
    </xf>
    <xf numFmtId="0" fontId="14" fillId="0" borderId="0" xfId="0" applyFont="1" applyProtection="1">
      <protection hidden="1"/>
    </xf>
    <xf numFmtId="0" fontId="72" fillId="0" borderId="0" xfId="0" applyFont="1"/>
    <xf numFmtId="0" fontId="73" fillId="0" borderId="0" xfId="0" applyFont="1"/>
    <xf numFmtId="0" fontId="74" fillId="0" borderId="0" xfId="0" applyFont="1" applyAlignment="1">
      <alignment horizontal="right" vertical="center"/>
    </xf>
    <xf numFmtId="0" fontId="74" fillId="0" borderId="0" xfId="0" applyFont="1" applyAlignment="1">
      <alignment vertical="center"/>
    </xf>
    <xf numFmtId="0" fontId="14" fillId="0" borderId="0" xfId="61" applyFont="1" applyAlignment="1">
      <alignment vertical="center" wrapText="1"/>
    </xf>
    <xf numFmtId="0" fontId="14" fillId="2" borderId="28" xfId="0" applyFont="1" applyFill="1" applyBorder="1"/>
    <xf numFmtId="0" fontId="16" fillId="2" borderId="28" xfId="10" applyFont="1" applyFill="1" applyBorder="1" applyAlignment="1">
      <alignment horizontal="left" vertical="center"/>
    </xf>
    <xf numFmtId="0" fontId="16" fillId="2" borderId="29" xfId="10" applyFont="1" applyFill="1" applyBorder="1" applyAlignment="1">
      <alignment horizontal="left" vertical="center"/>
    </xf>
    <xf numFmtId="49" fontId="16" fillId="2" borderId="30" xfId="10" applyNumberFormat="1" applyFont="1" applyFill="1" applyBorder="1" applyAlignment="1">
      <alignment horizontal="left" vertical="center"/>
    </xf>
    <xf numFmtId="0" fontId="16" fillId="2" borderId="18" xfId="10" applyFont="1" applyFill="1" applyBorder="1" applyAlignment="1">
      <alignment vertical="center"/>
    </xf>
    <xf numFmtId="0" fontId="14" fillId="2" borderId="19" xfId="10" applyFont="1" applyFill="1" applyBorder="1" applyAlignment="1">
      <alignment vertical="center"/>
    </xf>
    <xf numFmtId="0" fontId="14" fillId="2" borderId="14" xfId="10" applyFont="1" applyFill="1" applyBorder="1" applyAlignment="1">
      <alignment horizontal="left" vertical="center"/>
    </xf>
    <xf numFmtId="165" fontId="17" fillId="2" borderId="19" xfId="10" applyNumberFormat="1" applyFont="1" applyFill="1" applyBorder="1" applyAlignment="1">
      <alignment horizontal="center" vertical="center"/>
    </xf>
    <xf numFmtId="0" fontId="14" fillId="2" borderId="19" xfId="10" applyFont="1" applyFill="1" applyBorder="1" applyAlignment="1">
      <alignment horizontal="center" vertical="center"/>
    </xf>
    <xf numFmtId="168" fontId="14" fillId="2" borderId="19" xfId="10" applyNumberFormat="1" applyFont="1" applyFill="1" applyBorder="1" applyAlignment="1">
      <alignment horizontal="left" vertical="center"/>
    </xf>
    <xf numFmtId="49" fontId="14" fillId="2" borderId="28" xfId="0" applyNumberFormat="1" applyFont="1" applyFill="1" applyBorder="1" applyAlignment="1">
      <alignment horizontal="left" vertical="center"/>
    </xf>
    <xf numFmtId="49" fontId="16" fillId="2" borderId="18" xfId="59" applyNumberFormat="1" applyFont="1" applyFill="1" applyBorder="1"/>
    <xf numFmtId="0" fontId="16" fillId="2" borderId="19" xfId="59" applyFont="1" applyFill="1" applyBorder="1"/>
    <xf numFmtId="0" fontId="14" fillId="2" borderId="19" xfId="59" applyFont="1" applyFill="1" applyBorder="1"/>
    <xf numFmtId="0" fontId="14" fillId="2" borderId="14" xfId="59" applyFont="1" applyFill="1" applyBorder="1"/>
    <xf numFmtId="0" fontId="14" fillId="2" borderId="19" xfId="59" applyFont="1" applyFill="1" applyBorder="1" applyAlignment="1">
      <alignment horizontal="center"/>
    </xf>
    <xf numFmtId="0" fontId="14" fillId="2" borderId="14" xfId="59" applyFont="1" applyFill="1" applyBorder="1" applyAlignment="1">
      <alignment horizontal="center"/>
    </xf>
    <xf numFmtId="0" fontId="38" fillId="2" borderId="8" xfId="58" applyFont="1" applyFill="1" applyBorder="1" applyAlignment="1">
      <alignment horizontal="center" vertical="center" wrapText="1"/>
    </xf>
    <xf numFmtId="1" fontId="65" fillId="2" borderId="8" xfId="58" applyNumberFormat="1" applyFont="1" applyFill="1" applyBorder="1" applyAlignment="1">
      <alignment horizontal="center" vertical="center" wrapText="1"/>
    </xf>
    <xf numFmtId="0" fontId="38" fillId="2" borderId="8" xfId="57" applyFont="1" applyFill="1" applyBorder="1" applyAlignment="1">
      <alignment horizontal="center"/>
    </xf>
    <xf numFmtId="0" fontId="61" fillId="2" borderId="8" xfId="57" applyFont="1" applyFill="1" applyBorder="1" applyAlignment="1">
      <alignment horizontal="center"/>
    </xf>
    <xf numFmtId="0" fontId="38" fillId="2" borderId="8" xfId="57" applyFont="1" applyFill="1" applyBorder="1" applyAlignment="1">
      <alignment horizontal="center" wrapText="1"/>
    </xf>
    <xf numFmtId="1" fontId="64" fillId="2" borderId="8" xfId="60" applyNumberFormat="1" applyFont="1" applyFill="1" applyBorder="1" applyAlignment="1">
      <alignment horizontal="center" vertical="center"/>
    </xf>
    <xf numFmtId="1" fontId="17" fillId="2" borderId="31" xfId="60" applyNumberFormat="1" applyFont="1" applyFill="1" applyBorder="1" applyAlignment="1">
      <alignment horizontal="center" vertical="center"/>
    </xf>
    <xf numFmtId="0" fontId="38" fillId="0" borderId="0" xfId="58" applyFont="1" applyAlignment="1">
      <alignment horizontal="center" vertical="center"/>
    </xf>
    <xf numFmtId="0" fontId="56" fillId="0" borderId="0" xfId="58" applyFont="1" applyAlignment="1">
      <alignment horizontal="center" vertical="center" wrapText="1"/>
    </xf>
    <xf numFmtId="0" fontId="37" fillId="0" borderId="0" xfId="58" applyFont="1" applyAlignment="1">
      <alignment horizontal="right" vertical="center"/>
    </xf>
    <xf numFmtId="0" fontId="37" fillId="3" borderId="0" xfId="57" applyFont="1" applyFill="1" applyAlignment="1">
      <alignment horizontal="right" vertical="center"/>
    </xf>
    <xf numFmtId="0" fontId="14" fillId="0" borderId="0" xfId="0" applyFont="1" applyAlignment="1">
      <alignment vertical="center" wrapText="1"/>
    </xf>
    <xf numFmtId="0" fontId="14" fillId="0" borderId="19" xfId="0" applyFont="1" applyBorder="1"/>
    <xf numFmtId="0" fontId="15" fillId="0" borderId="0" xfId="0" applyFont="1" applyAlignment="1">
      <alignment vertical="center" wrapText="1"/>
    </xf>
    <xf numFmtId="0" fontId="63" fillId="0" borderId="19" xfId="0" applyFont="1" applyBorder="1" applyAlignment="1">
      <alignment horizontal="center" vertical="center"/>
    </xf>
    <xf numFmtId="0" fontId="14" fillId="3" borderId="0" xfId="0" applyFont="1" applyFill="1" applyAlignment="1">
      <alignment horizontal="center" vertical="center"/>
    </xf>
    <xf numFmtId="2" fontId="14" fillId="3" borderId="0" xfId="0" applyNumberFormat="1" applyFont="1" applyFill="1" applyAlignment="1">
      <alignment horizontal="center" vertical="center"/>
    </xf>
    <xf numFmtId="0" fontId="14" fillId="3" borderId="0" xfId="0" applyFont="1" applyFill="1" applyAlignment="1">
      <alignment horizontal="center" vertical="center" wrapText="1"/>
    </xf>
    <xf numFmtId="0" fontId="14" fillId="3" borderId="0" xfId="0" applyFont="1" applyFill="1"/>
    <xf numFmtId="49" fontId="16" fillId="2" borderId="30" xfId="10" applyNumberFormat="1" applyFont="1" applyFill="1" applyBorder="1" applyAlignment="1">
      <alignment horizontal="center" vertical="center"/>
    </xf>
    <xf numFmtId="0" fontId="43" fillId="0" borderId="0" xfId="0" applyFont="1" applyAlignment="1">
      <alignment horizontal="left" vertical="center"/>
    </xf>
    <xf numFmtId="49" fontId="14" fillId="0" borderId="0" xfId="0" applyNumberFormat="1" applyFont="1" applyAlignment="1">
      <alignment horizontal="left" vertical="center" wrapText="1"/>
    </xf>
    <xf numFmtId="0" fontId="17" fillId="0" borderId="18" xfId="0" applyFont="1" applyBorder="1" applyAlignment="1">
      <alignment horizontal="left" vertical="center"/>
    </xf>
    <xf numFmtId="0" fontId="14" fillId="0" borderId="10" xfId="0" applyFont="1" applyBorder="1" applyAlignment="1">
      <alignment horizontal="left" vertical="center"/>
    </xf>
    <xf numFmtId="0" fontId="16" fillId="0" borderId="9" xfId="0" applyFont="1" applyBorder="1" applyAlignment="1">
      <alignment horizontal="center" vertical="center" wrapText="1"/>
    </xf>
    <xf numFmtId="0" fontId="14" fillId="3" borderId="0" xfId="0" applyFont="1" applyFill="1" applyAlignment="1">
      <alignment horizontal="center"/>
    </xf>
    <xf numFmtId="165" fontId="17" fillId="2" borderId="8" xfId="61" applyNumberFormat="1" applyFont="1" applyFill="1" applyBorder="1" applyAlignment="1">
      <alignment horizontal="center" vertical="center"/>
    </xf>
    <xf numFmtId="0" fontId="16" fillId="2" borderId="32" xfId="61" applyFont="1" applyFill="1" applyBorder="1"/>
    <xf numFmtId="0" fontId="16" fillId="2" borderId="33" xfId="61" applyFont="1" applyFill="1" applyBorder="1"/>
    <xf numFmtId="0" fontId="14" fillId="2" borderId="34" xfId="61" applyFont="1" applyFill="1" applyBorder="1" applyAlignment="1">
      <alignment horizontal="right" vertical="center"/>
    </xf>
    <xf numFmtId="49" fontId="25" fillId="0" borderId="35" xfId="61" applyNumberFormat="1" applyFont="1" applyBorder="1" applyAlignment="1">
      <alignment horizontal="center" vertical="center" wrapText="1"/>
    </xf>
    <xf numFmtId="0" fontId="46" fillId="0" borderId="36" xfId="61" applyBorder="1"/>
    <xf numFmtId="0" fontId="16" fillId="0" borderId="22" xfId="61" applyFont="1" applyBorder="1"/>
    <xf numFmtId="0" fontId="46" fillId="0" borderId="1" xfId="61" applyBorder="1"/>
    <xf numFmtId="49" fontId="25" fillId="0" borderId="37" xfId="61" applyNumberFormat="1" applyFont="1" applyBorder="1" applyAlignment="1">
      <alignment horizontal="center" vertical="center" wrapText="1"/>
    </xf>
    <xf numFmtId="0" fontId="46" fillId="0" borderId="38" xfId="61" applyBorder="1"/>
    <xf numFmtId="0" fontId="21" fillId="0" borderId="22" xfId="61" applyFont="1" applyBorder="1"/>
    <xf numFmtId="49" fontId="25" fillId="0" borderId="22" xfId="61" applyNumberFormat="1" applyFont="1" applyBorder="1" applyAlignment="1">
      <alignment horizontal="center" vertical="center" wrapText="1"/>
    </xf>
    <xf numFmtId="0" fontId="16" fillId="0" borderId="35" xfId="61" applyFont="1" applyBorder="1"/>
    <xf numFmtId="0" fontId="16" fillId="0" borderId="37" xfId="61" applyFont="1" applyBorder="1"/>
    <xf numFmtId="0" fontId="14" fillId="0" borderId="36" xfId="61" applyFont="1" applyBorder="1"/>
    <xf numFmtId="0" fontId="14" fillId="0" borderId="1" xfId="61" applyFont="1" applyBorder="1"/>
    <xf numFmtId="49" fontId="28" fillId="0" borderId="21" xfId="61" applyNumberFormat="1" applyFont="1" applyBorder="1" applyAlignment="1">
      <alignment horizontal="center"/>
    </xf>
    <xf numFmtId="49" fontId="28" fillId="0" borderId="2" xfId="61" applyNumberFormat="1" applyFont="1" applyBorder="1"/>
    <xf numFmtId="0" fontId="12" fillId="0" borderId="2" xfId="61" applyFont="1" applyBorder="1"/>
    <xf numFmtId="0" fontId="14" fillId="0" borderId="23" xfId="61" applyFont="1" applyBorder="1"/>
    <xf numFmtId="49" fontId="16" fillId="0" borderId="35" xfId="61" applyNumberFormat="1" applyFont="1" applyBorder="1" applyAlignment="1">
      <alignment horizontal="center"/>
    </xf>
    <xf numFmtId="49" fontId="16" fillId="0" borderId="22" xfId="61" applyNumberFormat="1" applyFont="1" applyBorder="1" applyAlignment="1">
      <alignment horizontal="center"/>
    </xf>
    <xf numFmtId="0" fontId="16" fillId="0" borderId="21" xfId="61" applyFont="1" applyBorder="1"/>
    <xf numFmtId="0" fontId="16" fillId="0" borderId="2" xfId="61" applyFont="1" applyBorder="1"/>
    <xf numFmtId="0" fontId="14" fillId="0" borderId="2" xfId="61" applyFont="1" applyBorder="1"/>
    <xf numFmtId="0" fontId="46" fillId="0" borderId="23" xfId="61" applyBorder="1"/>
    <xf numFmtId="49" fontId="16" fillId="0" borderId="4" xfId="59" applyNumberFormat="1" applyFont="1" applyBorder="1"/>
    <xf numFmtId="49" fontId="16" fillId="0" borderId="5" xfId="59" applyNumberFormat="1" applyFont="1" applyBorder="1"/>
    <xf numFmtId="0" fontId="14" fillId="0" borderId="22" xfId="0" applyFont="1" applyBorder="1"/>
    <xf numFmtId="0" fontId="14" fillId="0" borderId="22" xfId="0" applyFont="1" applyBorder="1" applyAlignment="1">
      <alignment horizontal="left" vertical="center"/>
    </xf>
    <xf numFmtId="0" fontId="14" fillId="0" borderId="1" xfId="0" applyFont="1" applyBorder="1" applyAlignment="1">
      <alignment horizontal="left" vertical="center"/>
    </xf>
    <xf numFmtId="0" fontId="43" fillId="0" borderId="0" xfId="0" applyFont="1"/>
    <xf numFmtId="0" fontId="14" fillId="0" borderId="0" xfId="23" applyFont="1"/>
    <xf numFmtId="0" fontId="14" fillId="0" borderId="7" xfId="23" applyFont="1" applyBorder="1"/>
    <xf numFmtId="49" fontId="16" fillId="2" borderId="30" xfId="10" applyNumberFormat="1" applyFont="1" applyFill="1" applyBorder="1"/>
    <xf numFmtId="0" fontId="0" fillId="2" borderId="28" xfId="0" applyFill="1" applyBorder="1"/>
    <xf numFmtId="0" fontId="0" fillId="2" borderId="29" xfId="0" applyFill="1" applyBorder="1"/>
    <xf numFmtId="0" fontId="14" fillId="3" borderId="0" xfId="0" applyFont="1" applyFill="1" applyAlignment="1">
      <alignment horizontal="left"/>
    </xf>
    <xf numFmtId="0" fontId="14" fillId="0" borderId="1" xfId="23" applyFont="1" applyBorder="1"/>
    <xf numFmtId="0" fontId="14" fillId="0" borderId="0" xfId="23" applyFont="1" applyAlignment="1">
      <alignment horizontal="center" vertical="center"/>
    </xf>
    <xf numFmtId="0" fontId="14" fillId="0" borderId="0" xfId="23" applyFont="1" applyAlignment="1">
      <alignment vertical="center"/>
    </xf>
    <xf numFmtId="0" fontId="16" fillId="0" borderId="0" xfId="23" applyFont="1" applyAlignment="1">
      <alignment horizontal="left" vertical="center"/>
    </xf>
    <xf numFmtId="1" fontId="16" fillId="0" borderId="0" xfId="23" applyNumberFormat="1" applyFont="1" applyAlignment="1">
      <alignment horizontal="center" vertical="center"/>
    </xf>
    <xf numFmtId="0" fontId="14" fillId="0" borderId="1" xfId="23" applyFont="1" applyBorder="1" applyAlignment="1">
      <alignment vertical="center"/>
    </xf>
    <xf numFmtId="0" fontId="16" fillId="0" borderId="22" xfId="23" applyFont="1" applyBorder="1" applyAlignment="1">
      <alignment vertical="center"/>
    </xf>
    <xf numFmtId="0" fontId="16" fillId="0" borderId="0" xfId="23" applyFont="1" applyAlignment="1">
      <alignment horizontal="center" vertical="center"/>
    </xf>
    <xf numFmtId="0" fontId="15" fillId="0" borderId="0" xfId="23" applyFont="1" applyAlignment="1">
      <alignment vertical="center"/>
    </xf>
    <xf numFmtId="14" fontId="16" fillId="0" borderId="0" xfId="23" applyNumberFormat="1" applyFont="1" applyAlignment="1">
      <alignment horizontal="center" vertical="center"/>
    </xf>
    <xf numFmtId="49" fontId="16" fillId="0" borderId="22" xfId="23" applyNumberFormat="1" applyFont="1" applyBorder="1" applyAlignment="1">
      <alignment horizontal="center" vertical="center"/>
    </xf>
    <xf numFmtId="0" fontId="14" fillId="0" borderId="0" xfId="23" applyFont="1" applyAlignment="1">
      <alignment vertical="center" wrapText="1"/>
    </xf>
    <xf numFmtId="0" fontId="14" fillId="0" borderId="20" xfId="23" applyFont="1" applyBorder="1" applyAlignment="1">
      <alignment vertical="center" wrapText="1"/>
    </xf>
    <xf numFmtId="0" fontId="14" fillId="2" borderId="29" xfId="23" applyFont="1" applyFill="1" applyBorder="1" applyAlignment="1">
      <alignment vertical="center"/>
    </xf>
    <xf numFmtId="0" fontId="14" fillId="2" borderId="28" xfId="23" applyFont="1" applyFill="1" applyBorder="1" applyAlignment="1">
      <alignment vertical="center"/>
    </xf>
    <xf numFmtId="0" fontId="16" fillId="2" borderId="28" xfId="23" applyFont="1" applyFill="1" applyBorder="1" applyAlignment="1">
      <alignment vertical="center"/>
    </xf>
    <xf numFmtId="0" fontId="16" fillId="2" borderId="28" xfId="23" applyFont="1" applyFill="1" applyBorder="1" applyAlignment="1">
      <alignment horizontal="left" vertical="center"/>
    </xf>
    <xf numFmtId="49" fontId="16" fillId="2" borderId="30" xfId="23" applyNumberFormat="1" applyFont="1" applyFill="1" applyBorder="1" applyAlignment="1">
      <alignment horizontal="center" vertical="center"/>
    </xf>
    <xf numFmtId="0" fontId="14" fillId="0" borderId="2" xfId="23" applyFont="1" applyBorder="1" applyAlignment="1">
      <alignment horizontal="center" vertical="center"/>
    </xf>
    <xf numFmtId="1" fontId="16" fillId="0" borderId="2" xfId="23" applyNumberFormat="1" applyFont="1" applyBorder="1" applyAlignment="1">
      <alignment horizontal="center" vertical="center"/>
    </xf>
    <xf numFmtId="0" fontId="16" fillId="0" borderId="2" xfId="23" applyFont="1" applyBorder="1" applyAlignment="1">
      <alignment horizontal="left" vertical="center"/>
    </xf>
    <xf numFmtId="49" fontId="25" fillId="0" borderId="0" xfId="23" applyNumberFormat="1" applyFont="1" applyAlignment="1">
      <alignment horizontal="center" vertical="center"/>
    </xf>
    <xf numFmtId="168" fontId="14" fillId="0" borderId="0" xfId="23" applyNumberFormat="1" applyFont="1" applyAlignment="1">
      <alignment horizontal="center" vertical="center"/>
    </xf>
    <xf numFmtId="165" fontId="16" fillId="0" borderId="0" xfId="23" applyNumberFormat="1" applyFont="1" applyAlignment="1">
      <alignment horizontal="center" vertical="center"/>
    </xf>
    <xf numFmtId="168" fontId="16" fillId="0" borderId="0" xfId="23" applyNumberFormat="1" applyFont="1" applyAlignment="1">
      <alignment horizontal="center" vertical="center"/>
    </xf>
    <xf numFmtId="0" fontId="16" fillId="0" borderId="0" xfId="23" applyFont="1"/>
    <xf numFmtId="0" fontId="14" fillId="0" borderId="0" xfId="0" applyFont="1" applyAlignment="1">
      <alignment vertical="top" wrapText="1"/>
    </xf>
    <xf numFmtId="2" fontId="14" fillId="0" borderId="0" xfId="0" applyNumberFormat="1" applyFont="1" applyAlignment="1">
      <alignment horizontal="center" wrapText="1"/>
    </xf>
    <xf numFmtId="0" fontId="14" fillId="0" borderId="22" xfId="23" applyFont="1" applyBorder="1"/>
    <xf numFmtId="49" fontId="14" fillId="0" borderId="0" xfId="0" applyNumberFormat="1" applyFont="1" applyAlignment="1">
      <alignment horizontal="center" vertical="center"/>
    </xf>
    <xf numFmtId="0" fontId="12" fillId="0" borderId="0" xfId="0" applyFont="1"/>
    <xf numFmtId="49" fontId="12" fillId="0" borderId="0" xfId="0" applyNumberFormat="1" applyFont="1" applyAlignment="1">
      <alignment horizontal="left"/>
    </xf>
    <xf numFmtId="49" fontId="14" fillId="2" borderId="30" xfId="0" applyNumberFormat="1" applyFont="1" applyFill="1" applyBorder="1" applyAlignment="1">
      <alignment horizontal="left" vertical="center"/>
    </xf>
    <xf numFmtId="49" fontId="14" fillId="0" borderId="22" xfId="0" applyNumberFormat="1" applyFont="1" applyBorder="1" applyAlignment="1">
      <alignment horizontal="left" vertical="center"/>
    </xf>
    <xf numFmtId="0" fontId="14" fillId="0" borderId="21" xfId="0" applyFont="1" applyBorder="1" applyAlignment="1">
      <alignment horizontal="left" vertical="center"/>
    </xf>
    <xf numFmtId="49" fontId="14" fillId="2" borderId="29" xfId="0" applyNumberFormat="1" applyFont="1" applyFill="1" applyBorder="1" applyAlignment="1">
      <alignment horizontal="left" vertical="center"/>
    </xf>
    <xf numFmtId="0" fontId="14" fillId="2" borderId="28" xfId="0" applyFont="1" applyFill="1" applyBorder="1" applyAlignment="1">
      <alignment vertical="center"/>
    </xf>
    <xf numFmtId="0" fontId="14" fillId="3" borderId="0" xfId="0" applyFont="1" applyFill="1" applyAlignment="1">
      <alignment horizontal="center" wrapText="1"/>
    </xf>
    <xf numFmtId="0" fontId="14" fillId="0" borderId="22" xfId="0" applyFont="1" applyBorder="1" applyAlignment="1">
      <alignment vertical="center"/>
    </xf>
    <xf numFmtId="49" fontId="14" fillId="0" borderId="21" xfId="0" applyNumberFormat="1" applyFont="1" applyBorder="1" applyAlignment="1">
      <alignment horizontal="left" vertical="center"/>
    </xf>
    <xf numFmtId="0" fontId="14" fillId="2" borderId="8" xfId="0" applyFont="1" applyFill="1" applyBorder="1" applyAlignment="1">
      <alignment horizontal="center" vertical="center"/>
    </xf>
    <xf numFmtId="165" fontId="14" fillId="2" borderId="8" xfId="0" applyNumberFormat="1" applyFont="1" applyFill="1" applyBorder="1" applyAlignment="1">
      <alignment horizontal="center" vertical="center"/>
    </xf>
    <xf numFmtId="0" fontId="14" fillId="3" borderId="0" xfId="0" applyFont="1" applyFill="1" applyAlignment="1">
      <alignment horizontal="left" vertical="center"/>
    </xf>
    <xf numFmtId="165" fontId="14" fillId="3" borderId="0" xfId="0" applyNumberFormat="1" applyFont="1" applyFill="1" applyAlignment="1">
      <alignment horizontal="center" vertical="center"/>
    </xf>
    <xf numFmtId="49" fontId="14" fillId="3" borderId="0" xfId="0" applyNumberFormat="1" applyFont="1" applyFill="1" applyAlignment="1">
      <alignment horizontal="center" vertical="center"/>
    </xf>
    <xf numFmtId="0" fontId="14" fillId="3" borderId="0" xfId="0" applyFont="1" applyFill="1" applyAlignment="1">
      <alignment vertical="center"/>
    </xf>
    <xf numFmtId="0" fontId="14" fillId="3" borderId="0" xfId="0" applyFont="1" applyFill="1" applyAlignment="1">
      <alignment horizontal="left" wrapText="1"/>
    </xf>
    <xf numFmtId="0" fontId="14" fillId="3" borderId="0" xfId="0" applyFont="1" applyFill="1" applyAlignment="1">
      <alignment horizontal="left" vertical="center" wrapText="1"/>
    </xf>
    <xf numFmtId="165" fontId="14" fillId="3" borderId="0" xfId="0" applyNumberFormat="1" applyFont="1" applyFill="1" applyAlignment="1">
      <alignment horizontal="center" vertical="center" wrapText="1"/>
    </xf>
    <xf numFmtId="0" fontId="14" fillId="3" borderId="0" xfId="0" applyFont="1" applyFill="1" applyAlignment="1">
      <alignment horizontal="left" vertical="top" wrapText="1"/>
    </xf>
    <xf numFmtId="49" fontId="14" fillId="3" borderId="0" xfId="0" applyNumberFormat="1" applyFont="1" applyFill="1" applyAlignment="1">
      <alignment horizontal="left" vertical="center"/>
    </xf>
    <xf numFmtId="0" fontId="14" fillId="3" borderId="0" xfId="0" quotePrefix="1" applyFont="1" applyFill="1" applyAlignment="1">
      <alignment horizontal="center" vertical="center"/>
    </xf>
    <xf numFmtId="0" fontId="37" fillId="0" borderId="7" xfId="0" applyFont="1" applyBorder="1" applyAlignment="1">
      <alignment vertical="center"/>
    </xf>
    <xf numFmtId="0" fontId="37" fillId="0" borderId="0" xfId="0" applyFont="1"/>
    <xf numFmtId="1" fontId="37" fillId="0" borderId="7" xfId="0" applyNumberFormat="1" applyFont="1" applyBorder="1" applyAlignment="1" applyProtection="1">
      <alignment vertical="center"/>
      <protection locked="0"/>
    </xf>
    <xf numFmtId="0" fontId="37" fillId="0" borderId="7" xfId="0" applyFont="1" applyBorder="1"/>
    <xf numFmtId="0" fontId="37" fillId="0" borderId="0" xfId="0" applyFont="1" applyAlignment="1">
      <alignment horizontal="center" vertical="center"/>
    </xf>
    <xf numFmtId="0" fontId="48" fillId="0" borderId="0" xfId="0" applyFont="1"/>
    <xf numFmtId="0" fontId="37" fillId="0" borderId="0" xfId="0" applyFont="1" applyAlignment="1">
      <alignment vertical="center"/>
    </xf>
    <xf numFmtId="0" fontId="37" fillId="0" borderId="0" xfId="0" applyFont="1" applyAlignment="1">
      <alignment horizontal="center"/>
    </xf>
    <xf numFmtId="0" fontId="37" fillId="0" borderId="6" xfId="0" applyFont="1" applyBorder="1"/>
    <xf numFmtId="0" fontId="37" fillId="0" borderId="0" xfId="0" applyFont="1" applyAlignment="1">
      <alignment horizontal="right" vertical="center"/>
    </xf>
    <xf numFmtId="0" fontId="38" fillId="0" borderId="0" xfId="0" applyFont="1" applyAlignment="1">
      <alignment horizontal="center" vertical="center"/>
    </xf>
    <xf numFmtId="0" fontId="37" fillId="0" borderId="0" xfId="0" applyFont="1" applyAlignment="1">
      <alignment horizontal="left" vertical="center"/>
    </xf>
    <xf numFmtId="0" fontId="12" fillId="0" borderId="0" xfId="0" applyFont="1" applyAlignment="1">
      <alignment horizontal="center"/>
    </xf>
    <xf numFmtId="0" fontId="37" fillId="0" borderId="3" xfId="0" applyFont="1" applyBorder="1"/>
    <xf numFmtId="0" fontId="37" fillId="0" borderId="4" xfId="0" applyFont="1" applyBorder="1"/>
    <xf numFmtId="0" fontId="37" fillId="0" borderId="5" xfId="0" applyFont="1" applyBorder="1"/>
    <xf numFmtId="0" fontId="37" fillId="0" borderId="10" xfId="0" applyFont="1" applyBorder="1"/>
    <xf numFmtId="0" fontId="37" fillId="0" borderId="9" xfId="0" applyFont="1" applyBorder="1"/>
    <xf numFmtId="0" fontId="48" fillId="0" borderId="9" xfId="0" applyFont="1" applyBorder="1"/>
    <xf numFmtId="0" fontId="37" fillId="0" borderId="11" xfId="0" applyFont="1" applyBorder="1"/>
    <xf numFmtId="0" fontId="37" fillId="0" borderId="7" xfId="0" applyFont="1" applyBorder="1" applyAlignment="1">
      <alignment horizontal="center" vertical="center"/>
    </xf>
    <xf numFmtId="1" fontId="14" fillId="2" borderId="8" xfId="0" applyNumberFormat="1" applyFont="1" applyFill="1" applyBorder="1" applyAlignment="1">
      <alignment horizontal="center" vertical="center"/>
    </xf>
    <xf numFmtId="167" fontId="14" fillId="2" borderId="8" xfId="59" applyNumberFormat="1" applyFont="1" applyFill="1" applyBorder="1" applyAlignment="1">
      <alignment horizontal="center" vertical="center"/>
    </xf>
    <xf numFmtId="0" fontId="14" fillId="2" borderId="8" xfId="59" applyFont="1" applyFill="1" applyBorder="1" applyAlignment="1">
      <alignment horizontal="center" vertical="center"/>
    </xf>
    <xf numFmtId="0" fontId="14" fillId="2" borderId="8" xfId="59" applyFont="1" applyFill="1" applyBorder="1" applyAlignment="1">
      <alignment horizontal="center"/>
    </xf>
    <xf numFmtId="164" fontId="14" fillId="2" borderId="8" xfId="59" applyNumberFormat="1" applyFont="1" applyFill="1" applyBorder="1" applyAlignment="1">
      <alignment horizontal="center" vertical="center"/>
    </xf>
    <xf numFmtId="1" fontId="14" fillId="2" borderId="8" xfId="59" applyNumberFormat="1" applyFont="1" applyFill="1" applyBorder="1" applyAlignment="1">
      <alignment horizontal="center" vertical="center"/>
    </xf>
    <xf numFmtId="165" fontId="12" fillId="2" borderId="8" xfId="0" applyNumberFormat="1" applyFont="1" applyFill="1" applyBorder="1" applyAlignment="1">
      <alignment horizontal="center" vertical="center"/>
    </xf>
    <xf numFmtId="165" fontId="14" fillId="2" borderId="8" xfId="59" applyNumberFormat="1" applyFont="1" applyFill="1" applyBorder="1" applyAlignment="1">
      <alignment horizontal="center" vertical="center"/>
    </xf>
    <xf numFmtId="0" fontId="14" fillId="0" borderId="6" xfId="23" applyFont="1" applyBorder="1"/>
    <xf numFmtId="0" fontId="14" fillId="0" borderId="0" xfId="43" applyFont="1"/>
    <xf numFmtId="0" fontId="14" fillId="0" borderId="0" xfId="43" applyFont="1" applyAlignment="1">
      <alignment vertical="center"/>
    </xf>
    <xf numFmtId="0" fontId="28" fillId="0" borderId="0" xfId="43" applyFont="1" applyAlignment="1">
      <alignment horizontal="center" vertical="center"/>
    </xf>
    <xf numFmtId="0" fontId="14" fillId="0" borderId="0" xfId="43" applyFont="1" applyAlignment="1">
      <alignment horizontal="center" vertical="center"/>
    </xf>
    <xf numFmtId="0" fontId="14" fillId="0" borderId="2" xfId="43" applyFont="1" applyBorder="1"/>
    <xf numFmtId="0" fontId="37" fillId="0" borderId="0" xfId="12" applyFont="1"/>
    <xf numFmtId="0" fontId="19" fillId="0" borderId="0" xfId="12" applyFont="1"/>
    <xf numFmtId="0" fontId="88" fillId="0" borderId="0" xfId="12" applyFont="1"/>
    <xf numFmtId="0" fontId="89" fillId="0" borderId="0" xfId="12" applyFont="1" applyAlignment="1">
      <alignment horizontal="right" vertical="center" wrapText="1"/>
    </xf>
    <xf numFmtId="0" fontId="43" fillId="0" borderId="0" xfId="12" applyFont="1"/>
    <xf numFmtId="0" fontId="43" fillId="3" borderId="0" xfId="12" applyFont="1" applyFill="1"/>
    <xf numFmtId="0" fontId="19" fillId="3" borderId="0" xfId="12" applyFont="1" applyFill="1"/>
    <xf numFmtId="0" fontId="88" fillId="3" borderId="0" xfId="12" applyFont="1" applyFill="1"/>
    <xf numFmtId="0" fontId="37" fillId="3" borderId="0" xfId="12" applyFont="1" applyFill="1"/>
    <xf numFmtId="171" fontId="16" fillId="0" borderId="0" xfId="43" applyNumberFormat="1" applyFont="1" applyAlignment="1">
      <alignment horizontal="center" vertical="center"/>
    </xf>
    <xf numFmtId="0" fontId="37" fillId="3" borderId="11" xfId="43" applyFont="1" applyFill="1" applyBorder="1"/>
    <xf numFmtId="0" fontId="14" fillId="3" borderId="9" xfId="43" applyFont="1" applyFill="1" applyBorder="1"/>
    <xf numFmtId="0" fontId="37" fillId="3" borderId="6" xfId="43" applyFont="1" applyFill="1" applyBorder="1" applyAlignment="1">
      <alignment horizontal="left" vertical="center"/>
    </xf>
    <xf numFmtId="0" fontId="37" fillId="3" borderId="7" xfId="43" applyFont="1" applyFill="1" applyBorder="1"/>
    <xf numFmtId="0" fontId="37" fillId="3" borderId="6" xfId="43" applyFont="1" applyFill="1" applyBorder="1"/>
    <xf numFmtId="0" fontId="37" fillId="3" borderId="3" xfId="43" applyFont="1" applyFill="1" applyBorder="1" applyAlignment="1">
      <alignment vertical="top"/>
    </xf>
    <xf numFmtId="0" fontId="37" fillId="3" borderId="4" xfId="43" applyFont="1" applyFill="1" applyBorder="1"/>
    <xf numFmtId="0" fontId="37" fillId="3" borderId="5" xfId="43" applyFont="1" applyFill="1" applyBorder="1"/>
    <xf numFmtId="0" fontId="37" fillId="3" borderId="4" xfId="43" applyFont="1" applyFill="1" applyBorder="1" applyAlignment="1">
      <alignment horizontal="left"/>
    </xf>
    <xf numFmtId="0" fontId="37" fillId="3" borderId="9" xfId="43" applyFont="1" applyFill="1" applyBorder="1"/>
    <xf numFmtId="0" fontId="15" fillId="0" borderId="0" xfId="43" applyFont="1" applyAlignment="1">
      <alignment vertical="center"/>
    </xf>
    <xf numFmtId="0" fontId="16" fillId="0" borderId="22" xfId="23" applyFont="1" applyBorder="1" applyAlignment="1">
      <alignment horizontal="left" vertical="center"/>
    </xf>
    <xf numFmtId="0" fontId="12" fillId="0" borderId="0" xfId="23" applyAlignment="1">
      <alignment horizontal="left" vertical="center"/>
    </xf>
    <xf numFmtId="0" fontId="30" fillId="0" borderId="0" xfId="23" applyFont="1" applyAlignment="1">
      <alignment horizontal="center"/>
    </xf>
    <xf numFmtId="0" fontId="31" fillId="0" borderId="0" xfId="23" applyFont="1"/>
    <xf numFmtId="0" fontId="19" fillId="0" borderId="0" xfId="0" applyFont="1" applyProtection="1">
      <protection hidden="1"/>
    </xf>
    <xf numFmtId="165" fontId="14" fillId="0" borderId="2" xfId="0" applyNumberFormat="1" applyFont="1" applyBorder="1" applyAlignment="1">
      <alignment horizontal="center" vertical="center"/>
    </xf>
    <xf numFmtId="165" fontId="14" fillId="0" borderId="0" xfId="0" applyNumberFormat="1" applyFont="1" applyAlignment="1">
      <alignment horizontal="left" vertical="center"/>
    </xf>
    <xf numFmtId="49" fontId="16" fillId="2" borderId="21" xfId="23" applyNumberFormat="1" applyFont="1" applyFill="1" applyBorder="1" applyAlignment="1">
      <alignment horizontal="center" vertical="center"/>
    </xf>
    <xf numFmtId="0" fontId="16" fillId="2" borderId="2" xfId="23" applyFont="1" applyFill="1" applyBorder="1" applyAlignment="1">
      <alignment horizontal="left" vertical="center"/>
    </xf>
    <xf numFmtId="0" fontId="16" fillId="2" borderId="2" xfId="23" applyFont="1" applyFill="1" applyBorder="1" applyAlignment="1">
      <alignment vertical="center"/>
    </xf>
    <xf numFmtId="0" fontId="14" fillId="2" borderId="2" xfId="23" applyFont="1" applyFill="1" applyBorder="1" applyAlignment="1">
      <alignment vertical="center"/>
    </xf>
    <xf numFmtId="0" fontId="14" fillId="2" borderId="23" xfId="23" applyFont="1" applyFill="1" applyBorder="1" applyAlignment="1">
      <alignment vertical="center"/>
    </xf>
    <xf numFmtId="0" fontId="16" fillId="2" borderId="28" xfId="10" applyFont="1" applyFill="1" applyBorder="1" applyAlignment="1">
      <alignment vertical="center"/>
    </xf>
    <xf numFmtId="0" fontId="12" fillId="2" borderId="28" xfId="0" applyFont="1" applyFill="1" applyBorder="1" applyAlignment="1">
      <alignment vertical="center" wrapText="1"/>
    </xf>
    <xf numFmtId="0" fontId="12" fillId="0" borderId="0" xfId="0" applyFont="1" applyAlignment="1">
      <alignment vertical="center" wrapText="1"/>
    </xf>
    <xf numFmtId="0" fontId="14" fillId="2" borderId="28" xfId="10" applyFont="1" applyFill="1" applyBorder="1" applyAlignment="1">
      <alignment vertical="center"/>
    </xf>
    <xf numFmtId="0" fontId="14" fillId="2" borderId="29" xfId="10" applyFont="1" applyFill="1" applyBorder="1" applyAlignment="1">
      <alignment horizontal="left" vertical="center"/>
    </xf>
    <xf numFmtId="49" fontId="16" fillId="2" borderId="30" xfId="10" applyNumberFormat="1" applyFont="1" applyFill="1" applyBorder="1" applyAlignment="1">
      <alignment vertical="center"/>
    </xf>
    <xf numFmtId="2" fontId="14" fillId="0" borderId="0" xfId="23" applyNumberFormat="1" applyFont="1" applyAlignment="1">
      <alignment vertical="center"/>
    </xf>
    <xf numFmtId="167" fontId="14" fillId="0" borderId="0" xfId="23" applyNumberFormat="1" applyFont="1" applyAlignment="1">
      <alignment vertical="center"/>
    </xf>
    <xf numFmtId="165" fontId="14" fillId="0" borderId="0" xfId="23" applyNumberFormat="1" applyFont="1" applyAlignment="1">
      <alignment vertical="center"/>
    </xf>
    <xf numFmtId="0" fontId="19" fillId="0" borderId="0" xfId="10" applyFont="1" applyAlignment="1">
      <alignment vertical="center"/>
    </xf>
    <xf numFmtId="168" fontId="14" fillId="0" borderId="0" xfId="10" applyNumberFormat="1" applyFont="1" applyAlignment="1">
      <alignment vertical="center"/>
    </xf>
    <xf numFmtId="165" fontId="14" fillId="0" borderId="0" xfId="10" applyNumberFormat="1" applyFont="1" applyAlignment="1">
      <alignment vertical="center"/>
    </xf>
    <xf numFmtId="0" fontId="30" fillId="0" borderId="0" xfId="23" applyFont="1" applyAlignment="1">
      <alignment vertical="center"/>
    </xf>
    <xf numFmtId="49" fontId="30" fillId="0" borderId="0" xfId="23" applyNumberFormat="1" applyFont="1" applyAlignment="1">
      <alignment horizontal="left" vertical="center"/>
    </xf>
    <xf numFmtId="49" fontId="31" fillId="0" borderId="0" xfId="23" applyNumberFormat="1" applyFont="1" applyAlignment="1">
      <alignment horizontal="left" vertical="center"/>
    </xf>
    <xf numFmtId="0" fontId="16" fillId="0" borderId="24" xfId="23" applyFont="1" applyBorder="1" applyAlignment="1">
      <alignment vertical="center"/>
    </xf>
    <xf numFmtId="0" fontId="16" fillId="0" borderId="20" xfId="23" applyFont="1" applyBorder="1" applyAlignment="1">
      <alignment horizontal="left" vertical="center"/>
    </xf>
    <xf numFmtId="0" fontId="14" fillId="0" borderId="20" xfId="23" applyFont="1" applyBorder="1" applyAlignment="1">
      <alignment vertical="center"/>
    </xf>
    <xf numFmtId="0" fontId="14" fillId="0" borderId="25" xfId="23" applyFont="1" applyBorder="1" applyAlignment="1">
      <alignment vertical="center"/>
    </xf>
    <xf numFmtId="0" fontId="22" fillId="0" borderId="1" xfId="23" applyFont="1" applyBorder="1" applyAlignment="1">
      <alignment vertical="center" wrapText="1"/>
    </xf>
    <xf numFmtId="0" fontId="22" fillId="0" borderId="0" xfId="23" applyFont="1" applyAlignment="1">
      <alignment vertical="center" wrapText="1"/>
    </xf>
    <xf numFmtId="0" fontId="12" fillId="0" borderId="0" xfId="23" applyAlignment="1">
      <alignment vertical="center"/>
    </xf>
    <xf numFmtId="0" fontId="16" fillId="0" borderId="21" xfId="23" applyFont="1" applyBorder="1" applyAlignment="1">
      <alignment vertical="center"/>
    </xf>
    <xf numFmtId="0" fontId="14" fillId="0" borderId="2" xfId="23" applyFont="1" applyBorder="1" applyAlignment="1">
      <alignment vertical="center"/>
    </xf>
    <xf numFmtId="0" fontId="14" fillId="0" borderId="23" xfId="23" applyFont="1" applyBorder="1" applyAlignment="1">
      <alignment vertical="center"/>
    </xf>
    <xf numFmtId="0" fontId="14" fillId="0" borderId="4" xfId="23" applyFont="1" applyBorder="1" applyAlignment="1">
      <alignment vertical="center"/>
    </xf>
    <xf numFmtId="0" fontId="16" fillId="0" borderId="0" xfId="23" applyFont="1" applyAlignment="1">
      <alignment vertical="center"/>
    </xf>
    <xf numFmtId="0" fontId="12" fillId="0" borderId="1" xfId="0" applyFont="1" applyBorder="1" applyAlignment="1">
      <alignment vertical="center"/>
    </xf>
    <xf numFmtId="0" fontId="12" fillId="0" borderId="0" xfId="0" applyFont="1" applyAlignment="1">
      <alignment vertical="center"/>
    </xf>
    <xf numFmtId="49" fontId="16" fillId="0" borderId="24" xfId="23" applyNumberFormat="1" applyFont="1" applyBorder="1" applyAlignment="1">
      <alignment horizontal="center" vertical="center"/>
    </xf>
    <xf numFmtId="0" fontId="16" fillId="0" borderId="20" xfId="23" applyFont="1" applyBorder="1" applyAlignment="1">
      <alignment vertical="center"/>
    </xf>
    <xf numFmtId="0" fontId="83" fillId="0" borderId="0" xfId="0" applyFont="1" applyAlignment="1">
      <alignment vertical="center"/>
    </xf>
    <xf numFmtId="0" fontId="84" fillId="0" borderId="0" xfId="0" applyFont="1" applyAlignment="1">
      <alignment vertical="center"/>
    </xf>
    <xf numFmtId="0" fontId="65" fillId="0" borderId="6" xfId="0" applyFont="1" applyBorder="1" applyAlignment="1">
      <alignment vertical="center"/>
    </xf>
    <xf numFmtId="0" fontId="14" fillId="0" borderId="1" xfId="10" applyFont="1" applyBorder="1" applyAlignment="1">
      <alignment horizontal="left" vertical="center"/>
    </xf>
    <xf numFmtId="0" fontId="16" fillId="0" borderId="1" xfId="10" applyFont="1" applyBorder="1" applyAlignment="1">
      <alignment horizontal="left" vertical="center"/>
    </xf>
    <xf numFmtId="2" fontId="16" fillId="0" borderId="1" xfId="10" applyNumberFormat="1" applyFont="1" applyBorder="1" applyAlignment="1">
      <alignment horizontal="left" vertical="center"/>
    </xf>
    <xf numFmtId="0" fontId="14" fillId="0" borderId="1" xfId="0" applyFont="1" applyBorder="1" applyAlignment="1">
      <alignment vertical="center"/>
    </xf>
    <xf numFmtId="0" fontId="14" fillId="0" borderId="23" xfId="10" applyFont="1" applyBorder="1" applyAlignment="1">
      <alignment horizontal="left" vertical="center"/>
    </xf>
    <xf numFmtId="49" fontId="16" fillId="0" borderId="24" xfId="10" applyNumberFormat="1" applyFont="1" applyBorder="1" applyAlignment="1">
      <alignment horizontal="left" vertical="center"/>
    </xf>
    <xf numFmtId="0" fontId="16" fillId="0" borderId="25" xfId="10" applyFont="1" applyBorder="1" applyAlignment="1">
      <alignment horizontal="left" vertical="center"/>
    </xf>
    <xf numFmtId="165" fontId="16" fillId="0" borderId="1" xfId="10" applyNumberFormat="1" applyFont="1" applyBorder="1" applyAlignment="1">
      <alignment horizontal="left" vertical="center"/>
    </xf>
    <xf numFmtId="0" fontId="14" fillId="0" borderId="25" xfId="10" applyFont="1" applyBorder="1" applyAlignment="1">
      <alignment horizontal="left" vertical="center"/>
    </xf>
    <xf numFmtId="168" fontId="16" fillId="0" borderId="20" xfId="10" applyNumberFormat="1" applyFont="1" applyBorder="1" applyAlignment="1">
      <alignment horizontal="center" vertical="center"/>
    </xf>
    <xf numFmtId="0" fontId="14" fillId="0" borderId="20" xfId="10" applyFont="1" applyBorder="1" applyAlignment="1">
      <alignment horizontal="center" vertical="center"/>
    </xf>
    <xf numFmtId="49" fontId="16" fillId="0" borderId="2" xfId="10" applyNumberFormat="1" applyFont="1" applyBorder="1" applyAlignment="1">
      <alignment horizontal="left" vertical="center"/>
    </xf>
    <xf numFmtId="0" fontId="16" fillId="0" borderId="1" xfId="10" applyFont="1" applyBorder="1" applyAlignment="1">
      <alignment horizontal="center" vertical="center"/>
    </xf>
    <xf numFmtId="0" fontId="15" fillId="0" borderId="0" xfId="10" applyFont="1"/>
    <xf numFmtId="0" fontId="15" fillId="0" borderId="0" xfId="59" applyFont="1" applyAlignment="1">
      <alignment wrapText="1"/>
    </xf>
    <xf numFmtId="0" fontId="93" fillId="0" borderId="0" xfId="0" applyFont="1" applyAlignment="1">
      <alignment vertical="center" wrapText="1"/>
    </xf>
    <xf numFmtId="0" fontId="93" fillId="0" borderId="7" xfId="0" applyFont="1" applyBorder="1" applyAlignment="1">
      <alignment vertical="center" wrapText="1"/>
    </xf>
    <xf numFmtId="0" fontId="37" fillId="3" borderId="6" xfId="0" applyFont="1" applyFill="1" applyBorder="1"/>
    <xf numFmtId="0" fontId="22" fillId="0" borderId="1" xfId="23" applyFont="1" applyBorder="1" applyAlignment="1" applyProtection="1">
      <alignment vertical="center" wrapText="1"/>
      <protection hidden="1"/>
    </xf>
    <xf numFmtId="0" fontId="16" fillId="0" borderId="9" xfId="23" applyFont="1" applyBorder="1" applyAlignment="1">
      <alignment horizontal="left" vertical="center"/>
    </xf>
    <xf numFmtId="0" fontId="14" fillId="0" borderId="9" xfId="23" applyFont="1" applyBorder="1" applyAlignment="1">
      <alignment vertical="center"/>
    </xf>
    <xf numFmtId="49" fontId="16" fillId="0" borderId="4" xfId="23" applyNumberFormat="1" applyFont="1" applyBorder="1" applyAlignment="1">
      <alignment horizontal="left" vertical="center"/>
    </xf>
    <xf numFmtId="0" fontId="14" fillId="0" borderId="4" xfId="23" applyFont="1" applyBorder="1" applyAlignment="1">
      <alignment horizontal="left" vertical="center"/>
    </xf>
    <xf numFmtId="0" fontId="37" fillId="0" borderId="0" xfId="0" applyFont="1" applyAlignment="1">
      <alignment horizontal="right"/>
    </xf>
    <xf numFmtId="0" fontId="75" fillId="2" borderId="18" xfId="0" applyFont="1" applyFill="1" applyBorder="1"/>
    <xf numFmtId="0" fontId="75" fillId="2" borderId="19" xfId="0" applyFont="1" applyFill="1" applyBorder="1"/>
    <xf numFmtId="0" fontId="14" fillId="2" borderId="14" xfId="59" applyFont="1" applyFill="1" applyBorder="1" applyAlignment="1">
      <alignment horizontal="right" vertical="center"/>
    </xf>
    <xf numFmtId="0" fontId="16" fillId="0" borderId="35" xfId="23" applyFont="1" applyBorder="1" applyAlignment="1">
      <alignment vertical="center"/>
    </xf>
    <xf numFmtId="0" fontId="14" fillId="0" borderId="36" xfId="23" applyFont="1" applyBorder="1" applyAlignment="1">
      <alignment vertical="center"/>
    </xf>
    <xf numFmtId="0" fontId="16" fillId="0" borderId="1" xfId="23" applyFont="1" applyBorder="1" applyAlignment="1">
      <alignment horizontal="center" vertical="center"/>
    </xf>
    <xf numFmtId="0" fontId="16" fillId="0" borderId="37" xfId="23" applyFont="1" applyBorder="1" applyAlignment="1">
      <alignment vertical="center"/>
    </xf>
    <xf numFmtId="0" fontId="14" fillId="0" borderId="38" xfId="23" applyFont="1" applyBorder="1" applyAlignment="1">
      <alignment vertical="center"/>
    </xf>
    <xf numFmtId="0" fontId="31" fillId="0" borderId="0" xfId="0" applyFont="1" applyAlignment="1">
      <alignment horizontal="center" vertical="center"/>
    </xf>
    <xf numFmtId="0" fontId="14" fillId="0" borderId="9" xfId="0" applyFont="1" applyBorder="1" applyAlignment="1">
      <alignment horizontal="center" vertical="center"/>
    </xf>
    <xf numFmtId="0" fontId="91" fillId="0" borderId="9" xfId="0" applyFont="1" applyBorder="1" applyAlignment="1">
      <alignment vertical="center" wrapText="1"/>
    </xf>
    <xf numFmtId="0" fontId="18" fillId="0" borderId="4" xfId="0" applyFont="1" applyBorder="1" applyAlignment="1">
      <alignment horizontal="center" vertical="center"/>
    </xf>
    <xf numFmtId="165" fontId="13" fillId="0" borderId="4" xfId="0" applyNumberFormat="1" applyFont="1" applyBorder="1" applyAlignment="1">
      <alignment horizontal="center" vertical="center"/>
    </xf>
    <xf numFmtId="168" fontId="16" fillId="0" borderId="4" xfId="0" applyNumberFormat="1" applyFont="1" applyBorder="1" applyAlignment="1">
      <alignment horizontal="center" vertical="center"/>
    </xf>
    <xf numFmtId="0" fontId="15" fillId="0" borderId="4" xfId="0" applyFont="1" applyBorder="1" applyAlignment="1">
      <alignment horizontal="left" vertical="center"/>
    </xf>
    <xf numFmtId="0" fontId="14" fillId="2" borderId="0" xfId="0" applyFont="1" applyFill="1" applyAlignment="1">
      <alignment horizontal="right"/>
    </xf>
    <xf numFmtId="0" fontId="14" fillId="2" borderId="0" xfId="0" applyFont="1" applyFill="1" applyAlignment="1">
      <alignment horizontal="left"/>
    </xf>
    <xf numFmtId="0" fontId="14" fillId="0" borderId="0" xfId="0" applyFont="1" applyAlignment="1">
      <alignment horizontal="right"/>
    </xf>
    <xf numFmtId="0" fontId="14" fillId="0" borderId="0" xfId="0" quotePrefix="1" applyFont="1" applyAlignment="1">
      <alignment horizontal="left" vertical="center"/>
    </xf>
    <xf numFmtId="0" fontId="16" fillId="2" borderId="0" xfId="0" applyFont="1" applyFill="1" applyAlignment="1">
      <alignment horizontal="left" vertical="center"/>
    </xf>
    <xf numFmtId="0" fontId="14" fillId="2" borderId="0" xfId="0" applyFont="1" applyFill="1" applyAlignment="1">
      <alignment horizontal="right" vertical="center"/>
    </xf>
    <xf numFmtId="171" fontId="14" fillId="5" borderId="8" xfId="43" applyNumberFormat="1" applyFont="1" applyFill="1" applyBorder="1" applyAlignment="1" applyProtection="1">
      <alignment horizontal="center" vertical="center"/>
      <protection locked="0"/>
    </xf>
    <xf numFmtId="177" fontId="14" fillId="5" borderId="8" xfId="43" applyNumberFormat="1" applyFont="1" applyFill="1" applyBorder="1" applyAlignment="1" applyProtection="1">
      <alignment horizontal="center" vertical="center"/>
      <protection locked="0"/>
    </xf>
    <xf numFmtId="165" fontId="14" fillId="5" borderId="8" xfId="43" applyNumberFormat="1" applyFont="1" applyFill="1" applyBorder="1" applyAlignment="1" applyProtection="1">
      <alignment horizontal="center" vertical="center"/>
      <protection locked="0"/>
    </xf>
    <xf numFmtId="0" fontId="14" fillId="5" borderId="8" xfId="59" applyFont="1" applyFill="1" applyBorder="1" applyAlignment="1" applyProtection="1">
      <alignment horizontal="center" vertical="center"/>
      <protection locked="0"/>
    </xf>
    <xf numFmtId="2" fontId="14" fillId="5" borderId="8" xfId="59" applyNumberFormat="1" applyFont="1" applyFill="1" applyBorder="1" applyAlignment="1" applyProtection="1">
      <alignment horizontal="center" vertical="center"/>
      <protection locked="0"/>
    </xf>
    <xf numFmtId="0" fontId="65" fillId="5" borderId="8" xfId="58" applyFont="1" applyFill="1" applyBorder="1" applyAlignment="1" applyProtection="1">
      <alignment horizontal="center" vertical="center" wrapText="1"/>
      <protection locked="0"/>
    </xf>
    <xf numFmtId="2" fontId="65" fillId="5" borderId="8" xfId="58" applyNumberFormat="1" applyFont="1" applyFill="1" applyBorder="1" applyAlignment="1" applyProtection="1">
      <alignment horizontal="center" vertical="center" wrapText="1"/>
      <protection locked="0"/>
    </xf>
    <xf numFmtId="0" fontId="37" fillId="5" borderId="8" xfId="57" applyFont="1" applyFill="1" applyBorder="1" applyAlignment="1" applyProtection="1">
      <alignment horizontal="left" vertical="center"/>
      <protection locked="0"/>
    </xf>
    <xf numFmtId="0" fontId="37" fillId="5" borderId="8" xfId="57" applyFont="1" applyFill="1" applyBorder="1" applyAlignment="1" applyProtection="1">
      <alignment horizontal="left" vertical="center" wrapText="1"/>
      <protection locked="0"/>
    </xf>
    <xf numFmtId="0" fontId="65" fillId="5" borderId="8" xfId="57" applyFont="1" applyFill="1" applyBorder="1" applyAlignment="1" applyProtection="1">
      <alignment horizontal="center" vertical="center"/>
      <protection locked="0"/>
    </xf>
    <xf numFmtId="2" fontId="65" fillId="5" borderId="8" xfId="57" applyNumberFormat="1" applyFont="1" applyFill="1" applyBorder="1" applyAlignment="1" applyProtection="1">
      <alignment horizontal="center" vertical="center"/>
      <protection locked="0"/>
    </xf>
    <xf numFmtId="0" fontId="64" fillId="5" borderId="18" xfId="60" applyFont="1" applyFill="1" applyBorder="1" applyAlignment="1" applyProtection="1">
      <alignment horizontal="center" vertical="center"/>
      <protection locked="0"/>
    </xf>
    <xf numFmtId="0" fontId="17" fillId="5" borderId="18" xfId="60" applyFont="1" applyFill="1" applyBorder="1" applyAlignment="1" applyProtection="1">
      <alignment horizontal="center" vertical="center"/>
      <protection locked="0"/>
    </xf>
    <xf numFmtId="0" fontId="64" fillId="5" borderId="8" xfId="60" applyFont="1" applyFill="1" applyBorder="1" applyAlignment="1" applyProtection="1">
      <alignment horizontal="center" vertical="center"/>
      <protection locked="0"/>
    </xf>
    <xf numFmtId="2" fontId="64" fillId="5" borderId="15" xfId="60" applyNumberFormat="1" applyFont="1" applyFill="1" applyBorder="1" applyAlignment="1" applyProtection="1">
      <alignment horizontal="center" vertical="center"/>
      <protection locked="0"/>
    </xf>
    <xf numFmtId="0" fontId="18" fillId="5" borderId="8" xfId="61" applyFont="1" applyFill="1" applyBorder="1" applyAlignment="1" applyProtection="1">
      <alignment horizontal="center" vertical="center"/>
      <protection locked="0"/>
    </xf>
    <xf numFmtId="0" fontId="18" fillId="5" borderId="8" xfId="61" applyFont="1" applyFill="1" applyBorder="1" applyProtection="1">
      <protection locked="0"/>
    </xf>
    <xf numFmtId="0" fontId="17" fillId="5" borderId="8" xfId="61" applyFont="1" applyFill="1" applyBorder="1" applyAlignment="1" applyProtection="1">
      <alignment horizontal="center" vertical="center"/>
      <protection locked="0"/>
    </xf>
    <xf numFmtId="2" fontId="17" fillId="5" borderId="8" xfId="61" applyNumberFormat="1" applyFont="1" applyFill="1" applyBorder="1" applyAlignment="1" applyProtection="1">
      <alignment horizontal="center" vertical="center"/>
      <protection locked="0"/>
    </xf>
    <xf numFmtId="0" fontId="97" fillId="0" borderId="0" xfId="0" applyFont="1"/>
    <xf numFmtId="0" fontId="22" fillId="0" borderId="0" xfId="23" applyFont="1" applyAlignment="1">
      <alignment horizontal="left" vertical="center"/>
    </xf>
    <xf numFmtId="0" fontId="12" fillId="0" borderId="0" xfId="23" applyAlignment="1">
      <alignment horizontal="center" vertical="center"/>
    </xf>
    <xf numFmtId="0" fontId="14" fillId="0" borderId="24" xfId="0" applyFont="1" applyBorder="1" applyAlignment="1">
      <alignment horizontal="left" vertical="center"/>
    </xf>
    <xf numFmtId="0" fontId="14" fillId="0" borderId="20" xfId="0" applyFont="1" applyBorder="1" applyAlignment="1">
      <alignment horizontal="left"/>
    </xf>
    <xf numFmtId="0" fontId="14" fillId="0" borderId="20" xfId="0" applyFont="1" applyBorder="1"/>
    <xf numFmtId="0" fontId="14" fillId="0" borderId="20" xfId="0" applyFont="1" applyBorder="1" applyAlignment="1">
      <alignment vertical="center"/>
    </xf>
    <xf numFmtId="0" fontId="14" fillId="3" borderId="20" xfId="0" applyFont="1" applyFill="1" applyBorder="1"/>
    <xf numFmtId="0" fontId="14" fillId="3" borderId="20" xfId="0" applyFont="1" applyFill="1" applyBorder="1" applyAlignment="1">
      <alignment vertical="center"/>
    </xf>
    <xf numFmtId="0" fontId="14" fillId="3" borderId="25" xfId="0" applyFont="1" applyFill="1" applyBorder="1" applyAlignment="1">
      <alignment vertical="center"/>
    </xf>
    <xf numFmtId="0" fontId="14" fillId="0" borderId="2" xfId="0" applyFont="1" applyBorder="1" applyAlignment="1">
      <alignment horizontal="left" vertical="center"/>
    </xf>
    <xf numFmtId="165" fontId="18" fillId="2" borderId="8" xfId="0" applyNumberFormat="1" applyFont="1" applyFill="1" applyBorder="1" applyAlignment="1">
      <alignment horizontal="center" vertical="center"/>
    </xf>
    <xf numFmtId="0" fontId="14" fillId="0" borderId="2" xfId="0" applyFont="1" applyBorder="1" applyAlignment="1">
      <alignment horizontal="center" vertical="center"/>
    </xf>
    <xf numFmtId="49" fontId="16" fillId="2" borderId="22" xfId="23" applyNumberFormat="1" applyFont="1" applyFill="1" applyBorder="1" applyAlignment="1">
      <alignment horizontal="center" vertical="center"/>
    </xf>
    <xf numFmtId="0" fontId="14" fillId="2" borderId="1" xfId="23" applyFont="1" applyFill="1" applyBorder="1" applyAlignment="1">
      <alignment vertical="center"/>
    </xf>
    <xf numFmtId="0" fontId="14" fillId="0" borderId="9" xfId="23" applyFont="1" applyBorder="1" applyAlignment="1">
      <alignment horizontal="left" vertical="center"/>
    </xf>
    <xf numFmtId="0" fontId="14" fillId="0" borderId="9" xfId="23" applyFont="1" applyBorder="1" applyAlignment="1">
      <alignment horizontal="center" vertical="center" wrapText="1"/>
    </xf>
    <xf numFmtId="0" fontId="14" fillId="2" borderId="29" xfId="0" applyFont="1" applyFill="1" applyBorder="1" applyAlignment="1">
      <alignment horizontal="right" vertical="center"/>
    </xf>
    <xf numFmtId="0" fontId="15" fillId="0" borderId="1" xfId="0" applyFont="1" applyBorder="1" applyAlignment="1">
      <alignment horizontal="left" vertical="center" wrapText="1"/>
    </xf>
    <xf numFmtId="0" fontId="14" fillId="2" borderId="29" xfId="0" applyFont="1" applyFill="1" applyBorder="1" applyAlignment="1">
      <alignment horizontal="left" vertical="center"/>
    </xf>
    <xf numFmtId="165" fontId="14" fillId="0" borderId="1" xfId="0" applyNumberFormat="1" applyFont="1" applyBorder="1" applyAlignment="1">
      <alignment horizontal="center" vertical="center"/>
    </xf>
    <xf numFmtId="0" fontId="14" fillId="3" borderId="1" xfId="0" applyFont="1" applyFill="1" applyBorder="1" applyAlignment="1">
      <alignment horizontal="center"/>
    </xf>
    <xf numFmtId="0" fontId="14" fillId="0" borderId="23" xfId="0" applyFont="1" applyBorder="1"/>
    <xf numFmtId="49" fontId="82" fillId="0" borderId="0" xfId="0" applyNumberFormat="1" applyFont="1" applyAlignment="1">
      <alignment vertical="center" wrapText="1"/>
    </xf>
    <xf numFmtId="0" fontId="15" fillId="0" borderId="1" xfId="0" applyFont="1" applyBorder="1" applyAlignment="1">
      <alignment horizontal="left" vertical="center"/>
    </xf>
    <xf numFmtId="0" fontId="14" fillId="2" borderId="29" xfId="0" applyFont="1" applyFill="1" applyBorder="1"/>
    <xf numFmtId="168" fontId="14" fillId="0" borderId="1" xfId="0" applyNumberFormat="1" applyFont="1" applyBorder="1" applyAlignment="1">
      <alignment horizontal="center" vertical="center"/>
    </xf>
    <xf numFmtId="49" fontId="14" fillId="0" borderId="1" xfId="0" applyNumberFormat="1" applyFont="1" applyBorder="1" applyAlignment="1">
      <alignment horizontal="left" vertical="center"/>
    </xf>
    <xf numFmtId="0" fontId="100" fillId="0" borderId="0" xfId="10" applyFont="1" applyAlignment="1">
      <alignment vertical="center"/>
    </xf>
    <xf numFmtId="0" fontId="16" fillId="0" borderId="0" xfId="43" applyFont="1" applyAlignment="1">
      <alignment vertical="center"/>
    </xf>
    <xf numFmtId="0" fontId="14" fillId="10" borderId="0" xfId="43" applyFont="1" applyFill="1" applyAlignment="1">
      <alignment vertical="center"/>
    </xf>
    <xf numFmtId="0" fontId="14" fillId="0" borderId="4" xfId="43" applyFont="1" applyBorder="1" applyAlignment="1">
      <alignment vertical="center"/>
    </xf>
    <xf numFmtId="0" fontId="14" fillId="0" borderId="0" xfId="43" applyFont="1" applyAlignment="1">
      <alignment horizontal="right" vertical="center"/>
    </xf>
    <xf numFmtId="0" fontId="14" fillId="0" borderId="24" xfId="43" applyFont="1" applyBorder="1" applyAlignment="1">
      <alignment vertical="center"/>
    </xf>
    <xf numFmtId="0" fontId="14" fillId="0" borderId="20" xfId="43" applyFont="1" applyBorder="1" applyAlignment="1">
      <alignment vertical="center"/>
    </xf>
    <xf numFmtId="0" fontId="14" fillId="0" borderId="25" xfId="43" applyFont="1" applyBorder="1" applyAlignment="1">
      <alignment vertical="center"/>
    </xf>
    <xf numFmtId="0" fontId="14" fillId="2" borderId="28" xfId="43" applyFont="1" applyFill="1" applyBorder="1" applyAlignment="1">
      <alignment vertical="center"/>
    </xf>
    <xf numFmtId="0" fontId="12" fillId="2" borderId="28" xfId="23" applyFill="1" applyBorder="1" applyAlignment="1">
      <alignment horizontal="right" vertical="center" wrapText="1"/>
    </xf>
    <xf numFmtId="0" fontId="12" fillId="2" borderId="29" xfId="43" applyFill="1" applyBorder="1" applyAlignment="1">
      <alignment horizontal="right" vertical="center"/>
    </xf>
    <xf numFmtId="0" fontId="14" fillId="0" borderId="1" xfId="43" applyFont="1" applyBorder="1" applyAlignment="1">
      <alignment vertical="center"/>
    </xf>
    <xf numFmtId="0" fontId="14" fillId="0" borderId="22" xfId="43" applyFont="1" applyBorder="1" applyAlignment="1">
      <alignment vertical="center"/>
    </xf>
    <xf numFmtId="0" fontId="12" fillId="0" borderId="0" xfId="43" applyAlignment="1">
      <alignment vertical="center"/>
    </xf>
    <xf numFmtId="0" fontId="12" fillId="0" borderId="1" xfId="43" applyBorder="1" applyAlignment="1">
      <alignment vertical="center"/>
    </xf>
    <xf numFmtId="0" fontId="14" fillId="3" borderId="1" xfId="43" applyFont="1" applyFill="1" applyBorder="1" applyAlignment="1">
      <alignment vertical="center"/>
    </xf>
    <xf numFmtId="0" fontId="14" fillId="0" borderId="1" xfId="43" applyFont="1" applyBorder="1" applyAlignment="1">
      <alignment horizontal="left" vertical="center"/>
    </xf>
    <xf numFmtId="20" fontId="14" fillId="2" borderId="8" xfId="43" applyNumberFormat="1" applyFont="1" applyFill="1" applyBorder="1" applyAlignment="1">
      <alignment horizontal="center" vertical="center"/>
    </xf>
    <xf numFmtId="0" fontId="15" fillId="0" borderId="22" xfId="43" applyFont="1" applyBorder="1" applyAlignment="1">
      <alignment vertical="center"/>
    </xf>
    <xf numFmtId="0" fontId="14" fillId="0" borderId="21" xfId="43" applyFont="1" applyBorder="1" applyAlignment="1">
      <alignment vertical="center"/>
    </xf>
    <xf numFmtId="0" fontId="14" fillId="0" borderId="0" xfId="43" applyFont="1" applyAlignment="1">
      <alignment horizontal="left" vertical="center"/>
    </xf>
    <xf numFmtId="2" fontId="14" fillId="7" borderId="13" xfId="43" applyNumberFormat="1" applyFont="1" applyFill="1" applyBorder="1" applyAlignment="1" applyProtection="1">
      <alignment horizontal="center" vertical="center"/>
      <protection locked="0"/>
    </xf>
    <xf numFmtId="0" fontId="16" fillId="2" borderId="24" xfId="43" applyFont="1" applyFill="1" applyBorder="1" applyAlignment="1">
      <alignment vertical="center"/>
    </xf>
    <xf numFmtId="0" fontId="12" fillId="2" borderId="20" xfId="43" applyFill="1" applyBorder="1" applyAlignment="1">
      <alignment vertical="center"/>
    </xf>
    <xf numFmtId="0" fontId="12" fillId="2" borderId="20" xfId="23" applyFill="1" applyBorder="1" applyAlignment="1">
      <alignment horizontal="right" vertical="center" wrapText="1"/>
    </xf>
    <xf numFmtId="0" fontId="12" fillId="2" borderId="25" xfId="43" applyFill="1" applyBorder="1" applyAlignment="1">
      <alignment vertical="center"/>
    </xf>
    <xf numFmtId="0" fontId="12" fillId="0" borderId="9" xfId="43" applyBorder="1" applyAlignment="1">
      <alignment vertical="center"/>
    </xf>
    <xf numFmtId="0" fontId="14" fillId="0" borderId="9" xfId="43" applyFont="1" applyBorder="1" applyAlignment="1">
      <alignment vertical="center"/>
    </xf>
    <xf numFmtId="0" fontId="16" fillId="0" borderId="35" xfId="43" applyFont="1" applyBorder="1" applyAlignment="1">
      <alignment vertical="center"/>
    </xf>
    <xf numFmtId="0" fontId="12" fillId="0" borderId="36" xfId="43" applyBorder="1" applyAlignment="1">
      <alignment vertical="center"/>
    </xf>
    <xf numFmtId="0" fontId="14" fillId="2" borderId="8" xfId="43" applyFont="1" applyFill="1" applyBorder="1" applyAlignment="1">
      <alignment vertical="center" wrapText="1"/>
    </xf>
    <xf numFmtId="0" fontId="25" fillId="0" borderId="20" xfId="43" applyFont="1" applyBorder="1" applyAlignment="1">
      <alignment vertical="center" wrapText="1"/>
    </xf>
    <xf numFmtId="0" fontId="16" fillId="0" borderId="24" xfId="43" applyFont="1" applyBorder="1" applyAlignment="1">
      <alignment vertical="center"/>
    </xf>
    <xf numFmtId="0" fontId="12" fillId="0" borderId="20" xfId="43" applyBorder="1" applyAlignment="1">
      <alignment vertical="center"/>
    </xf>
    <xf numFmtId="0" fontId="12" fillId="0" borderId="25" xfId="43" applyBorder="1" applyAlignment="1">
      <alignment vertical="center"/>
    </xf>
    <xf numFmtId="165" fontId="14" fillId="0" borderId="0" xfId="43" applyNumberFormat="1" applyFont="1" applyAlignment="1">
      <alignment horizontal="center" vertical="center"/>
    </xf>
    <xf numFmtId="0" fontId="14" fillId="0" borderId="0" xfId="43" applyFont="1" applyAlignment="1">
      <alignment horizontal="right" vertical="center" indent="1"/>
    </xf>
    <xf numFmtId="0" fontId="51" fillId="10" borderId="0" xfId="0" applyFont="1" applyFill="1"/>
    <xf numFmtId="0" fontId="51" fillId="0" borderId="0" xfId="0" applyFont="1"/>
    <xf numFmtId="0" fontId="58" fillId="0" borderId="0" xfId="59" applyFont="1"/>
    <xf numFmtId="0" fontId="51" fillId="0" borderId="0" xfId="59" applyFont="1" applyAlignment="1">
      <alignment vertical="center"/>
    </xf>
    <xf numFmtId="49" fontId="58" fillId="0" borderId="0" xfId="59" applyNumberFormat="1" applyFont="1"/>
    <xf numFmtId="165" fontId="51" fillId="0" borderId="0" xfId="59" applyNumberFormat="1" applyFont="1" applyAlignment="1">
      <alignment horizontal="center" vertical="center"/>
    </xf>
    <xf numFmtId="0" fontId="51" fillId="0" borderId="0" xfId="59" applyFont="1" applyAlignment="1">
      <alignment horizontal="left" vertical="center"/>
    </xf>
    <xf numFmtId="0" fontId="58" fillId="0" borderId="0" xfId="59" applyFont="1" applyAlignment="1">
      <alignment horizontal="left"/>
    </xf>
    <xf numFmtId="0" fontId="101" fillId="0" borderId="0" xfId="59" applyFont="1"/>
    <xf numFmtId="0" fontId="12" fillId="0" borderId="0" xfId="23" applyProtection="1">
      <protection locked="0"/>
    </xf>
    <xf numFmtId="0" fontId="14" fillId="0" borderId="0" xfId="23" applyFont="1" applyProtection="1">
      <protection locked="0"/>
    </xf>
    <xf numFmtId="0" fontId="25" fillId="0" borderId="0" xfId="23" applyFont="1" applyAlignment="1">
      <alignment vertical="center"/>
    </xf>
    <xf numFmtId="0" fontId="12" fillId="0" borderId="0" xfId="23" applyAlignment="1">
      <alignment wrapText="1"/>
    </xf>
    <xf numFmtId="0" fontId="16" fillId="2" borderId="30" xfId="23" applyFont="1" applyFill="1" applyBorder="1" applyAlignment="1">
      <alignment horizontal="left" vertical="center"/>
    </xf>
    <xf numFmtId="0" fontId="16" fillId="2" borderId="31" xfId="23" applyFont="1" applyFill="1" applyBorder="1" applyAlignment="1">
      <alignment vertical="center" wrapText="1"/>
    </xf>
    <xf numFmtId="0" fontId="16" fillId="2" borderId="28" xfId="23" applyFont="1" applyFill="1" applyBorder="1" applyAlignment="1">
      <alignment vertical="center" wrapText="1"/>
    </xf>
    <xf numFmtId="0" fontId="12" fillId="2" borderId="28" xfId="23" applyFill="1" applyBorder="1" applyAlignment="1">
      <alignment wrapText="1"/>
    </xf>
    <xf numFmtId="0" fontId="14" fillId="0" borderId="24" xfId="23" applyFont="1" applyBorder="1"/>
    <xf numFmtId="0" fontId="14" fillId="0" borderId="20" xfId="23" applyFont="1" applyBorder="1"/>
    <xf numFmtId="0" fontId="14" fillId="0" borderId="25" xfId="23" applyFont="1" applyBorder="1"/>
    <xf numFmtId="0" fontId="14" fillId="0" borderId="21" xfId="23" applyFont="1" applyBorder="1"/>
    <xf numFmtId="0" fontId="14" fillId="0" borderId="2" xfId="23" applyFont="1" applyBorder="1"/>
    <xf numFmtId="0" fontId="14" fillId="0" borderId="23" xfId="23" applyFont="1" applyBorder="1"/>
    <xf numFmtId="0" fontId="31" fillId="0" borderId="1" xfId="23" applyFont="1" applyBorder="1"/>
    <xf numFmtId="0" fontId="12" fillId="0" borderId="1" xfId="23" applyBorder="1" applyProtection="1">
      <protection locked="0"/>
    </xf>
    <xf numFmtId="0" fontId="16" fillId="0" borderId="22" xfId="23" applyFont="1" applyBorder="1"/>
    <xf numFmtId="0" fontId="16" fillId="0" borderId="1" xfId="23" applyFont="1" applyBorder="1"/>
    <xf numFmtId="0" fontId="16" fillId="2" borderId="30" xfId="23" applyFont="1" applyFill="1" applyBorder="1"/>
    <xf numFmtId="0" fontId="16" fillId="2" borderId="28" xfId="23" applyFont="1" applyFill="1" applyBorder="1"/>
    <xf numFmtId="0" fontId="16" fillId="2" borderId="29" xfId="23" applyFont="1" applyFill="1" applyBorder="1"/>
    <xf numFmtId="0" fontId="14" fillId="0" borderId="1" xfId="23" applyFont="1" applyBorder="1" applyAlignment="1" applyProtection="1">
      <alignment vertical="center"/>
      <protection locked="0"/>
    </xf>
    <xf numFmtId="0" fontId="14" fillId="0" borderId="10" xfId="23" applyFont="1" applyBorder="1"/>
    <xf numFmtId="0" fontId="14" fillId="0" borderId="9" xfId="23" applyFont="1" applyBorder="1"/>
    <xf numFmtId="0" fontId="14" fillId="0" borderId="11" xfId="23" applyFont="1" applyBorder="1"/>
    <xf numFmtId="0" fontId="14" fillId="0" borderId="3" xfId="23" applyFont="1" applyBorder="1"/>
    <xf numFmtId="0" fontId="14" fillId="0" borderId="4" xfId="23" applyFont="1" applyBorder="1"/>
    <xf numFmtId="0" fontId="14" fillId="0" borderId="5" xfId="23" applyFont="1" applyBorder="1"/>
    <xf numFmtId="0" fontId="14" fillId="0" borderId="1" xfId="23" applyFont="1" applyBorder="1" applyAlignment="1">
      <alignment horizontal="center" vertical="center"/>
    </xf>
    <xf numFmtId="0" fontId="14" fillId="10" borderId="22" xfId="43" applyFont="1" applyFill="1" applyBorder="1" applyAlignment="1">
      <alignment vertical="center"/>
    </xf>
    <xf numFmtId="0" fontId="14" fillId="10" borderId="1" xfId="43" applyFont="1" applyFill="1" applyBorder="1" applyAlignment="1">
      <alignment vertical="center"/>
    </xf>
    <xf numFmtId="1" fontId="14" fillId="0" borderId="21" xfId="43" applyNumberFormat="1" applyFont="1" applyBorder="1" applyAlignment="1">
      <alignment horizontal="left" vertical="center" wrapText="1"/>
    </xf>
    <xf numFmtId="0" fontId="12" fillId="0" borderId="2" xfId="43" applyBorder="1" applyAlignment="1">
      <alignment horizontal="left" vertical="center"/>
    </xf>
    <xf numFmtId="2" fontId="14" fillId="0" borderId="2" xfId="43" applyNumberFormat="1" applyFont="1" applyBorder="1" applyAlignment="1">
      <alignment horizontal="center" vertical="center"/>
    </xf>
    <xf numFmtId="165" fontId="14" fillId="0" borderId="2" xfId="43" applyNumberFormat="1" applyFont="1" applyBorder="1" applyAlignment="1">
      <alignment horizontal="left" vertical="center"/>
    </xf>
    <xf numFmtId="0" fontId="16" fillId="0" borderId="0" xfId="0" applyFont="1"/>
    <xf numFmtId="1" fontId="14" fillId="0" borderId="2" xfId="0" applyNumberFormat="1" applyFont="1" applyBorder="1" applyAlignment="1">
      <alignment horizontal="left" vertical="center"/>
    </xf>
    <xf numFmtId="0" fontId="16" fillId="0" borderId="4" xfId="0" applyFont="1" applyBorder="1" applyAlignment="1">
      <alignment horizontal="left" vertical="center"/>
    </xf>
    <xf numFmtId="0" fontId="16" fillId="2" borderId="32" xfId="0" applyFont="1" applyFill="1" applyBorder="1" applyAlignment="1">
      <alignment horizontal="left" vertical="center"/>
    </xf>
    <xf numFmtId="0" fontId="14" fillId="2" borderId="34" xfId="0" applyFont="1" applyFill="1" applyBorder="1" applyAlignment="1">
      <alignment horizontal="right" vertical="center"/>
    </xf>
    <xf numFmtId="0" fontId="16" fillId="0" borderId="35" xfId="0" applyFont="1" applyBorder="1" applyAlignment="1">
      <alignment horizontal="left" vertical="center"/>
    </xf>
    <xf numFmtId="0" fontId="16" fillId="0" borderId="36" xfId="0" applyFont="1" applyBorder="1" applyAlignment="1">
      <alignment horizontal="left" vertical="center"/>
    </xf>
    <xf numFmtId="0" fontId="14" fillId="0" borderId="22" xfId="0" quotePrefix="1" applyFont="1" applyBorder="1" applyAlignment="1">
      <alignment horizontal="left" vertical="center"/>
    </xf>
    <xf numFmtId="0" fontId="16" fillId="0" borderId="22" xfId="0" applyFont="1" applyBorder="1" applyAlignment="1">
      <alignment horizontal="left" vertical="center"/>
    </xf>
    <xf numFmtId="0" fontId="16" fillId="0" borderId="1" xfId="0" applyFont="1" applyBorder="1" applyAlignment="1">
      <alignment horizontal="left" vertical="center"/>
    </xf>
    <xf numFmtId="0" fontId="14" fillId="0" borderId="1" xfId="0" applyFont="1" applyBorder="1" applyAlignment="1">
      <alignment horizontal="center" vertical="center"/>
    </xf>
    <xf numFmtId="0" fontId="14" fillId="0" borderId="22" xfId="0" applyFont="1" applyBorder="1" applyAlignment="1">
      <alignment horizontal="center" vertical="center"/>
    </xf>
    <xf numFmtId="0" fontId="15" fillId="0" borderId="1" xfId="0" applyFont="1" applyBorder="1" applyAlignment="1">
      <alignment vertical="top"/>
    </xf>
    <xf numFmtId="0" fontId="14" fillId="0" borderId="37" xfId="0" applyFont="1" applyBorder="1" applyAlignment="1">
      <alignment horizontal="left" vertical="center"/>
    </xf>
    <xf numFmtId="0" fontId="14" fillId="0" borderId="38" xfId="0" applyFont="1" applyBorder="1" applyAlignment="1">
      <alignment horizontal="center" vertical="center"/>
    </xf>
    <xf numFmtId="0" fontId="14" fillId="0" borderId="22" xfId="0" quotePrefix="1" applyFont="1" applyBorder="1" applyAlignment="1">
      <alignment horizontal="center" vertical="center"/>
    </xf>
    <xf numFmtId="0" fontId="14" fillId="0" borderId="37" xfId="0" quotePrefix="1" applyFont="1" applyBorder="1" applyAlignment="1">
      <alignment horizontal="center" vertical="center"/>
    </xf>
    <xf numFmtId="0" fontId="14" fillId="0" borderId="38" xfId="0" applyFont="1" applyBorder="1" applyAlignment="1">
      <alignment horizontal="left" vertical="center"/>
    </xf>
    <xf numFmtId="0" fontId="14" fillId="0" borderId="36" xfId="0" applyFont="1" applyBorder="1" applyAlignment="1">
      <alignment horizontal="left" vertical="center"/>
    </xf>
    <xf numFmtId="0" fontId="14" fillId="0" borderId="22" xfId="0" applyFont="1" applyBorder="1" applyAlignment="1">
      <alignment horizontal="right" vertical="center"/>
    </xf>
    <xf numFmtId="0" fontId="15" fillId="0" borderId="1" xfId="0" applyFont="1" applyBorder="1" applyAlignment="1">
      <alignment vertical="center" wrapText="1"/>
    </xf>
    <xf numFmtId="0" fontId="14" fillId="0" borderId="23" xfId="0" applyFont="1" applyBorder="1" applyAlignment="1">
      <alignment horizontal="left" vertical="center"/>
    </xf>
    <xf numFmtId="0" fontId="14" fillId="4" borderId="0" xfId="0" applyFont="1" applyFill="1" applyAlignment="1">
      <alignment horizontal="center" vertical="center"/>
    </xf>
    <xf numFmtId="0" fontId="105" fillId="0" borderId="0" xfId="0" applyFont="1" applyAlignment="1">
      <alignment horizontal="left" vertical="center"/>
    </xf>
    <xf numFmtId="0" fontId="14" fillId="0" borderId="22" xfId="43" applyFont="1" applyBorder="1" applyAlignment="1">
      <alignment horizontal="right" vertical="center"/>
    </xf>
    <xf numFmtId="1" fontId="14" fillId="0" borderId="22" xfId="43" applyNumberFormat="1" applyFont="1" applyBorder="1" applyAlignment="1">
      <alignment horizontal="center" vertical="center" wrapText="1"/>
    </xf>
    <xf numFmtId="0" fontId="14" fillId="10" borderId="6" xfId="43" applyFont="1" applyFill="1" applyBorder="1" applyAlignment="1">
      <alignment horizontal="right" vertical="center"/>
    </xf>
    <xf numFmtId="0" fontId="14" fillId="0" borderId="0" xfId="43" applyFont="1" applyAlignment="1">
      <alignment horizontal="left" vertical="center" wrapText="1"/>
    </xf>
    <xf numFmtId="0" fontId="14" fillId="0" borderId="0" xfId="43" applyFont="1" applyAlignment="1">
      <alignment vertical="center" wrapText="1"/>
    </xf>
    <xf numFmtId="0" fontId="15" fillId="0" borderId="0" xfId="43" applyFont="1" applyAlignment="1">
      <alignment horizontal="center" vertical="center"/>
    </xf>
    <xf numFmtId="0" fontId="16" fillId="0" borderId="0" xfId="43" applyFont="1" applyAlignment="1">
      <alignment horizontal="left" vertical="center"/>
    </xf>
    <xf numFmtId="0" fontId="16" fillId="0" borderId="0" xfId="43" applyFont="1" applyAlignment="1">
      <alignment horizontal="left" vertical="center" indent="1"/>
    </xf>
    <xf numFmtId="0" fontId="15" fillId="10" borderId="0" xfId="43" applyFont="1" applyFill="1" applyAlignment="1">
      <alignment vertical="center" wrapText="1"/>
    </xf>
    <xf numFmtId="0" fontId="21" fillId="0" borderId="0" xfId="43" applyFont="1" applyAlignment="1">
      <alignment horizontal="right" vertical="center"/>
    </xf>
    <xf numFmtId="0" fontId="52" fillId="0" borderId="0" xfId="43" applyFont="1" applyAlignment="1">
      <alignment horizontal="center" vertical="center"/>
    </xf>
    <xf numFmtId="0" fontId="15" fillId="0" borderId="4" xfId="43" applyFont="1" applyBorder="1" applyAlignment="1">
      <alignment vertical="center"/>
    </xf>
    <xf numFmtId="0" fontId="16" fillId="0" borderId="9" xfId="43" applyFont="1" applyBorder="1" applyAlignment="1">
      <alignment vertical="center"/>
    </xf>
    <xf numFmtId="0" fontId="14" fillId="0" borderId="6" xfId="43" applyFont="1" applyBorder="1" applyAlignment="1">
      <alignment horizontal="left" vertical="center"/>
    </xf>
    <xf numFmtId="0" fontId="14" fillId="0" borderId="2" xfId="43" applyFont="1" applyBorder="1" applyAlignment="1">
      <alignment vertical="center"/>
    </xf>
    <xf numFmtId="0" fontId="37" fillId="0" borderId="0" xfId="12" applyFont="1" applyAlignment="1">
      <alignment vertical="center" wrapText="1"/>
    </xf>
    <xf numFmtId="0" fontId="14" fillId="0" borderId="2" xfId="43" applyFont="1" applyBorder="1" applyAlignment="1">
      <alignment horizontal="right" vertical="center"/>
    </xf>
    <xf numFmtId="0" fontId="14" fillId="0" borderId="2" xfId="43" applyFont="1" applyBorder="1" applyAlignment="1">
      <alignment horizontal="center" vertical="center"/>
    </xf>
    <xf numFmtId="0" fontId="35" fillId="0" borderId="0" xfId="23" applyFont="1"/>
    <xf numFmtId="0" fontId="35" fillId="0" borderId="0" xfId="23" applyFont="1" applyAlignment="1">
      <alignment horizontal="left" vertical="center"/>
    </xf>
    <xf numFmtId="0" fontId="22" fillId="0" borderId="0" xfId="23" applyFont="1" applyAlignment="1">
      <alignment horizontal="left" vertical="center" wrapText="1"/>
    </xf>
    <xf numFmtId="0" fontId="35" fillId="0" borderId="24" xfId="23" applyFont="1" applyBorder="1" applyAlignment="1">
      <alignment horizontal="left" vertical="center"/>
    </xf>
    <xf numFmtId="0" fontId="35" fillId="0" borderId="20" xfId="23" applyFont="1" applyBorder="1" applyAlignment="1">
      <alignment horizontal="left" vertical="center"/>
    </xf>
    <xf numFmtId="0" fontId="35" fillId="0" borderId="25" xfId="23" applyFont="1" applyBorder="1" applyAlignment="1">
      <alignment horizontal="left" vertical="center"/>
    </xf>
    <xf numFmtId="0" fontId="35" fillId="9" borderId="35" xfId="23" applyFont="1" applyFill="1" applyBorder="1" applyAlignment="1">
      <alignment horizontal="left" vertical="center"/>
    </xf>
    <xf numFmtId="0" fontId="35" fillId="9" borderId="36" xfId="23" applyFont="1" applyFill="1" applyBorder="1" applyAlignment="1">
      <alignment horizontal="left" vertical="center"/>
    </xf>
    <xf numFmtId="0" fontId="35" fillId="9" borderId="22" xfId="23" applyFont="1" applyFill="1" applyBorder="1" applyAlignment="1">
      <alignment horizontal="left" vertical="center"/>
    </xf>
    <xf numFmtId="0" fontId="35" fillId="9" borderId="1" xfId="23" applyFont="1" applyFill="1" applyBorder="1" applyAlignment="1">
      <alignment horizontal="left" vertical="center"/>
    </xf>
    <xf numFmtId="0" fontId="35" fillId="9" borderId="37" xfId="23" applyFont="1" applyFill="1" applyBorder="1" applyAlignment="1">
      <alignment horizontal="left" vertical="center"/>
    </xf>
    <xf numFmtId="0" fontId="35" fillId="9" borderId="38" xfId="23" applyFont="1" applyFill="1" applyBorder="1" applyAlignment="1">
      <alignment horizontal="left" vertical="center"/>
    </xf>
    <xf numFmtId="0" fontId="35" fillId="0" borderId="22" xfId="23" applyFont="1" applyBorder="1" applyAlignment="1">
      <alignment horizontal="left" vertical="center"/>
    </xf>
    <xf numFmtId="0" fontId="35" fillId="0" borderId="1" xfId="23" applyFont="1" applyBorder="1" applyAlignment="1">
      <alignment horizontal="left" vertical="center"/>
    </xf>
    <xf numFmtId="0" fontId="35" fillId="9" borderId="26" xfId="23" applyFont="1" applyFill="1" applyBorder="1" applyAlignment="1">
      <alignment horizontal="left" vertical="center"/>
    </xf>
    <xf numFmtId="0" fontId="35" fillId="9" borderId="39" xfId="23" applyFont="1" applyFill="1" applyBorder="1" applyAlignment="1">
      <alignment horizontal="left" vertical="center"/>
    </xf>
    <xf numFmtId="0" fontId="35" fillId="0" borderId="23" xfId="23" applyFont="1" applyBorder="1" applyAlignment="1">
      <alignment horizontal="left" vertical="center"/>
    </xf>
    <xf numFmtId="0" fontId="35" fillId="0" borderId="21" xfId="23" applyFont="1" applyBorder="1" applyAlignment="1">
      <alignment horizontal="left" vertical="center"/>
    </xf>
    <xf numFmtId="0" fontId="14" fillId="0" borderId="10" xfId="43" applyFont="1" applyBorder="1" applyAlignment="1">
      <alignment vertical="center"/>
    </xf>
    <xf numFmtId="0" fontId="14" fillId="0" borderId="3" xfId="43" applyFont="1" applyBorder="1" applyAlignment="1">
      <alignment vertical="center"/>
    </xf>
    <xf numFmtId="0" fontId="14" fillId="0" borderId="8" xfId="43" applyFont="1" applyBorder="1" applyAlignment="1">
      <alignment horizontal="center" vertical="center"/>
    </xf>
    <xf numFmtId="14" fontId="16" fillId="0" borderId="0" xfId="0" applyNumberFormat="1" applyFont="1" applyAlignment="1">
      <alignment vertical="center"/>
    </xf>
    <xf numFmtId="0" fontId="22" fillId="0" borderId="0" xfId="23" applyFont="1" applyAlignment="1">
      <alignment vertical="center"/>
    </xf>
    <xf numFmtId="0" fontId="14" fillId="0" borderId="22" xfId="0" applyFont="1" applyBorder="1" applyAlignment="1" applyProtection="1">
      <alignment vertical="center"/>
      <protection hidden="1"/>
    </xf>
    <xf numFmtId="0" fontId="19" fillId="0" borderId="1" xfId="0" applyFont="1" applyBorder="1" applyAlignment="1" applyProtection="1">
      <alignment vertical="center"/>
      <protection hidden="1"/>
    </xf>
    <xf numFmtId="0" fontId="19" fillId="0" borderId="1" xfId="0" applyFont="1" applyBorder="1" applyAlignment="1">
      <alignment vertical="center"/>
    </xf>
    <xf numFmtId="0" fontId="16" fillId="0" borderId="0" xfId="0" quotePrefix="1" applyFont="1" applyAlignment="1">
      <alignment vertical="center"/>
    </xf>
    <xf numFmtId="0" fontId="14" fillId="0" borderId="6" xfId="0" applyFont="1" applyBorder="1" applyAlignment="1">
      <alignment horizontal="right" vertical="center"/>
    </xf>
    <xf numFmtId="0" fontId="16" fillId="0" borderId="60" xfId="0" applyFont="1" applyBorder="1" applyAlignment="1">
      <alignment horizontal="center" vertical="center"/>
    </xf>
    <xf numFmtId="0" fontId="16" fillId="0" borderId="61" xfId="0" applyFont="1" applyBorder="1" applyAlignment="1">
      <alignment vertical="center"/>
    </xf>
    <xf numFmtId="0" fontId="14" fillId="0" borderId="61" xfId="0" applyFont="1" applyBorder="1" applyAlignment="1">
      <alignment vertical="center"/>
    </xf>
    <xf numFmtId="0" fontId="14" fillId="0" borderId="62" xfId="0" applyFont="1" applyBorder="1" applyAlignment="1">
      <alignment vertical="center"/>
    </xf>
    <xf numFmtId="0" fontId="16" fillId="0" borderId="63" xfId="0" applyFont="1" applyBorder="1" applyAlignment="1">
      <alignment horizontal="center" vertical="center"/>
    </xf>
    <xf numFmtId="49" fontId="16" fillId="0" borderId="63" xfId="0" applyNumberFormat="1" applyFont="1" applyBorder="1" applyAlignment="1">
      <alignment horizontal="right" vertical="center"/>
    </xf>
    <xf numFmtId="0" fontId="14" fillId="0" borderId="64" xfId="0" applyFont="1" applyBorder="1" applyAlignment="1">
      <alignment vertical="center" wrapText="1"/>
    </xf>
    <xf numFmtId="0" fontId="14" fillId="0" borderId="19" xfId="0" applyFont="1" applyBorder="1" applyAlignment="1">
      <alignment horizontal="center" vertical="center"/>
    </xf>
    <xf numFmtId="0" fontId="12" fillId="0" borderId="64" xfId="0" applyFont="1" applyBorder="1" applyAlignment="1">
      <alignment vertical="center"/>
    </xf>
    <xf numFmtId="0" fontId="14" fillId="0" borderId="64" xfId="0" applyFont="1" applyBorder="1" applyAlignment="1">
      <alignment vertical="center"/>
    </xf>
    <xf numFmtId="0" fontId="16" fillId="0" borderId="63" xfId="0" applyFont="1" applyBorder="1" applyAlignment="1">
      <alignment horizontal="right" vertical="center"/>
    </xf>
    <xf numFmtId="0" fontId="14" fillId="0" borderId="63" xfId="0" applyFont="1" applyBorder="1" applyAlignment="1">
      <alignment vertical="center"/>
    </xf>
    <xf numFmtId="0" fontId="14" fillId="0" borderId="65" xfId="0" applyFont="1" applyBorder="1" applyAlignment="1">
      <alignment vertical="center"/>
    </xf>
    <xf numFmtId="0" fontId="14" fillId="0" borderId="66" xfId="0" applyFont="1" applyBorder="1" applyAlignment="1">
      <alignment vertical="center"/>
    </xf>
    <xf numFmtId="0" fontId="14" fillId="0" borderId="67" xfId="0" applyFont="1" applyBorder="1" applyAlignment="1">
      <alignment vertical="center"/>
    </xf>
    <xf numFmtId="0" fontId="14" fillId="0" borderId="64" xfId="0" applyFont="1" applyBorder="1" applyAlignment="1">
      <alignment horizontal="left" vertical="center"/>
    </xf>
    <xf numFmtId="0" fontId="14" fillId="0" borderId="21" xfId="0" applyFont="1" applyBorder="1" applyAlignment="1">
      <alignment vertical="center"/>
    </xf>
    <xf numFmtId="0" fontId="14" fillId="0" borderId="2" xfId="0" applyFont="1" applyBorder="1" applyAlignment="1">
      <alignment vertical="center"/>
    </xf>
    <xf numFmtId="0" fontId="19" fillId="0" borderId="23" xfId="0" applyFont="1" applyBorder="1" applyAlignment="1">
      <alignment vertical="center"/>
    </xf>
    <xf numFmtId="0" fontId="19" fillId="0" borderId="0" xfId="0" applyFont="1" applyAlignment="1">
      <alignment vertical="center"/>
    </xf>
    <xf numFmtId="0" fontId="15" fillId="0" borderId="1" xfId="55" applyFont="1" applyBorder="1" applyAlignment="1">
      <alignment horizontal="center" vertical="center"/>
    </xf>
    <xf numFmtId="0" fontId="12" fillId="0" borderId="1" xfId="55" applyBorder="1" applyAlignment="1">
      <alignment vertical="center"/>
    </xf>
    <xf numFmtId="49" fontId="16" fillId="0" borderId="10" xfId="0" applyNumberFormat="1" applyFont="1" applyBorder="1" applyAlignment="1">
      <alignment vertical="center"/>
    </xf>
    <xf numFmtId="49" fontId="16" fillId="0" borderId="9" xfId="0" applyNumberFormat="1" applyFont="1" applyBorder="1" applyAlignment="1">
      <alignment vertical="center"/>
    </xf>
    <xf numFmtId="49" fontId="16" fillId="0" borderId="11" xfId="0" applyNumberFormat="1" applyFont="1" applyBorder="1" applyAlignment="1">
      <alignment vertical="center"/>
    </xf>
    <xf numFmtId="165" fontId="14" fillId="0" borderId="42" xfId="0" applyNumberFormat="1" applyFont="1" applyBorder="1" applyAlignment="1">
      <alignment horizontal="left" vertical="center"/>
    </xf>
    <xf numFmtId="0" fontId="14" fillId="0" borderId="3" xfId="0" applyFont="1" applyBorder="1" applyAlignment="1">
      <alignment vertical="center"/>
    </xf>
    <xf numFmtId="49" fontId="14" fillId="0" borderId="4" xfId="0" applyNumberFormat="1" applyFont="1" applyBorder="1" applyAlignment="1">
      <alignment vertical="center"/>
    </xf>
    <xf numFmtId="0" fontId="14" fillId="0" borderId="4" xfId="0" quotePrefix="1" applyFont="1" applyBorder="1" applyAlignment="1">
      <alignment horizontal="center" vertical="center" wrapText="1"/>
    </xf>
    <xf numFmtId="0" fontId="14" fillId="0" borderId="5" xfId="0" applyFont="1" applyBorder="1" applyAlignment="1">
      <alignment horizontal="center" vertical="center"/>
    </xf>
    <xf numFmtId="0" fontId="14" fillId="0" borderId="42" xfId="0" applyFont="1" applyBorder="1" applyAlignment="1">
      <alignment horizontal="left" vertical="center"/>
    </xf>
    <xf numFmtId="0" fontId="16" fillId="0" borderId="10" xfId="0" applyFont="1" applyBorder="1" applyAlignment="1">
      <alignment vertical="center"/>
    </xf>
    <xf numFmtId="49" fontId="14" fillId="0" borderId="9" xfId="0" applyNumberFormat="1" applyFont="1" applyBorder="1" applyAlignment="1">
      <alignment vertical="center"/>
    </xf>
    <xf numFmtId="165" fontId="14" fillId="0" borderId="9" xfId="0" applyNumberFormat="1" applyFont="1" applyBorder="1" applyAlignment="1">
      <alignment horizontal="center" vertical="center"/>
    </xf>
    <xf numFmtId="0" fontId="14" fillId="0" borderId="9" xfId="0" applyFont="1" applyBorder="1" applyAlignment="1">
      <alignment horizontal="right" vertical="center"/>
    </xf>
    <xf numFmtId="0" fontId="14" fillId="0" borderId="11" xfId="0" applyFont="1" applyBorder="1" applyAlignment="1">
      <alignment vertical="center"/>
    </xf>
    <xf numFmtId="0" fontId="14" fillId="0" borderId="7" xfId="0" applyFont="1" applyBorder="1" applyAlignment="1">
      <alignment horizontal="right" vertical="center"/>
    </xf>
    <xf numFmtId="0" fontId="42" fillId="0" borderId="7" xfId="0" applyFont="1" applyBorder="1" applyAlignment="1">
      <alignment horizontal="left" vertical="center"/>
    </xf>
    <xf numFmtId="0" fontId="14" fillId="0" borderId="24" xfId="0" applyFont="1" applyBorder="1" applyAlignment="1">
      <alignment vertical="center"/>
    </xf>
    <xf numFmtId="0" fontId="19" fillId="0" borderId="25" xfId="0" applyFont="1" applyBorder="1" applyAlignment="1">
      <alignment vertical="center"/>
    </xf>
    <xf numFmtId="0" fontId="14" fillId="0" borderId="3" xfId="0" applyFont="1" applyBorder="1" applyAlignment="1">
      <alignment horizontal="right" vertical="center"/>
    </xf>
    <xf numFmtId="165" fontId="14" fillId="0" borderId="4" xfId="0" applyNumberFormat="1" applyFont="1" applyBorder="1" applyAlignment="1">
      <alignment horizontal="right" vertical="center"/>
    </xf>
    <xf numFmtId="0" fontId="14" fillId="0" borderId="5" xfId="0" applyFont="1" applyBorder="1" applyAlignment="1">
      <alignment horizontal="left" vertical="center"/>
    </xf>
    <xf numFmtId="49" fontId="14" fillId="0" borderId="6" xfId="0" applyNumberFormat="1"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9" fillId="0" borderId="0" xfId="9" applyFont="1"/>
    <xf numFmtId="1" fontId="43" fillId="0" borderId="0" xfId="0" applyNumberFormat="1" applyFont="1" applyAlignment="1">
      <alignment horizontal="center"/>
    </xf>
    <xf numFmtId="0" fontId="43" fillId="0" borderId="0" xfId="0" applyFont="1" applyAlignment="1">
      <alignment horizontal="left"/>
    </xf>
    <xf numFmtId="2" fontId="43" fillId="0" borderId="0" xfId="0" applyNumberFormat="1" applyFont="1"/>
    <xf numFmtId="0" fontId="43" fillId="0" borderId="0" xfId="0" applyFont="1" applyAlignment="1">
      <alignment horizontal="center"/>
    </xf>
    <xf numFmtId="0" fontId="19" fillId="0" borderId="36" xfId="0" applyFont="1" applyBorder="1" applyAlignment="1">
      <alignment vertical="center"/>
    </xf>
    <xf numFmtId="0" fontId="14" fillId="11" borderId="32" xfId="43" applyFont="1" applyFill="1" applyBorder="1" applyAlignment="1">
      <alignment vertical="center"/>
    </xf>
    <xf numFmtId="0" fontId="16" fillId="11" borderId="33" xfId="43" applyFont="1" applyFill="1" applyBorder="1" applyAlignment="1">
      <alignment vertical="center"/>
    </xf>
    <xf numFmtId="0" fontId="14" fillId="11" borderId="33" xfId="43" applyFont="1" applyFill="1" applyBorder="1" applyAlignment="1">
      <alignment vertical="center"/>
    </xf>
    <xf numFmtId="0" fontId="14" fillId="11" borderId="33" xfId="43" applyFont="1" applyFill="1" applyBorder="1" applyAlignment="1">
      <alignment horizontal="right" vertical="center"/>
    </xf>
    <xf numFmtId="0" fontId="14" fillId="11" borderId="26" xfId="43" applyFont="1" applyFill="1" applyBorder="1" applyAlignment="1">
      <alignment vertical="center"/>
    </xf>
    <xf numFmtId="0" fontId="14" fillId="11" borderId="39" xfId="43" applyFont="1" applyFill="1" applyBorder="1" applyAlignment="1">
      <alignment vertical="center"/>
    </xf>
    <xf numFmtId="0" fontId="16" fillId="11" borderId="33" xfId="43" applyFont="1" applyFill="1" applyBorder="1" applyAlignment="1">
      <alignment horizontal="left" vertical="center"/>
    </xf>
    <xf numFmtId="0" fontId="12" fillId="11" borderId="33" xfId="43" applyFill="1" applyBorder="1" applyAlignment="1">
      <alignment vertical="center"/>
    </xf>
    <xf numFmtId="0" fontId="12" fillId="11" borderId="33" xfId="23" applyFill="1" applyBorder="1" applyAlignment="1">
      <alignment vertical="center" wrapText="1"/>
    </xf>
    <xf numFmtId="0" fontId="12" fillId="11" borderId="33" xfId="23" applyFill="1" applyBorder="1" applyAlignment="1">
      <alignment horizontal="left" vertical="center" wrapText="1"/>
    </xf>
    <xf numFmtId="0" fontId="19" fillId="11" borderId="33" xfId="43" applyFont="1" applyFill="1" applyBorder="1" applyAlignment="1">
      <alignment vertical="center"/>
    </xf>
    <xf numFmtId="0" fontId="14" fillId="11" borderId="34" xfId="43" applyFont="1" applyFill="1" applyBorder="1" applyAlignment="1">
      <alignment vertical="center"/>
    </xf>
    <xf numFmtId="0" fontId="14" fillId="11" borderId="32" xfId="0" applyFont="1" applyFill="1" applyBorder="1" applyAlignment="1">
      <alignment vertical="center"/>
    </xf>
    <xf numFmtId="0" fontId="16" fillId="11" borderId="33" xfId="0" quotePrefix="1" applyFont="1" applyFill="1" applyBorder="1" applyAlignment="1">
      <alignment horizontal="left" vertical="center"/>
    </xf>
    <xf numFmtId="0" fontId="16" fillId="11" borderId="33" xfId="0" applyFont="1" applyFill="1" applyBorder="1" applyAlignment="1">
      <alignment vertical="center"/>
    </xf>
    <xf numFmtId="0" fontId="107" fillId="11" borderId="33" xfId="0" applyFont="1" applyFill="1" applyBorder="1" applyAlignment="1">
      <alignment vertical="center"/>
    </xf>
    <xf numFmtId="0" fontId="14" fillId="11" borderId="33" xfId="0" applyFont="1" applyFill="1" applyBorder="1" applyAlignment="1">
      <alignment vertical="center"/>
    </xf>
    <xf numFmtId="0" fontId="19" fillId="11" borderId="34" xfId="0" applyFont="1" applyFill="1" applyBorder="1" applyAlignment="1">
      <alignment vertical="center"/>
    </xf>
    <xf numFmtId="0" fontId="14" fillId="11" borderId="26" xfId="0" applyFont="1" applyFill="1" applyBorder="1" applyAlignment="1">
      <alignment vertical="center"/>
    </xf>
    <xf numFmtId="0" fontId="16" fillId="11" borderId="19" xfId="0" quotePrefix="1" applyFont="1" applyFill="1" applyBorder="1" applyAlignment="1">
      <alignment horizontal="left" vertical="center"/>
    </xf>
    <xf numFmtId="0" fontId="14" fillId="11" borderId="19" xfId="0" applyFont="1" applyFill="1" applyBorder="1" applyAlignment="1">
      <alignment vertical="center"/>
    </xf>
    <xf numFmtId="0" fontId="19" fillId="11" borderId="39" xfId="0" applyFont="1" applyFill="1" applyBorder="1" applyAlignment="1">
      <alignment vertical="center"/>
    </xf>
    <xf numFmtId="49" fontId="16" fillId="11" borderId="19" xfId="0" quotePrefix="1" applyNumberFormat="1" applyFont="1" applyFill="1" applyBorder="1" applyAlignment="1">
      <alignment horizontal="left" vertical="center"/>
    </xf>
    <xf numFmtId="0" fontId="15" fillId="11" borderId="19" xfId="0" applyFont="1" applyFill="1" applyBorder="1" applyAlignment="1">
      <alignment vertical="center"/>
    </xf>
    <xf numFmtId="0" fontId="12" fillId="11" borderId="19" xfId="0" applyFont="1" applyFill="1" applyBorder="1" applyAlignment="1">
      <alignment vertical="center"/>
    </xf>
    <xf numFmtId="0" fontId="14" fillId="11" borderId="19" xfId="0" applyFont="1" applyFill="1" applyBorder="1" applyAlignment="1">
      <alignment vertical="center" wrapText="1"/>
    </xf>
    <xf numFmtId="2" fontId="14" fillId="11" borderId="8" xfId="0" applyNumberFormat="1" applyFont="1" applyFill="1" applyBorder="1" applyAlignment="1">
      <alignment horizontal="center" vertical="center"/>
    </xf>
    <xf numFmtId="2" fontId="14" fillId="11" borderId="8" xfId="0" applyNumberFormat="1" applyFont="1" applyFill="1" applyBorder="1" applyAlignment="1">
      <alignment vertical="center"/>
    </xf>
    <xf numFmtId="49" fontId="16" fillId="11" borderId="33" xfId="0" quotePrefix="1" applyNumberFormat="1" applyFont="1" applyFill="1" applyBorder="1" applyAlignment="1">
      <alignment horizontal="left" vertical="center"/>
    </xf>
    <xf numFmtId="0" fontId="41" fillId="11" borderId="39" xfId="0" applyFont="1" applyFill="1" applyBorder="1" applyAlignment="1">
      <alignment horizontal="left" vertical="center"/>
    </xf>
    <xf numFmtId="0" fontId="14" fillId="11" borderId="19" xfId="0" applyFont="1" applyFill="1" applyBorder="1" applyAlignment="1">
      <alignment horizontal="left" vertical="center"/>
    </xf>
    <xf numFmtId="2" fontId="37" fillId="7" borderId="13" xfId="57" applyNumberFormat="1" applyFont="1" applyFill="1" applyBorder="1" applyAlignment="1" applyProtection="1">
      <alignment horizontal="center" vertical="center"/>
      <protection locked="0"/>
    </xf>
    <xf numFmtId="2" fontId="37" fillId="11" borderId="13" xfId="57" applyNumberFormat="1" applyFont="1" applyFill="1" applyBorder="1" applyAlignment="1">
      <alignment horizontal="center" vertical="center"/>
    </xf>
    <xf numFmtId="0" fontId="16" fillId="0" borderId="37" xfId="23" applyFont="1" applyBorder="1" applyAlignment="1">
      <alignment horizontal="left" vertical="center"/>
    </xf>
    <xf numFmtId="0" fontId="12" fillId="0" borderId="4" xfId="23" applyBorder="1" applyAlignment="1">
      <alignment horizontal="left" vertical="center"/>
    </xf>
    <xf numFmtId="0" fontId="30" fillId="0" borderId="4" xfId="23" applyFont="1" applyBorder="1" applyAlignment="1">
      <alignment horizontal="center"/>
    </xf>
    <xf numFmtId="0" fontId="31" fillId="0" borderId="4" xfId="23" applyFont="1" applyBorder="1"/>
    <xf numFmtId="0" fontId="31" fillId="0" borderId="38" xfId="23" applyFont="1" applyBorder="1"/>
    <xf numFmtId="49" fontId="34" fillId="10" borderId="0" xfId="59" applyNumberFormat="1" applyFont="1" applyFill="1" applyAlignment="1">
      <alignment vertical="center"/>
    </xf>
    <xf numFmtId="0" fontId="14" fillId="0" borderId="70" xfId="0" applyFont="1" applyBorder="1" applyAlignment="1">
      <alignment horizontal="left" vertical="center"/>
    </xf>
    <xf numFmtId="0" fontId="16" fillId="0" borderId="35" xfId="0" applyFont="1" applyBorder="1" applyAlignment="1">
      <alignment horizontal="right" vertical="center"/>
    </xf>
    <xf numFmtId="0" fontId="14" fillId="0" borderId="35" xfId="0" quotePrefix="1" applyFont="1" applyBorder="1" applyAlignment="1">
      <alignment horizontal="center" vertical="center"/>
    </xf>
    <xf numFmtId="0" fontId="14" fillId="0" borderId="36" xfId="0" applyFont="1" applyBorder="1" applyAlignment="1">
      <alignment horizontal="center" vertical="center"/>
    </xf>
    <xf numFmtId="0" fontId="14" fillId="0" borderId="21" xfId="0" applyFont="1" applyBorder="1" applyAlignment="1">
      <alignment horizontal="center" vertical="center"/>
    </xf>
    <xf numFmtId="49" fontId="14" fillId="2" borderId="30" xfId="59" applyNumberFormat="1" applyFont="1" applyFill="1" applyBorder="1"/>
    <xf numFmtId="49" fontId="16" fillId="10" borderId="22" xfId="59" applyNumberFormat="1" applyFont="1" applyFill="1" applyBorder="1" applyAlignment="1">
      <alignment horizontal="right"/>
    </xf>
    <xf numFmtId="49" fontId="16" fillId="10" borderId="0" xfId="59" applyNumberFormat="1" applyFont="1" applyFill="1" applyAlignment="1">
      <alignment horizontal="right"/>
    </xf>
    <xf numFmtId="0" fontId="14" fillId="10" borderId="0" xfId="59" applyFont="1" applyFill="1"/>
    <xf numFmtId="0" fontId="14" fillId="10" borderId="1" xfId="59" applyFont="1" applyFill="1" applyBorder="1"/>
    <xf numFmtId="49" fontId="15" fillId="10" borderId="0" xfId="59" applyNumberFormat="1" applyFont="1" applyFill="1" applyAlignment="1">
      <alignment horizontal="right"/>
    </xf>
    <xf numFmtId="49" fontId="14" fillId="10" borderId="0" xfId="59" applyNumberFormat="1" applyFont="1" applyFill="1" applyAlignment="1">
      <alignment horizontal="center"/>
    </xf>
    <xf numFmtId="0" fontId="37" fillId="10" borderId="0" xfId="59" applyFont="1" applyFill="1"/>
    <xf numFmtId="0" fontId="14" fillId="10" borderId="0" xfId="0" applyFont="1" applyFill="1"/>
    <xf numFmtId="0" fontId="14" fillId="10" borderId="22" xfId="0" applyFont="1" applyFill="1" applyBorder="1" applyAlignment="1">
      <alignment wrapText="1"/>
    </xf>
    <xf numFmtId="0" fontId="16" fillId="10" borderId="18" xfId="59" applyFont="1" applyFill="1" applyBorder="1" applyAlignment="1">
      <alignment horizontal="center" wrapText="1"/>
    </xf>
    <xf numFmtId="0" fontId="14" fillId="10" borderId="8" xfId="59" applyFont="1" applyFill="1" applyBorder="1" applyAlignment="1">
      <alignment horizontal="center" wrapText="1"/>
    </xf>
    <xf numFmtId="49" fontId="14" fillId="10" borderId="0" xfId="59" applyNumberFormat="1" applyFont="1" applyFill="1" applyAlignment="1">
      <alignment horizontal="right" wrapText="1"/>
    </xf>
    <xf numFmtId="49" fontId="14" fillId="10" borderId="0" xfId="59" applyNumberFormat="1" applyFont="1" applyFill="1" applyAlignment="1">
      <alignment horizontal="center" wrapText="1"/>
    </xf>
    <xf numFmtId="0" fontId="14" fillId="10" borderId="0" xfId="59" applyFont="1" applyFill="1" applyAlignment="1">
      <alignment horizontal="center" wrapText="1"/>
    </xf>
    <xf numFmtId="0" fontId="14" fillId="10" borderId="0" xfId="59" applyFont="1" applyFill="1" applyAlignment="1">
      <alignment wrapText="1"/>
    </xf>
    <xf numFmtId="0" fontId="14" fillId="10" borderId="0" xfId="0" applyFont="1" applyFill="1" applyAlignment="1">
      <alignment wrapText="1"/>
    </xf>
    <xf numFmtId="0" fontId="14" fillId="10" borderId="22" xfId="0" applyFont="1" applyFill="1" applyBorder="1"/>
    <xf numFmtId="1" fontId="14" fillId="10" borderId="8" xfId="59" applyNumberFormat="1" applyFont="1" applyFill="1" applyBorder="1" applyAlignment="1">
      <alignment horizontal="center"/>
    </xf>
    <xf numFmtId="0" fontId="16" fillId="7" borderId="12" xfId="59" applyFont="1" applyFill="1" applyBorder="1" applyAlignment="1" applyProtection="1">
      <alignment horizontal="center" vertical="center"/>
      <protection locked="0"/>
    </xf>
    <xf numFmtId="1" fontId="37" fillId="9" borderId="12" xfId="59" applyNumberFormat="1" applyFont="1" applyFill="1" applyBorder="1" applyAlignment="1">
      <alignment horizontal="center" vertical="center"/>
    </xf>
    <xf numFmtId="1" fontId="37" fillId="9" borderId="5" xfId="59" applyNumberFormat="1" applyFont="1" applyFill="1" applyBorder="1" applyAlignment="1">
      <alignment horizontal="center" vertical="center"/>
    </xf>
    <xf numFmtId="0" fontId="14" fillId="10" borderId="1" xfId="0" applyFont="1" applyFill="1" applyBorder="1"/>
    <xf numFmtId="0" fontId="16" fillId="7" borderId="8" xfId="59" applyFont="1" applyFill="1" applyBorder="1" applyAlignment="1" applyProtection="1">
      <alignment horizontal="center" vertical="center"/>
      <protection locked="0"/>
    </xf>
    <xf numFmtId="1" fontId="37" fillId="9" borderId="8" xfId="59" applyNumberFormat="1" applyFont="1" applyFill="1" applyBorder="1" applyAlignment="1">
      <alignment horizontal="center" vertical="center"/>
    </xf>
    <xf numFmtId="1" fontId="37" fillId="9" borderId="14" xfId="59" applyNumberFormat="1" applyFont="1" applyFill="1" applyBorder="1" applyAlignment="1">
      <alignment horizontal="center" vertical="center"/>
    </xf>
    <xf numFmtId="0" fontId="37" fillId="10" borderId="0" xfId="59" applyFont="1" applyFill="1" applyAlignment="1">
      <alignment horizontal="center"/>
    </xf>
    <xf numFmtId="0" fontId="14" fillId="10" borderId="1" xfId="59" applyFont="1" applyFill="1" applyBorder="1" applyAlignment="1">
      <alignment horizontal="center"/>
    </xf>
    <xf numFmtId="0" fontId="14" fillId="10" borderId="0" xfId="59" applyFont="1" applyFill="1" applyAlignment="1">
      <alignment horizontal="left" vertical="center" wrapText="1"/>
    </xf>
    <xf numFmtId="0" fontId="19" fillId="10" borderId="0" xfId="59" applyFont="1" applyFill="1"/>
    <xf numFmtId="167" fontId="19" fillId="10" borderId="0" xfId="59" applyNumberFormat="1" applyFont="1" applyFill="1" applyAlignment="1">
      <alignment horizontal="center" vertical="center"/>
    </xf>
    <xf numFmtId="0" fontId="19" fillId="10" borderId="0" xfId="59" applyFont="1" applyFill="1" applyAlignment="1">
      <alignment vertical="center"/>
    </xf>
    <xf numFmtId="0" fontId="14" fillId="10" borderId="0" xfId="59" applyFont="1" applyFill="1" applyAlignment="1">
      <alignment horizontal="center"/>
    </xf>
    <xf numFmtId="0" fontId="14" fillId="9" borderId="8" xfId="23" applyFont="1" applyFill="1" applyBorder="1" applyAlignment="1">
      <alignment horizontal="center"/>
    </xf>
    <xf numFmtId="0" fontId="14" fillId="10" borderId="1" xfId="59" applyFont="1" applyFill="1" applyBorder="1" applyAlignment="1">
      <alignment vertical="center"/>
    </xf>
    <xf numFmtId="1" fontId="14" fillId="9" borderId="8" xfId="23" applyNumberFormat="1" applyFont="1" applyFill="1" applyBorder="1" applyAlignment="1">
      <alignment horizontal="center"/>
    </xf>
    <xf numFmtId="165" fontId="14" fillId="9" borderId="8" xfId="23" applyNumberFormat="1" applyFont="1" applyFill="1" applyBorder="1" applyAlignment="1">
      <alignment horizontal="center"/>
    </xf>
    <xf numFmtId="1" fontId="14" fillId="9" borderId="8" xfId="59" applyNumberFormat="1" applyFont="1" applyFill="1" applyBorder="1" applyAlignment="1">
      <alignment horizontal="center"/>
    </xf>
    <xf numFmtId="0" fontId="14" fillId="10" borderId="22" xfId="23" applyFont="1" applyFill="1" applyBorder="1"/>
    <xf numFmtId="1" fontId="16" fillId="10" borderId="7" xfId="23" applyNumberFormat="1" applyFont="1" applyFill="1" applyBorder="1"/>
    <xf numFmtId="0" fontId="14" fillId="7" borderId="8" xfId="0" applyFont="1" applyFill="1" applyBorder="1" applyAlignment="1" applyProtection="1">
      <alignment horizontal="center"/>
      <protection locked="0"/>
    </xf>
    <xf numFmtId="0" fontId="14" fillId="10" borderId="22" xfId="59" applyFont="1" applyFill="1" applyBorder="1"/>
    <xf numFmtId="49" fontId="16" fillId="0" borderId="0" xfId="59" applyNumberFormat="1" applyFont="1" applyAlignment="1">
      <alignment horizontal="right"/>
    </xf>
    <xf numFmtId="49" fontId="37" fillId="0" borderId="0" xfId="59" applyNumberFormat="1" applyFont="1" applyAlignment="1">
      <alignment horizontal="center"/>
    </xf>
    <xf numFmtId="0" fontId="37" fillId="0" borderId="0" xfId="59" applyFont="1" applyAlignment="1">
      <alignment horizontal="right"/>
    </xf>
    <xf numFmtId="0" fontId="16" fillId="0" borderId="0" xfId="59" applyFont="1" applyAlignment="1">
      <alignment horizontal="center" vertical="center"/>
    </xf>
    <xf numFmtId="0" fontId="16" fillId="0" borderId="0" xfId="59" applyFont="1" applyAlignment="1">
      <alignment horizontal="left" vertical="center"/>
    </xf>
    <xf numFmtId="0" fontId="16" fillId="0" borderId="0" xfId="59" applyFont="1" applyAlignment="1">
      <alignment horizontal="center"/>
    </xf>
    <xf numFmtId="175" fontId="14" fillId="0" borderId="0" xfId="59" applyNumberFormat="1" applyFont="1" applyAlignment="1">
      <alignment horizontal="center" vertical="center"/>
    </xf>
    <xf numFmtId="164" fontId="14" fillId="0" borderId="0" xfId="59" applyNumberFormat="1" applyFont="1" applyAlignment="1">
      <alignment horizontal="center" vertical="center"/>
    </xf>
    <xf numFmtId="1" fontId="14" fillId="0" borderId="0" xfId="59" applyNumberFormat="1" applyFont="1" applyAlignment="1">
      <alignment horizontal="center" vertical="center"/>
    </xf>
    <xf numFmtId="49" fontId="16" fillId="0" borderId="0" xfId="59" applyNumberFormat="1" applyFont="1" applyAlignment="1">
      <alignment horizontal="right" vertical="center"/>
    </xf>
    <xf numFmtId="49" fontId="16" fillId="0" borderId="0" xfId="59" applyNumberFormat="1" applyFont="1"/>
    <xf numFmtId="165" fontId="14" fillId="0" borderId="0" xfId="59" applyNumberFormat="1" applyFont="1" applyAlignment="1">
      <alignment horizontal="center" vertical="center"/>
    </xf>
    <xf numFmtId="0" fontId="16" fillId="0" borderId="0" xfId="59" applyFont="1" applyAlignment="1">
      <alignment horizontal="right" vertical="center"/>
    </xf>
    <xf numFmtId="49" fontId="16" fillId="0" borderId="0" xfId="59" applyNumberFormat="1" applyFont="1" applyAlignment="1">
      <alignment vertical="center"/>
    </xf>
    <xf numFmtId="0" fontId="36" fillId="0" borderId="0" xfId="57" applyFont="1" applyAlignment="1">
      <alignment horizontal="center" vertical="center" wrapText="1"/>
    </xf>
    <xf numFmtId="0" fontId="38" fillId="2" borderId="57" xfId="57" applyFont="1" applyFill="1" applyBorder="1" applyAlignment="1">
      <alignment horizontal="center"/>
    </xf>
    <xf numFmtId="0" fontId="61" fillId="2" borderId="58" xfId="57" applyFont="1" applyFill="1" applyBorder="1" applyAlignment="1">
      <alignment horizontal="center"/>
    </xf>
    <xf numFmtId="0" fontId="38" fillId="2" borderId="58" xfId="57" applyFont="1" applyFill="1" applyBorder="1" applyAlignment="1">
      <alignment horizontal="center"/>
    </xf>
    <xf numFmtId="0" fontId="38" fillId="2" borderId="58" xfId="57" applyFont="1" applyFill="1" applyBorder="1" applyAlignment="1">
      <alignment horizontal="center" wrapText="1"/>
    </xf>
    <xf numFmtId="0" fontId="38" fillId="2" borderId="59" xfId="57" applyFont="1" applyFill="1" applyBorder="1" applyAlignment="1">
      <alignment horizontal="center" wrapText="1"/>
    </xf>
    <xf numFmtId="0" fontId="37" fillId="0" borderId="52" xfId="57" applyFont="1" applyBorder="1" applyAlignment="1">
      <alignment horizontal="center" vertical="center"/>
    </xf>
    <xf numFmtId="0" fontId="65" fillId="2" borderId="17" xfId="57" applyFont="1" applyFill="1" applyBorder="1" applyAlignment="1">
      <alignment horizontal="center" vertical="center"/>
    </xf>
    <xf numFmtId="0" fontId="37" fillId="0" borderId="22" xfId="57" applyFont="1" applyBorder="1" applyAlignment="1">
      <alignment horizontal="center" vertical="center"/>
    </xf>
    <xf numFmtId="0" fontId="37" fillId="0" borderId="1" xfId="57" applyFont="1" applyBorder="1" applyAlignment="1">
      <alignment horizontal="center" vertical="center"/>
    </xf>
    <xf numFmtId="0" fontId="38" fillId="2" borderId="52" xfId="57" applyFont="1" applyFill="1" applyBorder="1" applyAlignment="1">
      <alignment horizontal="center"/>
    </xf>
    <xf numFmtId="0" fontId="38" fillId="2" borderId="17" xfId="57" applyFont="1" applyFill="1" applyBorder="1" applyAlignment="1">
      <alignment horizontal="center" wrapText="1"/>
    </xf>
    <xf numFmtId="0" fontId="37" fillId="0" borderId="0" xfId="12" applyFont="1" applyAlignment="1">
      <alignment horizontal="right"/>
    </xf>
    <xf numFmtId="0" fontId="25" fillId="0" borderId="0" xfId="23" applyFont="1" applyAlignment="1">
      <alignment vertical="center" wrapText="1"/>
    </xf>
    <xf numFmtId="0" fontId="44" fillId="0" borderId="0" xfId="23" applyFont="1" applyAlignment="1">
      <alignment vertical="center" wrapText="1"/>
    </xf>
    <xf numFmtId="0" fontId="14" fillId="2" borderId="28" xfId="23" applyFont="1" applyFill="1" applyBorder="1" applyAlignment="1">
      <alignment wrapText="1"/>
    </xf>
    <xf numFmtId="0" fontId="14" fillId="0" borderId="4" xfId="43" applyFont="1" applyBorder="1" applyAlignment="1">
      <alignment horizontal="center" vertical="center"/>
    </xf>
    <xf numFmtId="14" fontId="14" fillId="0" borderId="4" xfId="43" applyNumberFormat="1" applyFont="1" applyBorder="1" applyAlignment="1">
      <alignment horizontal="center" vertical="center"/>
    </xf>
    <xf numFmtId="1" fontId="14" fillId="0" borderId="0" xfId="23" applyNumberFormat="1" applyFont="1" applyAlignment="1">
      <alignment horizontal="center" vertical="center"/>
    </xf>
    <xf numFmtId="0" fontId="19" fillId="0" borderId="1" xfId="0" applyFont="1" applyBorder="1"/>
    <xf numFmtId="0" fontId="14" fillId="0" borderId="22" xfId="23" applyFont="1" applyBorder="1" applyAlignment="1">
      <alignment horizontal="center"/>
    </xf>
    <xf numFmtId="0" fontId="14" fillId="0" borderId="0" xfId="23" applyFont="1" applyAlignment="1">
      <alignment horizontal="center"/>
    </xf>
    <xf numFmtId="176" fontId="14" fillId="7" borderId="8" xfId="10" applyNumberFormat="1" applyFont="1" applyFill="1" applyBorder="1" applyAlignment="1" applyProtection="1">
      <alignment horizontal="center" vertical="center"/>
      <protection locked="0"/>
    </xf>
    <xf numFmtId="0" fontId="16" fillId="0" borderId="1" xfId="43" applyFont="1" applyBorder="1" applyAlignment="1">
      <alignment vertical="center"/>
    </xf>
    <xf numFmtId="0" fontId="14" fillId="0" borderId="28" xfId="43" applyFont="1" applyBorder="1" applyAlignment="1">
      <alignment vertical="center"/>
    </xf>
    <xf numFmtId="0" fontId="16" fillId="0" borderId="22" xfId="43" applyFont="1" applyBorder="1" applyAlignment="1">
      <alignment vertical="center"/>
    </xf>
    <xf numFmtId="0" fontId="14" fillId="0" borderId="1" xfId="43" applyFont="1" applyBorder="1" applyAlignment="1">
      <alignment horizontal="center" vertical="center"/>
    </xf>
    <xf numFmtId="0" fontId="14" fillId="0" borderId="23" xfId="43" applyFont="1" applyBorder="1" applyAlignment="1">
      <alignment horizontal="center" vertical="center"/>
    </xf>
    <xf numFmtId="0" fontId="14" fillId="0" borderId="23" xfId="43" applyFont="1" applyBorder="1" applyAlignment="1">
      <alignment vertical="center"/>
    </xf>
    <xf numFmtId="0" fontId="14" fillId="0" borderId="6" xfId="43" applyFont="1" applyBorder="1" applyAlignment="1">
      <alignment horizontal="right" vertical="center"/>
    </xf>
    <xf numFmtId="0" fontId="14" fillId="0" borderId="2" xfId="43" applyFont="1" applyBorder="1" applyAlignment="1">
      <alignment horizontal="left" vertical="center"/>
    </xf>
    <xf numFmtId="173" fontId="14" fillId="0" borderId="1" xfId="43" applyNumberFormat="1" applyFont="1" applyBorder="1" applyAlignment="1">
      <alignment horizontal="center" vertical="center"/>
    </xf>
    <xf numFmtId="0" fontId="12" fillId="0" borderId="2" xfId="43" applyBorder="1" applyAlignment="1">
      <alignment horizontal="right" vertical="center"/>
    </xf>
    <xf numFmtId="165" fontId="14" fillId="5" borderId="2" xfId="43" applyNumberFormat="1" applyFont="1" applyFill="1" applyBorder="1" applyAlignment="1" applyProtection="1">
      <alignment horizontal="center" vertical="center"/>
      <protection locked="0"/>
    </xf>
    <xf numFmtId="0" fontId="14" fillId="5" borderId="8" xfId="43" applyFont="1" applyFill="1" applyBorder="1" applyAlignment="1" applyProtection="1">
      <alignment horizontal="center" vertical="center"/>
      <protection locked="0"/>
    </xf>
    <xf numFmtId="0" fontId="14" fillId="10" borderId="0" xfId="43" applyFont="1" applyFill="1" applyAlignment="1">
      <alignment horizontal="right" vertical="center"/>
    </xf>
    <xf numFmtId="0" fontId="16" fillId="0" borderId="22" xfId="43" applyFont="1" applyBorder="1" applyAlignment="1">
      <alignment horizontal="right" vertical="center"/>
    </xf>
    <xf numFmtId="0" fontId="16" fillId="2" borderId="30" xfId="43" applyFont="1" applyFill="1" applyBorder="1" applyAlignment="1">
      <alignment vertical="center"/>
    </xf>
    <xf numFmtId="0" fontId="12" fillId="2" borderId="28" xfId="43" applyFill="1" applyBorder="1" applyAlignment="1">
      <alignment vertical="center"/>
    </xf>
    <xf numFmtId="0" fontId="12" fillId="0" borderId="0" xfId="43"/>
    <xf numFmtId="1" fontId="14" fillId="0" borderId="22" xfId="43" applyNumberFormat="1" applyFont="1" applyBorder="1" applyAlignment="1">
      <alignment horizontal="left" vertical="center" wrapText="1"/>
    </xf>
    <xf numFmtId="0" fontId="12" fillId="0" borderId="0" xfId="43" applyAlignment="1">
      <alignment horizontal="left" vertical="center"/>
    </xf>
    <xf numFmtId="0" fontId="14" fillId="0" borderId="22" xfId="43" applyFont="1" applyBorder="1" applyAlignment="1">
      <alignment horizontal="left" vertical="center" wrapText="1"/>
    </xf>
    <xf numFmtId="0" fontId="14" fillId="0" borderId="1" xfId="43" applyFont="1" applyBorder="1" applyAlignment="1">
      <alignment vertical="center" wrapText="1"/>
    </xf>
    <xf numFmtId="0" fontId="16" fillId="0" borderId="0" xfId="43" applyFont="1" applyAlignment="1">
      <alignment horizontal="center" vertical="center"/>
    </xf>
    <xf numFmtId="0" fontId="12" fillId="5" borderId="8" xfId="43" applyFill="1" applyBorder="1" applyAlignment="1" applyProtection="1">
      <alignment horizontal="center" vertical="center"/>
      <protection locked="0"/>
    </xf>
    <xf numFmtId="2" fontId="14" fillId="0" borderId="21" xfId="43" applyNumberFormat="1" applyFont="1" applyBorder="1" applyAlignment="1">
      <alignment horizontal="right" vertical="center"/>
    </xf>
    <xf numFmtId="2" fontId="14" fillId="0" borderId="2" xfId="43" applyNumberFormat="1" applyFont="1" applyBorder="1" applyAlignment="1">
      <alignment horizontal="right" vertical="center"/>
    </xf>
    <xf numFmtId="0" fontId="0" fillId="0" borderId="1" xfId="0" applyBorder="1" applyAlignment="1">
      <alignment vertical="center"/>
    </xf>
    <xf numFmtId="0" fontId="16" fillId="2" borderId="19" xfId="0" applyFont="1" applyFill="1" applyBorder="1" applyAlignment="1">
      <alignment horizontal="left" vertical="center"/>
    </xf>
    <xf numFmtId="0" fontId="16" fillId="2" borderId="26" xfId="0" applyFont="1" applyFill="1" applyBorder="1" applyAlignment="1">
      <alignment horizontal="left" vertical="center"/>
    </xf>
    <xf numFmtId="0" fontId="16" fillId="2" borderId="39" xfId="0" applyFont="1" applyFill="1" applyBorder="1" applyAlignment="1">
      <alignment horizontal="left" vertical="center"/>
    </xf>
    <xf numFmtId="0" fontId="16" fillId="2" borderId="33" xfId="0" applyFont="1" applyFill="1" applyBorder="1" applyAlignment="1">
      <alignment horizontal="left" vertical="center"/>
    </xf>
    <xf numFmtId="0" fontId="12" fillId="0" borderId="22" xfId="43" applyBorder="1" applyAlignment="1">
      <alignment vertical="center"/>
    </xf>
    <xf numFmtId="165" fontId="14" fillId="0" borderId="2" xfId="43" applyNumberFormat="1" applyFont="1" applyBorder="1" applyAlignment="1" applyProtection="1">
      <alignment horizontal="center" vertical="center"/>
      <protection locked="0"/>
    </xf>
    <xf numFmtId="49" fontId="14" fillId="5" borderId="8" xfId="43" applyNumberFormat="1" applyFont="1" applyFill="1" applyBorder="1" applyAlignment="1" applyProtection="1">
      <alignment horizontal="center" vertical="center"/>
      <protection locked="0"/>
    </xf>
    <xf numFmtId="49" fontId="14" fillId="5" borderId="8" xfId="43" applyNumberFormat="1" applyFont="1" applyFill="1" applyBorder="1" applyAlignment="1" applyProtection="1">
      <alignment vertical="center"/>
      <protection locked="0"/>
    </xf>
    <xf numFmtId="165" fontId="14" fillId="7" borderId="8" xfId="43" applyNumberFormat="1" applyFont="1" applyFill="1" applyBorder="1" applyAlignment="1" applyProtection="1">
      <alignment horizontal="center" vertical="center"/>
      <protection locked="0"/>
    </xf>
    <xf numFmtId="165" fontId="14" fillId="0" borderId="8" xfId="43" applyNumberFormat="1" applyFont="1" applyBorder="1" applyAlignment="1">
      <alignment horizontal="center" vertical="center"/>
    </xf>
    <xf numFmtId="177" fontId="14" fillId="5" borderId="8" xfId="43" applyNumberFormat="1" applyFont="1" applyFill="1" applyBorder="1" applyAlignment="1" applyProtection="1">
      <alignment horizontal="center" vertical="center" wrapText="1"/>
      <protection locked="0"/>
    </xf>
    <xf numFmtId="1" fontId="14" fillId="0" borderId="52" xfId="43" applyNumberFormat="1" applyFont="1" applyBorder="1" applyAlignment="1">
      <alignment horizontal="center" vertical="center" wrapText="1"/>
    </xf>
    <xf numFmtId="0" fontId="14" fillId="0" borderId="17" xfId="43" applyFont="1" applyBorder="1" applyAlignment="1">
      <alignment horizontal="center" vertical="center"/>
    </xf>
    <xf numFmtId="0" fontId="99" fillId="0" borderId="0" xfId="10" applyFont="1"/>
    <xf numFmtId="0" fontId="98" fillId="0" borderId="0" xfId="10" applyFont="1"/>
    <xf numFmtId="0" fontId="37" fillId="0" borderId="0" xfId="12" applyFont="1" applyAlignment="1">
      <alignment wrapText="1"/>
    </xf>
    <xf numFmtId="0" fontId="37" fillId="0" borderId="22" xfId="12" applyFont="1" applyBorder="1" applyAlignment="1">
      <alignment vertical="center"/>
    </xf>
    <xf numFmtId="0" fontId="37" fillId="0" borderId="1" xfId="12" applyFont="1" applyBorder="1"/>
    <xf numFmtId="0" fontId="37" fillId="3" borderId="18" xfId="12" applyFont="1" applyFill="1" applyBorder="1" applyAlignment="1">
      <alignment horizontal="right" vertical="center"/>
    </xf>
    <xf numFmtId="165" fontId="37" fillId="5" borderId="14" xfId="12" applyNumberFormat="1" applyFont="1" applyFill="1" applyBorder="1" applyAlignment="1" applyProtection="1">
      <alignment horizontal="center" vertical="center"/>
      <protection locked="0"/>
    </xf>
    <xf numFmtId="49" fontId="16" fillId="2" borderId="32" xfId="0" applyNumberFormat="1" applyFont="1" applyFill="1" applyBorder="1" applyAlignment="1">
      <alignment vertical="center" wrapText="1"/>
    </xf>
    <xf numFmtId="49" fontId="16" fillId="2" borderId="33" xfId="0" applyNumberFormat="1" applyFont="1" applyFill="1" applyBorder="1" applyAlignment="1">
      <alignment vertical="center"/>
    </xf>
    <xf numFmtId="49" fontId="16" fillId="2" borderId="33" xfId="0" applyNumberFormat="1" applyFont="1" applyFill="1" applyBorder="1" applyAlignment="1">
      <alignment vertical="center" wrapText="1"/>
    </xf>
    <xf numFmtId="49" fontId="16" fillId="0" borderId="35" xfId="0" applyNumberFormat="1" applyFont="1" applyBorder="1" applyAlignment="1">
      <alignment horizontal="left" vertical="center" wrapText="1"/>
    </xf>
    <xf numFmtId="49" fontId="16" fillId="0" borderId="36" xfId="0" applyNumberFormat="1" applyFont="1" applyBorder="1" applyAlignment="1">
      <alignment horizontal="left" vertical="center" wrapText="1"/>
    </xf>
    <xf numFmtId="49" fontId="16" fillId="0" borderId="22" xfId="0" applyNumberFormat="1" applyFont="1" applyBorder="1" applyAlignment="1">
      <alignment horizontal="left" vertical="center" wrapText="1"/>
    </xf>
    <xf numFmtId="174" fontId="68" fillId="0" borderId="1" xfId="0" applyNumberFormat="1" applyFont="1" applyBorder="1" applyAlignment="1" applyProtection="1">
      <alignment horizontal="left" vertical="center" wrapText="1"/>
      <protection hidden="1"/>
    </xf>
    <xf numFmtId="49" fontId="41" fillId="0" borderId="1" xfId="0" applyNumberFormat="1" applyFont="1" applyBorder="1" applyAlignment="1">
      <alignment horizontal="left" vertical="center" wrapText="1"/>
    </xf>
    <xf numFmtId="0" fontId="16" fillId="0" borderId="22" xfId="0" quotePrefix="1" applyFont="1" applyBorder="1" applyAlignment="1">
      <alignment horizontal="center" vertical="center"/>
    </xf>
    <xf numFmtId="0" fontId="16" fillId="0" borderId="22" xfId="0" applyFont="1" applyBorder="1" applyAlignment="1">
      <alignment horizontal="center" vertical="center"/>
    </xf>
    <xf numFmtId="0" fontId="19" fillId="0" borderId="1" xfId="0" applyFont="1" applyBorder="1" applyAlignment="1">
      <alignment horizontal="center" vertical="center"/>
    </xf>
    <xf numFmtId="0" fontId="62" fillId="0" borderId="1" xfId="0" applyFont="1" applyBorder="1" applyAlignment="1">
      <alignment horizontal="left" vertical="center"/>
    </xf>
    <xf numFmtId="49" fontId="16" fillId="0" borderId="1" xfId="0" applyNumberFormat="1" applyFont="1" applyBorder="1" applyAlignment="1">
      <alignment horizontal="left" vertical="center" wrapText="1"/>
    </xf>
    <xf numFmtId="0" fontId="16" fillId="0" borderId="1" xfId="0" applyFont="1" applyBorder="1" applyAlignment="1">
      <alignment horizontal="center" vertical="center"/>
    </xf>
    <xf numFmtId="0" fontId="16" fillId="0" borderId="37" xfId="0" applyFont="1" applyBorder="1" applyAlignment="1">
      <alignment horizontal="center" vertical="center"/>
    </xf>
    <xf numFmtId="0" fontId="0" fillId="0" borderId="38" xfId="0" applyBorder="1"/>
    <xf numFmtId="0" fontId="16" fillId="0" borderId="35" xfId="0" applyFont="1" applyBorder="1" applyAlignment="1">
      <alignment horizontal="center" vertical="center"/>
    </xf>
    <xf numFmtId="0" fontId="44" fillId="0" borderId="36" xfId="0" applyFont="1" applyBorder="1" applyAlignment="1">
      <alignment horizontal="left" vertical="center"/>
    </xf>
    <xf numFmtId="0" fontId="16" fillId="0" borderId="37" xfId="0" applyFont="1" applyBorder="1" applyAlignment="1">
      <alignment horizontal="left" vertical="center"/>
    </xf>
    <xf numFmtId="0" fontId="16" fillId="0" borderId="38" xfId="0" applyFont="1" applyBorder="1" applyAlignment="1">
      <alignment horizontal="center" vertical="center"/>
    </xf>
    <xf numFmtId="0" fontId="14" fillId="0" borderId="39" xfId="0" applyFont="1" applyBorder="1" applyAlignment="1">
      <alignment vertical="center"/>
    </xf>
    <xf numFmtId="49" fontId="14" fillId="0" borderId="22" xfId="0" applyNumberFormat="1" applyFont="1" applyBorder="1" applyAlignment="1">
      <alignment horizontal="left" vertical="center" wrapText="1"/>
    </xf>
    <xf numFmtId="2" fontId="14" fillId="0" borderId="1" xfId="0" applyNumberFormat="1" applyFont="1" applyBorder="1" applyAlignment="1">
      <alignment horizontal="center" vertical="center"/>
    </xf>
    <xf numFmtId="2" fontId="14" fillId="0" borderId="36" xfId="0" applyNumberFormat="1" applyFont="1" applyBorder="1" applyAlignment="1">
      <alignment horizontal="center" vertical="center"/>
    </xf>
    <xf numFmtId="0" fontId="63" fillId="0" borderId="39" xfId="0" applyFont="1" applyBorder="1" applyAlignment="1">
      <alignment horizontal="center" vertical="center"/>
    </xf>
    <xf numFmtId="0" fontId="0" fillId="0" borderId="1" xfId="0" applyBorder="1" applyAlignment="1">
      <alignment horizontal="center" vertical="center"/>
    </xf>
    <xf numFmtId="0" fontId="0" fillId="0" borderId="38" xfId="0" applyBorder="1" applyAlignment="1">
      <alignment horizontal="center" vertical="center"/>
    </xf>
    <xf numFmtId="0" fontId="14" fillId="0" borderId="39" xfId="0" applyFont="1" applyBorder="1" applyAlignment="1">
      <alignment horizontal="left" vertical="center"/>
    </xf>
    <xf numFmtId="0" fontId="16" fillId="0" borderId="22" xfId="0" applyFont="1" applyBorder="1" applyAlignment="1">
      <alignment horizontal="center"/>
    </xf>
    <xf numFmtId="2" fontId="14" fillId="0" borderId="1" xfId="0" applyNumberFormat="1" applyFont="1" applyBorder="1" applyAlignment="1">
      <alignment horizontal="left" vertical="center"/>
    </xf>
    <xf numFmtId="2" fontId="14" fillId="0" borderId="38" xfId="0" applyNumberFormat="1" applyFont="1" applyBorder="1" applyAlignment="1">
      <alignment horizontal="center" vertical="center"/>
    </xf>
    <xf numFmtId="165" fontId="12" fillId="0" borderId="0" xfId="0" applyNumberFormat="1" applyFont="1" applyAlignment="1">
      <alignment horizontal="center" vertical="center"/>
    </xf>
    <xf numFmtId="49" fontId="19" fillId="0" borderId="0" xfId="0" applyNumberFormat="1" applyFont="1" applyAlignment="1">
      <alignment horizontal="left" vertical="center" wrapText="1"/>
    </xf>
    <xf numFmtId="174" fontId="43" fillId="0" borderId="0" xfId="0" applyNumberFormat="1" applyFont="1" applyAlignment="1" applyProtection="1">
      <alignment horizontal="left" vertical="center" wrapText="1"/>
      <protection hidden="1"/>
    </xf>
    <xf numFmtId="49" fontId="14" fillId="0" borderId="1" xfId="0" applyNumberFormat="1" applyFont="1" applyBorder="1" applyAlignment="1">
      <alignment horizontal="left" vertical="center" wrapText="1"/>
    </xf>
    <xf numFmtId="0" fontId="14" fillId="5" borderId="8" xfId="61" applyFont="1" applyFill="1" applyBorder="1" applyProtection="1">
      <protection locked="0"/>
    </xf>
    <xf numFmtId="0" fontId="16" fillId="11" borderId="19" xfId="43" applyFont="1" applyFill="1" applyBorder="1" applyAlignment="1">
      <alignment vertical="center"/>
    </xf>
    <xf numFmtId="0" fontId="16" fillId="11" borderId="26" xfId="43" applyFont="1" applyFill="1" applyBorder="1" applyAlignment="1">
      <alignment vertical="center"/>
    </xf>
    <xf numFmtId="0" fontId="14" fillId="0" borderId="4" xfId="0" applyFont="1" applyBorder="1" applyAlignment="1">
      <alignment horizontal="center"/>
    </xf>
    <xf numFmtId="0" fontId="75" fillId="3" borderId="9" xfId="0" applyFont="1" applyFill="1" applyBorder="1"/>
    <xf numFmtId="0" fontId="14" fillId="3" borderId="9" xfId="0" applyFont="1" applyFill="1" applyBorder="1" applyAlignment="1">
      <alignment horizontal="right"/>
    </xf>
    <xf numFmtId="0" fontId="14" fillId="3" borderId="9" xfId="0" applyFont="1" applyFill="1" applyBorder="1" applyAlignment="1">
      <alignment horizontal="left"/>
    </xf>
    <xf numFmtId="0" fontId="12" fillId="0" borderId="2" xfId="0" applyFont="1" applyBorder="1" applyAlignment="1">
      <alignment horizontal="center" vertical="center"/>
    </xf>
    <xf numFmtId="0" fontId="14" fillId="0" borderId="0" xfId="0" applyFont="1" applyAlignment="1" applyProtection="1">
      <alignment vertical="top" wrapText="1"/>
      <protection locked="0"/>
    </xf>
    <xf numFmtId="0" fontId="37" fillId="0" borderId="24" xfId="12" applyFont="1" applyBorder="1" applyAlignment="1">
      <alignment vertical="center"/>
    </xf>
    <xf numFmtId="0" fontId="16" fillId="0" borderId="22" xfId="23" quotePrefix="1" applyFont="1" applyBorder="1" applyAlignment="1">
      <alignment vertical="center"/>
    </xf>
    <xf numFmtId="0" fontId="14" fillId="0" borderId="0" xfId="23" applyFont="1" applyAlignment="1">
      <alignment horizontal="right" vertical="center"/>
    </xf>
    <xf numFmtId="1" fontId="14" fillId="0" borderId="2" xfId="23" applyNumberFormat="1" applyFont="1" applyBorder="1" applyAlignment="1">
      <alignment horizontal="center" vertical="center"/>
    </xf>
    <xf numFmtId="1" fontId="12" fillId="0" borderId="2" xfId="23" applyNumberFormat="1" applyBorder="1" applyAlignment="1">
      <alignment horizontal="center" vertical="center"/>
    </xf>
    <xf numFmtId="168" fontId="14" fillId="0" borderId="2" xfId="23" applyNumberFormat="1" applyFont="1" applyBorder="1" applyAlignment="1">
      <alignment horizontal="center" vertical="center"/>
    </xf>
    <xf numFmtId="0" fontId="16" fillId="11" borderId="2" xfId="23" applyFont="1" applyFill="1" applyBorder="1" applyAlignment="1">
      <alignment horizontal="left" vertical="center"/>
    </xf>
    <xf numFmtId="0" fontId="14" fillId="11" borderId="2" xfId="23" applyFont="1" applyFill="1" applyBorder="1" applyAlignment="1">
      <alignment vertical="center"/>
    </xf>
    <xf numFmtId="0" fontId="14" fillId="11" borderId="23" xfId="23" applyFont="1" applyFill="1" applyBorder="1" applyAlignment="1">
      <alignment vertical="center"/>
    </xf>
    <xf numFmtId="0" fontId="16" fillId="11" borderId="30" xfId="23" quotePrefix="1" applyFont="1" applyFill="1" applyBorder="1" applyAlignment="1">
      <alignment vertical="center"/>
    </xf>
    <xf numFmtId="0" fontId="16" fillId="11" borderId="28" xfId="23" applyFont="1" applyFill="1" applyBorder="1" applyAlignment="1">
      <alignment horizontal="left" vertical="center"/>
    </xf>
    <xf numFmtId="168" fontId="14" fillId="11" borderId="2" xfId="23" applyNumberFormat="1" applyFont="1" applyFill="1" applyBorder="1" applyAlignment="1">
      <alignment horizontal="center" vertical="center"/>
    </xf>
    <xf numFmtId="170" fontId="37" fillId="0" borderId="0" xfId="0" applyNumberFormat="1" applyFont="1" applyAlignment="1">
      <alignment vertical="center"/>
    </xf>
    <xf numFmtId="0" fontId="14" fillId="0" borderId="20" xfId="23" applyFont="1" applyBorder="1" applyAlignment="1">
      <alignment horizontal="right" vertical="center" wrapText="1"/>
    </xf>
    <xf numFmtId="0" fontId="14" fillId="0" borderId="20" xfId="23" applyFont="1" applyBorder="1" applyAlignment="1">
      <alignment horizontal="center" vertical="center" wrapText="1"/>
    </xf>
    <xf numFmtId="0" fontId="14" fillId="0" borderId="0" xfId="23" applyFont="1" applyAlignment="1">
      <alignment horizontal="left" vertical="center"/>
    </xf>
    <xf numFmtId="165" fontId="14" fillId="11" borderId="8" xfId="23" applyNumberFormat="1" applyFont="1" applyFill="1" applyBorder="1" applyAlignment="1">
      <alignment horizontal="center" vertical="center"/>
    </xf>
    <xf numFmtId="0" fontId="14" fillId="11" borderId="8" xfId="23" applyFont="1" applyFill="1" applyBorder="1" applyAlignment="1">
      <alignment horizontal="center" vertical="center"/>
    </xf>
    <xf numFmtId="1" fontId="14" fillId="11" borderId="8" xfId="23" applyNumberFormat="1" applyFont="1" applyFill="1" applyBorder="1" applyAlignment="1">
      <alignment horizontal="center" vertical="center"/>
    </xf>
    <xf numFmtId="1" fontId="14" fillId="2" borderId="8" xfId="23" applyNumberFormat="1" applyFont="1" applyFill="1" applyBorder="1" applyAlignment="1">
      <alignment horizontal="center" vertical="center"/>
    </xf>
    <xf numFmtId="165" fontId="16" fillId="11" borderId="8" xfId="23" applyNumberFormat="1" applyFont="1" applyFill="1" applyBorder="1" applyAlignment="1">
      <alignment horizontal="center" vertical="center"/>
    </xf>
    <xf numFmtId="0" fontId="65" fillId="0" borderId="22" xfId="0" applyFont="1" applyBorder="1" applyAlignment="1">
      <alignment horizontal="center" vertical="center"/>
    </xf>
    <xf numFmtId="0" fontId="113" fillId="11" borderId="8" xfId="0" applyFont="1" applyFill="1" applyBorder="1" applyAlignment="1">
      <alignment horizontal="center"/>
    </xf>
    <xf numFmtId="0" fontId="0" fillId="0" borderId="0" xfId="0" applyAlignment="1">
      <alignment horizontal="center"/>
    </xf>
    <xf numFmtId="0" fontId="36" fillId="0" borderId="0" xfId="58" applyFont="1" applyAlignment="1">
      <alignment horizontal="center" vertical="center"/>
    </xf>
    <xf numFmtId="0" fontId="46" fillId="0" borderId="0" xfId="58" applyAlignment="1">
      <alignment horizontal="center"/>
    </xf>
    <xf numFmtId="0" fontId="12" fillId="0" borderId="8" xfId="0" applyFont="1" applyBorder="1" applyAlignment="1">
      <alignment horizontal="center"/>
    </xf>
    <xf numFmtId="0" fontId="0" fillId="0" borderId="8" xfId="0" applyBorder="1" applyAlignment="1">
      <alignment horizontal="center"/>
    </xf>
    <xf numFmtId="0" fontId="12" fillId="0" borderId="8" xfId="0" quotePrefix="1" applyFont="1" applyBorder="1" applyAlignment="1">
      <alignment horizontal="center"/>
    </xf>
    <xf numFmtId="0" fontId="37" fillId="2" borderId="74" xfId="12" applyFont="1" applyFill="1" applyBorder="1" applyAlignment="1">
      <alignment horizontal="center" vertical="center"/>
    </xf>
    <xf numFmtId="0" fontId="37" fillId="0" borderId="26" xfId="12" applyFont="1" applyBorder="1" applyAlignment="1">
      <alignment horizontal="right" vertical="center"/>
    </xf>
    <xf numFmtId="165" fontId="37" fillId="5" borderId="39" xfId="12" applyNumberFormat="1" applyFont="1" applyFill="1" applyBorder="1" applyAlignment="1" applyProtection="1">
      <alignment horizontal="center" vertical="center"/>
      <protection locked="0"/>
    </xf>
    <xf numFmtId="0" fontId="14" fillId="7" borderId="8" xfId="23" applyFont="1" applyFill="1" applyBorder="1" applyAlignment="1" applyProtection="1">
      <alignment horizontal="center" vertical="center"/>
      <protection locked="0"/>
    </xf>
    <xf numFmtId="165" fontId="14" fillId="2" borderId="14" xfId="0" applyNumberFormat="1" applyFont="1" applyFill="1" applyBorder="1" applyAlignment="1">
      <alignment horizontal="center" vertical="center"/>
    </xf>
    <xf numFmtId="165" fontId="14" fillId="2" borderId="18" xfId="0" applyNumberFormat="1" applyFont="1" applyFill="1" applyBorder="1" applyAlignment="1">
      <alignment horizontal="center" vertical="center"/>
    </xf>
    <xf numFmtId="0" fontId="14" fillId="8" borderId="14" xfId="0" applyFont="1" applyFill="1" applyBorder="1" applyAlignment="1">
      <alignment horizontal="center" vertical="center"/>
    </xf>
    <xf numFmtId="0" fontId="14" fillId="0" borderId="37" xfId="0" applyFont="1" applyBorder="1" applyAlignment="1">
      <alignment horizontal="center" vertical="center"/>
    </xf>
    <xf numFmtId="0" fontId="14" fillId="8" borderId="18" xfId="0" applyFont="1" applyFill="1" applyBorder="1" applyAlignment="1">
      <alignment horizontal="center" vertical="center"/>
    </xf>
    <xf numFmtId="0" fontId="37" fillId="0" borderId="0" xfId="13" applyFont="1"/>
    <xf numFmtId="0" fontId="19" fillId="0" borderId="0" xfId="13" applyFont="1"/>
    <xf numFmtId="0" fontId="88" fillId="0" borderId="0" xfId="13" applyFont="1"/>
    <xf numFmtId="0" fontId="90" fillId="3" borderId="4" xfId="43" applyFont="1" applyFill="1" applyBorder="1" applyAlignment="1">
      <alignment horizontal="right" vertical="top" indent="1"/>
    </xf>
    <xf numFmtId="0" fontId="90" fillId="3" borderId="0" xfId="43" applyFont="1" applyFill="1" applyAlignment="1">
      <alignment horizontal="right" vertical="top" indent="1"/>
    </xf>
    <xf numFmtId="0" fontId="37" fillId="0" borderId="11" xfId="13" applyFont="1" applyBorder="1"/>
    <xf numFmtId="0" fontId="38" fillId="0" borderId="9" xfId="43" applyFont="1" applyBorder="1"/>
    <xf numFmtId="0" fontId="38" fillId="11" borderId="14" xfId="43" applyFont="1" applyFill="1" applyBorder="1"/>
    <xf numFmtId="0" fontId="38" fillId="11" borderId="19" xfId="43" applyFont="1" applyFill="1" applyBorder="1"/>
    <xf numFmtId="0" fontId="38" fillId="11" borderId="18" xfId="43" applyFont="1" applyFill="1" applyBorder="1"/>
    <xf numFmtId="0" fontId="90" fillId="3" borderId="0" xfId="43" applyFont="1" applyFill="1" applyAlignment="1">
      <alignment horizontal="right" vertical="top"/>
    </xf>
    <xf numFmtId="0" fontId="90" fillId="3" borderId="6" xfId="43" applyFont="1" applyFill="1" applyBorder="1" applyAlignment="1">
      <alignment horizontal="right" vertical="top"/>
    </xf>
    <xf numFmtId="0" fontId="37" fillId="3" borderId="0" xfId="43" applyFont="1" applyFill="1"/>
    <xf numFmtId="0" fontId="37" fillId="3" borderId="0" xfId="43" applyFont="1" applyFill="1" applyAlignment="1">
      <alignment horizontal="left"/>
    </xf>
    <xf numFmtId="0" fontId="37" fillId="0" borderId="7" xfId="13" applyFont="1" applyBorder="1"/>
    <xf numFmtId="0" fontId="37" fillId="0" borderId="9" xfId="43" applyFont="1" applyBorder="1"/>
    <xf numFmtId="0" fontId="37" fillId="3" borderId="0" xfId="43" applyFont="1" applyFill="1" applyAlignment="1">
      <alignment wrapText="1"/>
    </xf>
    <xf numFmtId="0" fontId="37" fillId="3" borderId="0" xfId="43" applyFont="1" applyFill="1" applyAlignment="1">
      <alignment vertical="center" wrapText="1"/>
    </xf>
    <xf numFmtId="0" fontId="12" fillId="0" borderId="0" xfId="23"/>
    <xf numFmtId="0" fontId="37" fillId="0" borderId="0" xfId="13" applyFont="1" applyAlignment="1">
      <alignment horizontal="left"/>
    </xf>
    <xf numFmtId="0" fontId="37" fillId="3" borderId="4" xfId="43" applyFont="1" applyFill="1" applyBorder="1" applyAlignment="1">
      <alignment horizontal="left" vertical="center"/>
    </xf>
    <xf numFmtId="0" fontId="37" fillId="3" borderId="0" xfId="43" applyFont="1" applyFill="1" applyAlignment="1">
      <alignment horizontal="left" vertical="center"/>
    </xf>
    <xf numFmtId="0" fontId="37" fillId="0" borderId="5" xfId="13" applyFont="1" applyBorder="1"/>
    <xf numFmtId="0" fontId="37" fillId="3" borderId="5" xfId="43" applyFont="1" applyFill="1" applyBorder="1" applyAlignment="1">
      <alignment horizontal="left" vertical="center"/>
    </xf>
    <xf numFmtId="0" fontId="37" fillId="3" borderId="3" xfId="43" applyFont="1" applyFill="1" applyBorder="1" applyAlignment="1">
      <alignment horizontal="right" vertical="center" indent="1"/>
    </xf>
    <xf numFmtId="0" fontId="37" fillId="3" borderId="7" xfId="43" applyFont="1" applyFill="1" applyBorder="1" applyAlignment="1">
      <alignment horizontal="left" vertical="center"/>
    </xf>
    <xf numFmtId="0" fontId="37" fillId="3" borderId="6" xfId="43" applyFont="1" applyFill="1" applyBorder="1" applyAlignment="1">
      <alignment horizontal="right" vertical="center" indent="1"/>
    </xf>
    <xf numFmtId="0" fontId="37" fillId="3" borderId="3" xfId="43" applyFont="1" applyFill="1" applyBorder="1" applyAlignment="1">
      <alignment horizontal="right" indent="1"/>
    </xf>
    <xf numFmtId="0" fontId="37" fillId="3" borderId="6" xfId="43" applyFont="1" applyFill="1" applyBorder="1" applyAlignment="1">
      <alignment horizontal="right" indent="1"/>
    </xf>
    <xf numFmtId="0" fontId="38" fillId="0" borderId="0" xfId="43" applyFont="1" applyAlignment="1">
      <alignment horizontal="left" vertical="center"/>
    </xf>
    <xf numFmtId="0" fontId="38" fillId="11" borderId="14" xfId="43" applyFont="1" applyFill="1" applyBorder="1" applyAlignment="1">
      <alignment horizontal="left" vertical="center"/>
    </xf>
    <xf numFmtId="0" fontId="38" fillId="11" borderId="19" xfId="43" applyFont="1" applyFill="1" applyBorder="1" applyAlignment="1">
      <alignment horizontal="left" vertical="center"/>
    </xf>
    <xf numFmtId="0" fontId="38" fillId="11" borderId="18" xfId="43" applyFont="1" applyFill="1" applyBorder="1" applyAlignment="1">
      <alignment horizontal="left" vertical="center"/>
    </xf>
    <xf numFmtId="0" fontId="12" fillId="7" borderId="2" xfId="43" applyFill="1" applyBorder="1" applyAlignment="1" applyProtection="1">
      <alignment horizontal="center"/>
      <protection locked="0"/>
    </xf>
    <xf numFmtId="165" fontId="14" fillId="0" borderId="0" xfId="23" applyNumberFormat="1" applyFont="1" applyAlignment="1">
      <alignment horizontal="center" vertical="center"/>
    </xf>
    <xf numFmtId="0" fontId="16" fillId="0" borderId="19" xfId="0" applyFont="1" applyBorder="1" applyAlignment="1">
      <alignment horizontal="left" vertical="center"/>
    </xf>
    <xf numFmtId="0" fontId="14" fillId="11" borderId="8" xfId="23" applyFont="1" applyFill="1" applyBorder="1" applyAlignment="1">
      <alignment vertical="center"/>
    </xf>
    <xf numFmtId="165" fontId="14" fillId="11" borderId="8" xfId="23" quotePrefix="1" applyNumberFormat="1" applyFont="1" applyFill="1" applyBorder="1" applyAlignment="1">
      <alignment horizontal="center" vertical="center"/>
    </xf>
    <xf numFmtId="1" fontId="14" fillId="11" borderId="8" xfId="23" applyNumberFormat="1" applyFont="1" applyFill="1" applyBorder="1" applyAlignment="1">
      <alignment vertical="center"/>
    </xf>
    <xf numFmtId="0" fontId="104" fillId="0" borderId="0" xfId="0" applyFont="1" applyAlignment="1">
      <alignment vertical="center" wrapText="1"/>
    </xf>
    <xf numFmtId="0" fontId="15" fillId="0" borderId="4" xfId="23" applyFont="1" applyBorder="1" applyAlignment="1">
      <alignment vertical="center"/>
    </xf>
    <xf numFmtId="165" fontId="16" fillId="11" borderId="8" xfId="23" applyNumberFormat="1" applyFont="1" applyFill="1" applyBorder="1" applyAlignment="1">
      <alignment horizontal="center" vertical="top"/>
    </xf>
    <xf numFmtId="1" fontId="14" fillId="0" borderId="0" xfId="23" applyNumberFormat="1" applyFont="1" applyAlignment="1">
      <alignment vertical="center"/>
    </xf>
    <xf numFmtId="0" fontId="16" fillId="2" borderId="32" xfId="0" applyFont="1" applyFill="1" applyBorder="1" applyAlignment="1">
      <alignment horizontal="center" vertical="center"/>
    </xf>
    <xf numFmtId="0" fontId="14" fillId="0" borderId="21" xfId="0" quotePrefix="1" applyFont="1" applyBorder="1" applyAlignment="1">
      <alignment horizontal="center" vertical="center"/>
    </xf>
    <xf numFmtId="0" fontId="16" fillId="2" borderId="19" xfId="0" applyFont="1" applyFill="1" applyBorder="1" applyAlignment="1">
      <alignment vertical="center"/>
    </xf>
    <xf numFmtId="0" fontId="115" fillId="0" borderId="0" xfId="10" applyFont="1"/>
    <xf numFmtId="0" fontId="116" fillId="0" borderId="0" xfId="10" applyFont="1" applyAlignment="1">
      <alignment horizontal="center" vertical="center"/>
    </xf>
    <xf numFmtId="0" fontId="115" fillId="0" borderId="0" xfId="10" applyFont="1" applyAlignment="1">
      <alignment horizontal="center" vertical="center"/>
    </xf>
    <xf numFmtId="168" fontId="116" fillId="0" borderId="0" xfId="10" applyNumberFormat="1" applyFont="1" applyAlignment="1">
      <alignment horizontal="center" vertical="center"/>
    </xf>
    <xf numFmtId="49" fontId="115" fillId="0" borderId="0" xfId="10" applyNumberFormat="1" applyFont="1" applyAlignment="1">
      <alignment vertical="center"/>
    </xf>
    <xf numFmtId="0" fontId="115" fillId="0" borderId="0" xfId="10" applyFont="1" applyAlignment="1">
      <alignment vertical="center"/>
    </xf>
    <xf numFmtId="0" fontId="115" fillId="0" borderId="0" xfId="10" applyFont="1" applyAlignment="1">
      <alignment vertical="top"/>
    </xf>
    <xf numFmtId="49" fontId="115" fillId="0" borderId="0" xfId="10" applyNumberFormat="1" applyFont="1" applyAlignment="1">
      <alignment horizontal="right" vertical="center"/>
    </xf>
    <xf numFmtId="168" fontId="115" fillId="0" borderId="0" xfId="10" applyNumberFormat="1" applyFont="1" applyAlignment="1">
      <alignment horizontal="left" vertical="center"/>
    </xf>
    <xf numFmtId="0" fontId="116" fillId="0" borderId="0" xfId="10" applyFont="1" applyAlignment="1">
      <alignment horizontal="center"/>
    </xf>
    <xf numFmtId="0" fontId="115" fillId="0" borderId="0" xfId="10" applyFont="1" applyAlignment="1">
      <alignment horizontal="left" vertical="center"/>
    </xf>
    <xf numFmtId="165" fontId="16" fillId="11" borderId="2" xfId="0" applyNumberFormat="1" applyFont="1" applyFill="1" applyBorder="1" applyAlignment="1">
      <alignment horizontal="center" vertical="center"/>
    </xf>
    <xf numFmtId="165" fontId="16" fillId="11" borderId="2" xfId="0" applyNumberFormat="1" applyFont="1" applyFill="1" applyBorder="1" applyAlignment="1">
      <alignment horizontal="center"/>
    </xf>
    <xf numFmtId="165" fontId="16" fillId="11" borderId="28" xfId="0" applyNumberFormat="1" applyFont="1" applyFill="1" applyBorder="1" applyAlignment="1">
      <alignment horizontal="center" vertical="center"/>
    </xf>
    <xf numFmtId="0" fontId="16" fillId="0" borderId="0" xfId="0" applyFont="1" applyAlignment="1">
      <alignment horizontal="center" vertical="center" wrapText="1"/>
    </xf>
    <xf numFmtId="0" fontId="14" fillId="0" borderId="3" xfId="0" applyFont="1" applyBorder="1" applyAlignment="1">
      <alignment horizontal="center" wrapText="1"/>
    </xf>
    <xf numFmtId="0" fontId="14" fillId="0" borderId="5" xfId="0" applyFont="1" applyBorder="1" applyAlignment="1">
      <alignment horizontal="center" wrapText="1"/>
    </xf>
    <xf numFmtId="0" fontId="14" fillId="0" borderId="3" xfId="0" applyFont="1" applyBorder="1" applyAlignment="1">
      <alignment horizontal="center"/>
    </xf>
    <xf numFmtId="0" fontId="14" fillId="0" borderId="5" xfId="0" applyFont="1" applyBorder="1" applyAlignment="1">
      <alignment horizontal="center"/>
    </xf>
    <xf numFmtId="0" fontId="118" fillId="0" borderId="0" xfId="62" applyFont="1" applyAlignment="1">
      <alignment horizontal="center" vertical="center" wrapText="1"/>
    </xf>
    <xf numFmtId="0" fontId="118" fillId="0" borderId="0" xfId="62" applyFont="1" applyAlignment="1">
      <alignment horizontal="center"/>
    </xf>
    <xf numFmtId="0" fontId="119" fillId="15" borderId="8" xfId="62" applyFont="1" applyFill="1" applyBorder="1" applyAlignment="1">
      <alignment horizontal="center" vertical="center" wrapText="1"/>
    </xf>
    <xf numFmtId="0" fontId="118" fillId="0" borderId="0" xfId="23" applyFont="1" applyAlignment="1">
      <alignment horizontal="center" vertical="center" wrapText="1"/>
    </xf>
    <xf numFmtId="0" fontId="119" fillId="0" borderId="8" xfId="62" applyFont="1" applyBorder="1" applyAlignment="1">
      <alignment horizontal="center" vertical="center" wrapText="1"/>
    </xf>
    <xf numFmtId="0" fontId="118" fillId="5" borderId="8" xfId="62" applyFont="1" applyFill="1" applyBorder="1" applyAlignment="1" applyProtection="1">
      <alignment horizontal="center" vertical="center" wrapText="1"/>
      <protection locked="0"/>
    </xf>
    <xf numFmtId="0" fontId="118" fillId="0" borderId="8" xfId="62" applyFont="1" applyBorder="1" applyAlignment="1">
      <alignment horizontal="center" vertical="center" wrapText="1"/>
    </xf>
    <xf numFmtId="0" fontId="119" fillId="0" borderId="8" xfId="62" applyFont="1" applyBorder="1" applyAlignment="1">
      <alignment horizontal="center" wrapText="1"/>
    </xf>
    <xf numFmtId="1" fontId="118" fillId="0" borderId="8" xfId="62" applyNumberFormat="1" applyFont="1" applyBorder="1" applyAlignment="1">
      <alignment horizontal="center" vertical="center" wrapText="1"/>
    </xf>
    <xf numFmtId="0" fontId="118" fillId="0" borderId="0" xfId="62" applyFont="1" applyAlignment="1">
      <alignment horizontal="center" wrapText="1"/>
    </xf>
    <xf numFmtId="0" fontId="118" fillId="0" borderId="0" xfId="23" applyFont="1" applyAlignment="1">
      <alignment horizontal="center"/>
    </xf>
    <xf numFmtId="0" fontId="118" fillId="5" borderId="8" xfId="62" applyFont="1" applyFill="1" applyBorder="1" applyAlignment="1" applyProtection="1">
      <alignment horizontal="center"/>
      <protection locked="0"/>
    </xf>
    <xf numFmtId="0" fontId="118" fillId="5" borderId="8" xfId="62" applyFont="1" applyFill="1" applyBorder="1" applyAlignment="1" applyProtection="1">
      <alignment horizontal="center" vertical="center"/>
      <protection locked="0"/>
    </xf>
    <xf numFmtId="0" fontId="118" fillId="0" borderId="10" xfId="62" applyFont="1" applyBorder="1" applyAlignment="1">
      <alignment horizontal="center"/>
    </xf>
    <xf numFmtId="0" fontId="118" fillId="0" borderId="9" xfId="62" applyFont="1" applyBorder="1" applyAlignment="1">
      <alignment horizontal="center"/>
    </xf>
    <xf numFmtId="0" fontId="118" fillId="0" borderId="11" xfId="62" applyFont="1" applyBorder="1" applyAlignment="1">
      <alignment horizontal="center"/>
    </xf>
    <xf numFmtId="0" fontId="119" fillId="0" borderId="6" xfId="62" applyFont="1" applyBorder="1" applyAlignment="1">
      <alignment horizontal="center"/>
    </xf>
    <xf numFmtId="0" fontId="119" fillId="0" borderId="0" xfId="62" applyFont="1" applyAlignment="1">
      <alignment horizontal="center"/>
    </xf>
    <xf numFmtId="0" fontId="118" fillId="0" borderId="7" xfId="62" applyFont="1" applyBorder="1" applyAlignment="1">
      <alignment horizontal="center"/>
    </xf>
    <xf numFmtId="0" fontId="118" fillId="0" borderId="6" xfId="62" applyFont="1" applyBorder="1" applyAlignment="1">
      <alignment horizontal="left"/>
    </xf>
    <xf numFmtId="0" fontId="118" fillId="0" borderId="3" xfId="62" applyFont="1" applyBorder="1" applyAlignment="1">
      <alignment horizontal="left" vertical="top"/>
    </xf>
    <xf numFmtId="0" fontId="118" fillId="0" borderId="4" xfId="62" applyFont="1" applyBorder="1" applyAlignment="1">
      <alignment horizontal="left"/>
    </xf>
    <xf numFmtId="0" fontId="118" fillId="0" borderId="4" xfId="62" applyFont="1" applyBorder="1" applyAlignment="1">
      <alignment horizontal="center"/>
    </xf>
    <xf numFmtId="0" fontId="118" fillId="0" borderId="5" xfId="62" applyFont="1" applyBorder="1" applyAlignment="1">
      <alignment horizontal="center"/>
    </xf>
    <xf numFmtId="0" fontId="74" fillId="0" borderId="4" xfId="62" applyFont="1" applyBorder="1" applyAlignment="1">
      <alignment horizontal="center" vertical="center" wrapText="1"/>
    </xf>
    <xf numFmtId="0" fontId="0" fillId="0" borderId="2" xfId="0" applyBorder="1"/>
    <xf numFmtId="0" fontId="46" fillId="0" borderId="2" xfId="62" applyBorder="1" applyAlignment="1">
      <alignment horizontal="center" vertical="center" wrapText="1"/>
    </xf>
    <xf numFmtId="0" fontId="36" fillId="0" borderId="2" xfId="62" applyFont="1" applyBorder="1" applyAlignment="1">
      <alignment horizontal="center" vertical="center" wrapText="1"/>
    </xf>
    <xf numFmtId="0" fontId="46" fillId="0" borderId="2" xfId="62" applyBorder="1"/>
    <xf numFmtId="0" fontId="75" fillId="2" borderId="32" xfId="0" applyFont="1" applyFill="1" applyBorder="1"/>
    <xf numFmtId="0" fontId="75" fillId="2" borderId="33" xfId="0" applyFont="1" applyFill="1" applyBorder="1"/>
    <xf numFmtId="49" fontId="25" fillId="0" borderId="35" xfId="0" applyNumberFormat="1" applyFont="1" applyBorder="1" applyAlignment="1">
      <alignment horizontal="center" vertical="center" wrapText="1"/>
    </xf>
    <xf numFmtId="0" fontId="14" fillId="0" borderId="22" xfId="0" quotePrefix="1" applyFont="1" applyBorder="1" applyAlignment="1">
      <alignment horizontal="center"/>
    </xf>
    <xf numFmtId="0" fontId="14" fillId="0" borderId="22" xfId="0" quotePrefix="1" applyFont="1" applyBorder="1"/>
    <xf numFmtId="0" fontId="14" fillId="0" borderId="1" xfId="0" applyFont="1" applyBorder="1" applyAlignment="1">
      <alignment horizontal="left" wrapText="1"/>
    </xf>
    <xf numFmtId="0" fontId="14" fillId="0" borderId="37" xfId="0" applyFont="1" applyBorder="1"/>
    <xf numFmtId="165" fontId="16" fillId="0" borderId="38" xfId="0" applyNumberFormat="1" applyFont="1" applyBorder="1" applyAlignment="1">
      <alignment horizontal="center" vertical="center"/>
    </xf>
    <xf numFmtId="0" fontId="16" fillId="0" borderId="1" xfId="0" applyFont="1" applyBorder="1" applyAlignment="1">
      <alignment horizontal="center" vertical="center" wrapText="1"/>
    </xf>
    <xf numFmtId="0" fontId="20" fillId="0" borderId="1" xfId="0" applyFont="1" applyBorder="1" applyAlignment="1">
      <alignment horizontal="center" vertical="center"/>
    </xf>
    <xf numFmtId="0" fontId="14" fillId="0" borderId="35" xfId="0" quotePrefix="1" applyFont="1" applyBorder="1" applyAlignment="1">
      <alignment horizontal="center"/>
    </xf>
    <xf numFmtId="0" fontId="14" fillId="0" borderId="36" xfId="0" applyFont="1" applyBorder="1"/>
    <xf numFmtId="0" fontId="14" fillId="0" borderId="22" xfId="0" quotePrefix="1" applyFont="1" applyBorder="1" applyAlignment="1">
      <alignment horizontal="left"/>
    </xf>
    <xf numFmtId="0" fontId="14" fillId="0" borderId="22" xfId="0" applyFont="1" applyBorder="1" applyAlignment="1">
      <alignment horizontal="right"/>
    </xf>
    <xf numFmtId="0" fontId="14" fillId="0" borderId="22" xfId="0" applyFont="1" applyBorder="1" applyAlignment="1">
      <alignment horizontal="left"/>
    </xf>
    <xf numFmtId="0" fontId="14" fillId="0" borderId="38" xfId="0" applyFont="1" applyBorder="1"/>
    <xf numFmtId="0" fontId="20" fillId="0" borderId="22" xfId="0" applyFont="1" applyBorder="1" applyAlignment="1">
      <alignment horizontal="center"/>
    </xf>
    <xf numFmtId="0" fontId="20" fillId="0" borderId="1" xfId="0" applyFont="1" applyBorder="1" applyAlignment="1">
      <alignment horizontal="center"/>
    </xf>
    <xf numFmtId="0" fontId="16" fillId="0" borderId="22" xfId="0" applyFont="1" applyBorder="1" applyAlignment="1">
      <alignment horizontal="center" vertical="center" wrapText="1"/>
    </xf>
    <xf numFmtId="0" fontId="16" fillId="0" borderId="1" xfId="0" applyFont="1" applyBorder="1" applyAlignment="1">
      <alignment horizontal="center"/>
    </xf>
    <xf numFmtId="0" fontId="16"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14" fillId="0" borderId="35" xfId="0" quotePrefix="1" applyFont="1" applyBorder="1" applyAlignment="1">
      <alignment vertical="center"/>
    </xf>
    <xf numFmtId="0" fontId="14" fillId="0" borderId="22" xfId="0" quotePrefix="1" applyFont="1" applyBorder="1" applyAlignment="1">
      <alignment vertical="center"/>
    </xf>
    <xf numFmtId="0" fontId="14" fillId="0" borderId="35" xfId="0" applyFont="1" applyBorder="1" applyAlignment="1">
      <alignment vertical="center"/>
    </xf>
    <xf numFmtId="0" fontId="14" fillId="0" borderId="36" xfId="0" applyFont="1" applyBorder="1" applyAlignment="1">
      <alignment vertical="center"/>
    </xf>
    <xf numFmtId="0" fontId="14" fillId="0" borderId="35" xfId="0" applyFont="1" applyBorder="1"/>
    <xf numFmtId="0" fontId="14" fillId="0" borderId="35" xfId="0" quotePrefix="1" applyFont="1" applyBorder="1"/>
    <xf numFmtId="2" fontId="16" fillId="0" borderId="1" xfId="0" applyNumberFormat="1" applyFont="1" applyBorder="1" applyAlignment="1">
      <alignment horizontal="center" vertical="center"/>
    </xf>
    <xf numFmtId="0" fontId="14" fillId="0" borderId="26" xfId="0" applyFont="1" applyBorder="1"/>
    <xf numFmtId="0" fontId="14" fillId="11" borderId="28" xfId="23" applyFont="1" applyFill="1" applyBorder="1" applyAlignment="1">
      <alignment vertical="center"/>
    </xf>
    <xf numFmtId="168" fontId="14" fillId="11" borderId="28" xfId="23" applyNumberFormat="1" applyFont="1" applyFill="1" applyBorder="1" applyAlignment="1">
      <alignment horizontal="center" vertical="center"/>
    </xf>
    <xf numFmtId="0" fontId="14" fillId="11" borderId="29" xfId="23" applyFont="1" applyFill="1" applyBorder="1" applyAlignment="1">
      <alignment vertical="center"/>
    </xf>
    <xf numFmtId="49" fontId="16" fillId="0" borderId="22" xfId="10" applyNumberFormat="1" applyFont="1" applyBorder="1"/>
    <xf numFmtId="0" fontId="14" fillId="0" borderId="1" xfId="10" applyFont="1" applyBorder="1" applyAlignment="1">
      <alignment horizontal="left"/>
    </xf>
    <xf numFmtId="0" fontId="14" fillId="0" borderId="7" xfId="23" applyFont="1" applyBorder="1" applyAlignment="1">
      <alignment vertical="center"/>
    </xf>
    <xf numFmtId="0" fontId="121" fillId="0" borderId="0" xfId="10" applyFont="1" applyAlignment="1">
      <alignment horizontal="left" vertical="center"/>
    </xf>
    <xf numFmtId="0" fontId="14" fillId="7" borderId="8" xfId="43" applyFont="1" applyFill="1" applyBorder="1" applyAlignment="1" applyProtection="1">
      <alignment horizontal="center" vertical="center"/>
      <protection locked="0"/>
    </xf>
    <xf numFmtId="0" fontId="14" fillId="11" borderId="19" xfId="43" applyFont="1" applyFill="1" applyBorder="1" applyAlignment="1">
      <alignment vertical="center"/>
    </xf>
    <xf numFmtId="0" fontId="14" fillId="11" borderId="8" xfId="0" applyFont="1" applyFill="1" applyBorder="1" applyAlignment="1">
      <alignment horizontal="center" vertical="center"/>
    </xf>
    <xf numFmtId="0" fontId="16" fillId="11" borderId="19" xfId="0" applyFont="1" applyFill="1" applyBorder="1" applyAlignment="1">
      <alignment horizontal="left" vertical="center"/>
    </xf>
    <xf numFmtId="0" fontId="16" fillId="11" borderId="19" xfId="0" applyFont="1" applyFill="1" applyBorder="1" applyAlignment="1">
      <alignment vertical="center"/>
    </xf>
    <xf numFmtId="0" fontId="14" fillId="2" borderId="28" xfId="23" applyFont="1" applyFill="1" applyBorder="1" applyAlignment="1">
      <alignment horizontal="right" vertical="center" wrapText="1"/>
    </xf>
    <xf numFmtId="168" fontId="14" fillId="11" borderId="8" xfId="10" applyNumberFormat="1" applyFont="1" applyFill="1" applyBorder="1" applyAlignment="1">
      <alignment horizontal="center" vertical="center"/>
    </xf>
    <xf numFmtId="0" fontId="14" fillId="0" borderId="6" xfId="10" applyFont="1" applyBorder="1" applyAlignment="1">
      <alignment horizontal="left" vertical="center"/>
    </xf>
    <xf numFmtId="0" fontId="14" fillId="0" borderId="7" xfId="10" applyFont="1" applyBorder="1" applyAlignment="1">
      <alignment horizontal="left" vertical="center"/>
    </xf>
    <xf numFmtId="0" fontId="14" fillId="2" borderId="28" xfId="0" applyFont="1" applyFill="1" applyBorder="1" applyAlignment="1">
      <alignment horizontal="left" vertical="center"/>
    </xf>
    <xf numFmtId="0" fontId="14" fillId="2" borderId="28" xfId="10" applyFont="1" applyFill="1" applyBorder="1" applyAlignment="1">
      <alignment horizontal="right" vertical="center"/>
    </xf>
    <xf numFmtId="0" fontId="14" fillId="2" borderId="29" xfId="10" applyFont="1" applyFill="1" applyBorder="1" applyAlignment="1">
      <alignment horizontal="right" vertical="center"/>
    </xf>
    <xf numFmtId="0" fontId="14" fillId="0" borderId="6" xfId="10" applyFont="1" applyBorder="1" applyAlignment="1">
      <alignment horizontal="center" vertical="center"/>
    </xf>
    <xf numFmtId="0" fontId="14" fillId="0" borderId="1" xfId="10" applyFont="1" applyBorder="1" applyAlignment="1">
      <alignment vertical="center" wrapText="1"/>
    </xf>
    <xf numFmtId="0" fontId="14" fillId="0" borderId="1" xfId="10" applyFont="1" applyBorder="1"/>
    <xf numFmtId="0" fontId="15" fillId="0" borderId="0" xfId="23" applyFont="1" applyAlignment="1">
      <alignment vertical="center" wrapText="1"/>
    </xf>
    <xf numFmtId="0" fontId="15" fillId="0" borderId="1" xfId="23" applyFont="1" applyBorder="1" applyAlignment="1">
      <alignment vertical="center" wrapText="1"/>
    </xf>
    <xf numFmtId="0" fontId="14" fillId="0" borderId="1" xfId="0" applyFont="1" applyBorder="1" applyAlignment="1" applyProtection="1">
      <alignment vertical="top" wrapText="1"/>
      <protection locked="0"/>
    </xf>
    <xf numFmtId="0" fontId="16" fillId="0" borderId="20" xfId="23" applyFont="1" applyBorder="1"/>
    <xf numFmtId="0" fontId="12" fillId="0" borderId="1" xfId="23" applyBorder="1"/>
    <xf numFmtId="0" fontId="16" fillId="0" borderId="29" xfId="23" applyFont="1" applyBorder="1"/>
    <xf numFmtId="0" fontId="14" fillId="0" borderId="2" xfId="23" applyFont="1" applyBorder="1" applyAlignment="1">
      <alignment horizontal="left" vertical="center"/>
    </xf>
    <xf numFmtId="0" fontId="16" fillId="11" borderId="21" xfId="23" quotePrefix="1" applyFont="1" applyFill="1" applyBorder="1" applyAlignment="1">
      <alignment vertical="center"/>
    </xf>
    <xf numFmtId="2" fontId="14" fillId="11" borderId="8" xfId="23" applyNumberFormat="1" applyFont="1" applyFill="1" applyBorder="1" applyAlignment="1">
      <alignment horizontal="center" vertical="center"/>
    </xf>
    <xf numFmtId="165" fontId="97" fillId="0" borderId="0" xfId="10" applyNumberFormat="1" applyFont="1" applyProtection="1">
      <protection hidden="1"/>
    </xf>
    <xf numFmtId="0" fontId="97" fillId="0" borderId="0" xfId="0" applyFont="1" applyAlignment="1">
      <alignment vertical="center"/>
    </xf>
    <xf numFmtId="0" fontId="97" fillId="0" borderId="0" xfId="0" applyFont="1" applyAlignment="1">
      <alignment horizontal="left" vertical="center"/>
    </xf>
    <xf numFmtId="0" fontId="14" fillId="0" borderId="24" xfId="0" applyFont="1" applyBorder="1"/>
    <xf numFmtId="49" fontId="25" fillId="0" borderId="20" xfId="0" applyNumberFormat="1" applyFont="1" applyBorder="1" applyAlignment="1">
      <alignment horizontal="center" vertical="center" wrapText="1"/>
    </xf>
    <xf numFmtId="49" fontId="25" fillId="0" borderId="20" xfId="0" applyNumberFormat="1" applyFont="1" applyBorder="1" applyAlignment="1">
      <alignment horizontal="left" vertical="center" wrapText="1"/>
    </xf>
    <xf numFmtId="49" fontId="25" fillId="0" borderId="25" xfId="0" applyNumberFormat="1" applyFont="1" applyBorder="1" applyAlignment="1">
      <alignment horizontal="left" vertical="center" wrapText="1"/>
    </xf>
    <xf numFmtId="0" fontId="75" fillId="3" borderId="35" xfId="0" applyFont="1" applyFill="1" applyBorder="1"/>
    <xf numFmtId="0" fontId="75" fillId="3" borderId="36" xfId="0" applyFont="1" applyFill="1" applyBorder="1"/>
    <xf numFmtId="0" fontId="14" fillId="0" borderId="22" xfId="0" quotePrefix="1" applyFont="1" applyBorder="1" applyAlignment="1">
      <alignment horizontal="center" vertical="top"/>
    </xf>
    <xf numFmtId="0" fontId="16" fillId="0" borderId="1" xfId="0" applyFont="1" applyBorder="1" applyAlignment="1">
      <alignment horizontal="center" wrapText="1"/>
    </xf>
    <xf numFmtId="164" fontId="14" fillId="0" borderId="1" xfId="0" applyNumberFormat="1" applyFont="1" applyBorder="1" applyAlignment="1">
      <alignment horizontal="center"/>
    </xf>
    <xf numFmtId="0" fontId="97" fillId="0" borderId="22" xfId="0" applyFont="1" applyBorder="1" applyAlignment="1">
      <alignment horizontal="left" vertical="center"/>
    </xf>
    <xf numFmtId="0" fontId="122" fillId="2" borderId="19" xfId="0" applyFont="1" applyFill="1" applyBorder="1" applyAlignment="1">
      <alignment horizontal="left" vertical="center"/>
    </xf>
    <xf numFmtId="0" fontId="16" fillId="11" borderId="19" xfId="0" quotePrefix="1" applyFont="1" applyFill="1" applyBorder="1" applyAlignment="1">
      <alignment vertical="center"/>
    </xf>
    <xf numFmtId="0" fontId="14" fillId="11" borderId="19" xfId="23" applyFont="1" applyFill="1" applyBorder="1" applyAlignment="1">
      <alignment vertical="center"/>
    </xf>
    <xf numFmtId="0" fontId="14" fillId="11" borderId="39" xfId="0" applyFont="1" applyFill="1" applyBorder="1" applyAlignment="1">
      <alignment horizontal="left" vertical="center"/>
    </xf>
    <xf numFmtId="0" fontId="16" fillId="11" borderId="26" xfId="0" quotePrefix="1" applyFont="1" applyFill="1" applyBorder="1" applyAlignment="1">
      <alignment vertical="center"/>
    </xf>
    <xf numFmtId="0" fontId="16" fillId="0" borderId="22" xfId="0" quotePrefix="1" applyFont="1" applyBorder="1" applyAlignment="1">
      <alignment vertical="center"/>
    </xf>
    <xf numFmtId="0" fontId="37" fillId="5" borderId="12" xfId="12" applyFont="1" applyFill="1" applyBorder="1" applyAlignment="1" applyProtection="1">
      <alignment horizontal="center" vertical="center" wrapText="1"/>
      <protection locked="0"/>
    </xf>
    <xf numFmtId="49" fontId="37" fillId="5" borderId="8" xfId="12" applyNumberFormat="1" applyFont="1" applyFill="1" applyBorder="1" applyAlignment="1" applyProtection="1">
      <alignment horizontal="right" vertical="center" wrapText="1"/>
      <protection locked="0"/>
    </xf>
    <xf numFmtId="49" fontId="37" fillId="5" borderId="8" xfId="12" applyNumberFormat="1" applyFont="1" applyFill="1" applyBorder="1" applyAlignment="1" applyProtection="1">
      <alignment horizontal="left" vertical="center" wrapText="1"/>
      <protection locked="0"/>
    </xf>
    <xf numFmtId="49" fontId="37" fillId="5" borderId="12" xfId="12" applyNumberFormat="1" applyFont="1" applyFill="1" applyBorder="1" applyAlignment="1" applyProtection="1">
      <alignment horizontal="right" vertical="center" wrapText="1"/>
      <protection locked="0"/>
    </xf>
    <xf numFmtId="49" fontId="37" fillId="5" borderId="12" xfId="12" applyNumberFormat="1" applyFont="1" applyFill="1" applyBorder="1" applyAlignment="1" applyProtection="1">
      <alignment horizontal="left" vertical="center" wrapText="1"/>
      <protection locked="0"/>
    </xf>
    <xf numFmtId="49" fontId="37" fillId="5" borderId="45" xfId="12" applyNumberFormat="1" applyFont="1" applyFill="1" applyBorder="1" applyAlignment="1" applyProtection="1">
      <alignment horizontal="right" vertical="center" wrapText="1"/>
      <protection locked="0"/>
    </xf>
    <xf numFmtId="49" fontId="37" fillId="5" borderId="45" xfId="12" applyNumberFormat="1" applyFont="1" applyFill="1" applyBorder="1" applyAlignment="1" applyProtection="1">
      <alignment horizontal="left" vertical="center" wrapText="1"/>
      <protection locked="0"/>
    </xf>
    <xf numFmtId="0" fontId="12" fillId="0" borderId="22" xfId="43" applyBorder="1" applyAlignment="1">
      <alignment horizontal="left" vertical="center"/>
    </xf>
    <xf numFmtId="0" fontId="28" fillId="0" borderId="0" xfId="43" applyFont="1" applyAlignment="1">
      <alignment horizontal="left"/>
    </xf>
    <xf numFmtId="0" fontId="12" fillId="0" borderId="1" xfId="43" applyBorder="1" applyAlignment="1">
      <alignment horizontal="left" vertical="center"/>
    </xf>
    <xf numFmtId="1" fontId="14" fillId="5" borderId="4" xfId="0" applyNumberFormat="1" applyFont="1" applyFill="1" applyBorder="1" applyAlignment="1" applyProtection="1">
      <alignment vertical="center"/>
      <protection locked="0"/>
    </xf>
    <xf numFmtId="0" fontId="117" fillId="0" borderId="0" xfId="43" applyFont="1" applyAlignment="1">
      <alignment vertical="center"/>
    </xf>
    <xf numFmtId="0" fontId="97" fillId="0" borderId="0" xfId="10" applyFont="1"/>
    <xf numFmtId="0" fontId="117" fillId="0" borderId="0" xfId="10" applyFont="1"/>
    <xf numFmtId="0" fontId="122" fillId="0" borderId="0" xfId="10" applyFont="1" applyAlignment="1">
      <alignment horizontal="center" vertical="center"/>
    </xf>
    <xf numFmtId="0" fontId="97" fillId="0" borderId="0" xfId="10" applyFont="1" applyAlignment="1">
      <alignment horizontal="center" vertical="center"/>
    </xf>
    <xf numFmtId="0" fontId="122" fillId="0" borderId="0" xfId="10" applyFont="1"/>
    <xf numFmtId="168" fontId="122" fillId="0" borderId="0" xfId="10" applyNumberFormat="1" applyFont="1" applyAlignment="1">
      <alignment horizontal="center" vertical="center"/>
    </xf>
    <xf numFmtId="0" fontId="122" fillId="0" borderId="0" xfId="10" applyFont="1" applyAlignment="1">
      <alignment horizontal="left" vertical="center"/>
    </xf>
    <xf numFmtId="1" fontId="122" fillId="0" borderId="0" xfId="10" applyNumberFormat="1" applyFont="1" applyAlignment="1">
      <alignment horizontal="center" vertical="center"/>
    </xf>
    <xf numFmtId="165" fontId="97" fillId="0" borderId="0" xfId="10" applyNumberFormat="1" applyFont="1"/>
    <xf numFmtId="0" fontId="75" fillId="3" borderId="22" xfId="0" applyFont="1" applyFill="1" applyBorder="1"/>
    <xf numFmtId="0" fontId="75" fillId="3" borderId="1" xfId="0" applyFont="1" applyFill="1" applyBorder="1"/>
    <xf numFmtId="49" fontId="14" fillId="0" borderId="22" xfId="0" quotePrefix="1" applyNumberFormat="1" applyFont="1" applyBorder="1" applyAlignment="1">
      <alignment horizontal="center" vertical="center"/>
    </xf>
    <xf numFmtId="0" fontId="46" fillId="0" borderId="1" xfId="0" applyFont="1" applyBorder="1" applyAlignment="1">
      <alignment horizontal="center" wrapText="1"/>
    </xf>
    <xf numFmtId="0" fontId="14" fillId="0" borderId="1" xfId="0" applyFont="1" applyBorder="1" applyAlignment="1">
      <alignment vertical="center" wrapText="1"/>
    </xf>
    <xf numFmtId="0" fontId="14" fillId="0" borderId="10" xfId="0" applyFont="1" applyBorder="1"/>
    <xf numFmtId="0" fontId="14" fillId="0" borderId="11" xfId="0" applyFont="1" applyBorder="1"/>
    <xf numFmtId="2" fontId="39" fillId="0" borderId="0" xfId="0" applyNumberFormat="1" applyFont="1" applyAlignment="1">
      <alignment horizontal="center"/>
    </xf>
    <xf numFmtId="0" fontId="14" fillId="0" borderId="7" xfId="0" applyFont="1" applyBorder="1"/>
    <xf numFmtId="2" fontId="39" fillId="0" borderId="0" xfId="0" applyNumberFormat="1" applyFont="1" applyAlignment="1">
      <alignment horizontal="center" vertical="center"/>
    </xf>
    <xf numFmtId="0" fontId="14" fillId="0" borderId="3" xfId="0" applyFont="1" applyBorder="1"/>
    <xf numFmtId="0" fontId="14" fillId="0" borderId="5" xfId="0" applyFont="1" applyBorder="1"/>
    <xf numFmtId="0" fontId="97" fillId="0" borderId="0" xfId="0" applyFont="1" applyAlignment="1">
      <alignment vertical="center" wrapText="1"/>
    </xf>
    <xf numFmtId="0" fontId="97" fillId="0" borderId="10" xfId="0" applyFont="1" applyBorder="1"/>
    <xf numFmtId="0" fontId="97" fillId="0" borderId="11" xfId="0" applyFont="1" applyBorder="1"/>
    <xf numFmtId="0" fontId="97" fillId="0" borderId="6" xfId="0" applyFont="1" applyBorder="1" applyAlignment="1">
      <alignment vertical="center"/>
    </xf>
    <xf numFmtId="0" fontId="97" fillId="0" borderId="7" xfId="0" applyFont="1" applyBorder="1" applyAlignment="1">
      <alignment vertical="center"/>
    </xf>
    <xf numFmtId="0" fontId="97" fillId="0" borderId="3" xfId="0" applyFont="1" applyBorder="1"/>
    <xf numFmtId="0" fontId="97" fillId="0" borderId="5" xfId="0" applyFont="1" applyBorder="1"/>
    <xf numFmtId="0" fontId="97" fillId="0" borderId="15" xfId="0" applyFont="1" applyBorder="1"/>
    <xf numFmtId="0" fontId="97" fillId="0" borderId="42" xfId="0" applyFont="1" applyBorder="1"/>
    <xf numFmtId="0" fontId="97" fillId="0" borderId="12" xfId="0" applyFont="1" applyBorder="1" applyAlignment="1" applyProtection="1">
      <alignment vertical="center"/>
      <protection hidden="1"/>
    </xf>
    <xf numFmtId="0" fontId="97" fillId="0" borderId="15" xfId="0" applyFont="1" applyBorder="1" applyAlignment="1">
      <alignment vertical="center" wrapText="1"/>
    </xf>
    <xf numFmtId="0" fontId="97" fillId="0" borderId="42" xfId="0" applyFont="1" applyBorder="1" applyAlignment="1">
      <alignment vertical="center" wrapText="1"/>
    </xf>
    <xf numFmtId="0" fontId="97" fillId="0" borderId="12" xfId="0" applyFont="1" applyBorder="1" applyAlignment="1" applyProtection="1">
      <alignment vertical="center" wrapText="1"/>
      <protection hidden="1"/>
    </xf>
    <xf numFmtId="0" fontId="97" fillId="0" borderId="9" xfId="0" applyFont="1" applyBorder="1"/>
    <xf numFmtId="0" fontId="97" fillId="0" borderId="6" xfId="0" applyFont="1" applyBorder="1"/>
    <xf numFmtId="165" fontId="97" fillId="0" borderId="7" xfId="0" applyNumberFormat="1" applyFont="1" applyBorder="1"/>
    <xf numFmtId="0" fontId="97" fillId="0" borderId="7" xfId="0" applyFont="1" applyBorder="1"/>
    <xf numFmtId="0" fontId="97" fillId="0" borderId="4" xfId="0" applyFont="1" applyBorder="1"/>
    <xf numFmtId="0" fontId="16" fillId="10" borderId="0" xfId="59" applyFont="1" applyFill="1" applyAlignment="1">
      <alignment wrapText="1"/>
    </xf>
    <xf numFmtId="1" fontId="14" fillId="10" borderId="0" xfId="59" applyNumberFormat="1" applyFont="1" applyFill="1" applyAlignment="1">
      <alignment horizontal="right"/>
    </xf>
    <xf numFmtId="0" fontId="14" fillId="0" borderId="0" xfId="23" applyFont="1" applyAlignment="1">
      <alignment horizontal="right"/>
    </xf>
    <xf numFmtId="0" fontId="14" fillId="10" borderId="0" xfId="23" applyFont="1" applyFill="1"/>
    <xf numFmtId="0" fontId="14" fillId="10" borderId="0" xfId="23" applyFont="1" applyFill="1" applyAlignment="1">
      <alignment horizontal="right"/>
    </xf>
    <xf numFmtId="1" fontId="14" fillId="10" borderId="0" xfId="59" applyNumberFormat="1" applyFont="1" applyFill="1"/>
    <xf numFmtId="1" fontId="16" fillId="0" borderId="0" xfId="23" applyNumberFormat="1" applyFont="1"/>
    <xf numFmtId="1" fontId="16" fillId="10" borderId="0" xfId="23" applyNumberFormat="1" applyFont="1" applyFill="1"/>
    <xf numFmtId="49" fontId="14" fillId="10" borderId="0" xfId="59" applyNumberFormat="1" applyFont="1" applyFill="1" applyAlignment="1">
      <alignment vertical="top"/>
    </xf>
    <xf numFmtId="1" fontId="14" fillId="7" borderId="8" xfId="59" applyNumberFormat="1" applyFont="1" applyFill="1" applyBorder="1" applyAlignment="1" applyProtection="1">
      <alignment horizontal="center"/>
      <protection locked="0"/>
    </xf>
    <xf numFmtId="49" fontId="16" fillId="10" borderId="24" xfId="59" applyNumberFormat="1" applyFont="1" applyFill="1" applyBorder="1" applyAlignment="1">
      <alignment horizontal="right"/>
    </xf>
    <xf numFmtId="49" fontId="16" fillId="10" borderId="20" xfId="59" applyNumberFormat="1" applyFont="1" applyFill="1" applyBorder="1" applyAlignment="1">
      <alignment horizontal="right"/>
    </xf>
    <xf numFmtId="0" fontId="14" fillId="10" borderId="20" xfId="59" applyFont="1" applyFill="1" applyBorder="1"/>
    <xf numFmtId="0" fontId="14" fillId="10" borderId="25" xfId="59" applyFont="1" applyFill="1" applyBorder="1"/>
    <xf numFmtId="2" fontId="14" fillId="7" borderId="8" xfId="43" applyNumberFormat="1" applyFont="1" applyFill="1" applyBorder="1" applyAlignment="1" applyProtection="1">
      <alignment horizontal="center" vertical="center"/>
      <protection locked="0"/>
    </xf>
    <xf numFmtId="0" fontId="12" fillId="2" borderId="33" xfId="23" applyFill="1" applyBorder="1" applyAlignment="1">
      <alignment horizontal="left" vertical="center" wrapText="1"/>
    </xf>
    <xf numFmtId="0" fontId="37" fillId="11" borderId="9" xfId="43" applyFont="1" applyFill="1" applyBorder="1"/>
    <xf numFmtId="0" fontId="37" fillId="0" borderId="4" xfId="13" applyFont="1" applyBorder="1"/>
    <xf numFmtId="0" fontId="133" fillId="5" borderId="12" xfId="12" applyFont="1" applyFill="1" applyBorder="1" applyAlignment="1" applyProtection="1">
      <alignment horizontal="center" vertical="center" wrapText="1" shrinkToFit="1"/>
      <protection locked="0"/>
    </xf>
    <xf numFmtId="0" fontId="133" fillId="5" borderId="12" xfId="12" applyFont="1" applyFill="1" applyBorder="1" applyAlignment="1" applyProtection="1">
      <alignment horizontal="center" vertical="center" wrapText="1"/>
      <protection locked="0"/>
    </xf>
    <xf numFmtId="0" fontId="19" fillId="0" borderId="9" xfId="12" applyFont="1" applyBorder="1"/>
    <xf numFmtId="0" fontId="19" fillId="0" borderId="11" xfId="12" applyFont="1" applyBorder="1"/>
    <xf numFmtId="0" fontId="19" fillId="0" borderId="7" xfId="12" applyFont="1" applyBorder="1"/>
    <xf numFmtId="0" fontId="19" fillId="0" borderId="4" xfId="12" applyFont="1" applyBorder="1"/>
    <xf numFmtId="0" fontId="19" fillId="0" borderId="5" xfId="12" applyFont="1" applyBorder="1"/>
    <xf numFmtId="1" fontId="14" fillId="10" borderId="4" xfId="23" applyNumberFormat="1" applyFont="1" applyFill="1" applyBorder="1" applyAlignment="1">
      <alignment horizontal="center" vertical="center"/>
    </xf>
    <xf numFmtId="0" fontId="14" fillId="0" borderId="2" xfId="23" applyFont="1" applyBorder="1" applyAlignment="1">
      <alignment vertical="center" wrapText="1"/>
    </xf>
    <xf numFmtId="0" fontId="16" fillId="0" borderId="0" xfId="43" applyFont="1" applyAlignment="1">
      <alignment horizontal="right" vertical="center"/>
    </xf>
    <xf numFmtId="0" fontId="12" fillId="0" borderId="0" xfId="43" applyAlignment="1">
      <alignment horizontal="right" vertical="center"/>
    </xf>
    <xf numFmtId="165" fontId="14" fillId="5" borderId="79" xfId="43" applyNumberFormat="1" applyFont="1" applyFill="1" applyBorder="1" applyAlignment="1" applyProtection="1">
      <alignment horizontal="center" vertical="center"/>
      <protection locked="0"/>
    </xf>
    <xf numFmtId="2" fontId="14" fillId="0" borderId="24" xfId="43" applyNumberFormat="1" applyFont="1" applyBorder="1" applyAlignment="1">
      <alignment horizontal="right" vertical="center"/>
    </xf>
    <xf numFmtId="2" fontId="14" fillId="0" borderId="20" xfId="43" applyNumberFormat="1" applyFont="1" applyBorder="1" applyAlignment="1">
      <alignment horizontal="right" vertical="center"/>
    </xf>
    <xf numFmtId="165" fontId="14" fillId="10" borderId="20" xfId="43" applyNumberFormat="1" applyFont="1" applyFill="1" applyBorder="1" applyAlignment="1">
      <alignment horizontal="center" vertical="center"/>
    </xf>
    <xf numFmtId="0" fontId="14" fillId="0" borderId="20" xfId="43" applyFont="1" applyBorder="1" applyAlignment="1">
      <alignment horizontal="left" vertical="center"/>
    </xf>
    <xf numFmtId="0" fontId="14" fillId="0" borderId="25" xfId="43" applyFont="1" applyBorder="1" applyAlignment="1">
      <alignment horizontal="center" vertical="center"/>
    </xf>
    <xf numFmtId="0" fontId="12" fillId="0" borderId="0" xfId="43" applyAlignment="1">
      <alignment horizontal="center" vertical="center"/>
    </xf>
    <xf numFmtId="177" fontId="14" fillId="0" borderId="0" xfId="43" applyNumberFormat="1" applyFont="1" applyAlignment="1">
      <alignment horizontal="center" vertical="center"/>
    </xf>
    <xf numFmtId="0" fontId="14" fillId="0" borderId="20" xfId="43" applyFont="1" applyBorder="1" applyAlignment="1">
      <alignment horizontal="right" vertical="center"/>
    </xf>
    <xf numFmtId="171" fontId="14" fillId="0" borderId="20" xfId="43" applyNumberFormat="1" applyFont="1" applyBorder="1" applyAlignment="1">
      <alignment horizontal="center" vertical="center"/>
    </xf>
    <xf numFmtId="177" fontId="14" fillId="0" borderId="20" xfId="43" applyNumberFormat="1" applyFont="1" applyBorder="1" applyAlignment="1">
      <alignment horizontal="center" vertical="center"/>
    </xf>
    <xf numFmtId="0" fontId="14" fillId="0" borderId="20" xfId="43" applyFont="1" applyBorder="1" applyAlignment="1">
      <alignment horizontal="center" vertical="center"/>
    </xf>
    <xf numFmtId="0" fontId="14" fillId="3" borderId="25" xfId="43" applyFont="1" applyFill="1" applyBorder="1" applyAlignment="1">
      <alignment vertical="center"/>
    </xf>
    <xf numFmtId="171" fontId="14" fillId="0" borderId="0" xfId="43" applyNumberFormat="1" applyFont="1" applyAlignment="1">
      <alignment horizontal="center" vertical="center"/>
    </xf>
    <xf numFmtId="0" fontId="16" fillId="2" borderId="32" xfId="43" applyFont="1" applyFill="1" applyBorder="1" applyAlignment="1">
      <alignment vertical="center"/>
    </xf>
    <xf numFmtId="0" fontId="12" fillId="2" borderId="33" xfId="43" applyFill="1" applyBorder="1" applyAlignment="1">
      <alignment vertical="center"/>
    </xf>
    <xf numFmtId="0" fontId="12" fillId="2" borderId="33" xfId="23" applyFill="1" applyBorder="1" applyAlignment="1">
      <alignment horizontal="right" vertical="center" wrapText="1"/>
    </xf>
    <xf numFmtId="0" fontId="12" fillId="2" borderId="34" xfId="43" applyFill="1" applyBorder="1" applyAlignment="1">
      <alignment vertical="center"/>
    </xf>
    <xf numFmtId="0" fontId="12" fillId="0" borderId="0" xfId="23" applyAlignment="1">
      <alignment horizontal="right" vertical="center" wrapText="1"/>
    </xf>
    <xf numFmtId="0" fontId="12" fillId="0" borderId="0" xfId="23" applyAlignment="1">
      <alignment horizontal="left" wrapText="1"/>
    </xf>
    <xf numFmtId="2" fontId="14" fillId="0" borderId="0" xfId="43" applyNumberFormat="1" applyFont="1" applyAlignment="1">
      <alignment horizontal="center" vertical="center"/>
    </xf>
    <xf numFmtId="0" fontId="18" fillId="0" borderId="0" xfId="43" applyFont="1" applyAlignment="1">
      <alignment horizontal="center" vertical="center"/>
    </xf>
    <xf numFmtId="165" fontId="14" fillId="0" borderId="0" xfId="43" applyNumberFormat="1" applyFont="1" applyAlignment="1">
      <alignment horizontal="left" vertical="center"/>
    </xf>
    <xf numFmtId="0" fontId="15" fillId="0" borderId="0" xfId="43" applyFont="1" applyAlignment="1">
      <alignment vertical="center" wrapText="1"/>
    </xf>
    <xf numFmtId="177" fontId="14" fillId="0" borderId="0" xfId="43" applyNumberFormat="1" applyFont="1" applyAlignment="1" applyProtection="1">
      <alignment horizontal="center" vertical="center"/>
      <protection locked="0"/>
    </xf>
    <xf numFmtId="165" fontId="14" fillId="0" borderId="0" xfId="43" applyNumberFormat="1" applyFont="1" applyAlignment="1" applyProtection="1">
      <alignment horizontal="center" vertical="center"/>
      <protection locked="0"/>
    </xf>
    <xf numFmtId="0" fontId="12" fillId="2" borderId="32" xfId="43" applyFill="1" applyBorder="1" applyAlignment="1">
      <alignment vertical="center"/>
    </xf>
    <xf numFmtId="0" fontId="12" fillId="2" borderId="33" xfId="23" applyFill="1" applyBorder="1" applyAlignment="1">
      <alignment horizontal="left" wrapText="1"/>
    </xf>
    <xf numFmtId="0" fontId="16" fillId="2" borderId="34" xfId="43" applyFont="1" applyFill="1" applyBorder="1" applyAlignment="1">
      <alignment vertical="center"/>
    </xf>
    <xf numFmtId="0" fontId="14" fillId="16" borderId="0" xfId="0" applyFont="1" applyFill="1" applyAlignment="1">
      <alignment horizontal="center"/>
    </xf>
    <xf numFmtId="0" fontId="108" fillId="0" borderId="2" xfId="0" applyFont="1" applyBorder="1" applyAlignment="1">
      <alignment horizontal="center" vertical="center" wrapText="1"/>
    </xf>
    <xf numFmtId="2" fontId="122" fillId="0" borderId="0" xfId="0" applyNumberFormat="1" applyFont="1" applyAlignment="1">
      <alignment horizontal="center" vertical="center"/>
    </xf>
    <xf numFmtId="0" fontId="135" fillId="0" borderId="1" xfId="0" applyFont="1" applyBorder="1" applyAlignment="1">
      <alignment horizontal="left" vertical="center" wrapText="1"/>
    </xf>
    <xf numFmtId="0" fontId="18" fillId="0" borderId="4" xfId="0" applyFont="1" applyBorder="1" applyAlignment="1">
      <alignment vertical="center" wrapText="1"/>
    </xf>
    <xf numFmtId="0" fontId="136" fillId="0" borderId="0" xfId="10" applyFont="1" applyAlignment="1">
      <alignment vertical="center"/>
    </xf>
    <xf numFmtId="0" fontId="14" fillId="9" borderId="0" xfId="23" applyFont="1" applyFill="1" applyAlignment="1">
      <alignment horizontal="center" vertical="center"/>
    </xf>
    <xf numFmtId="0" fontId="14" fillId="0" borderId="6" xfId="0" applyFont="1" applyBorder="1" applyAlignment="1">
      <alignment horizontal="left" vertical="center"/>
    </xf>
    <xf numFmtId="0" fontId="14" fillId="0" borderId="7" xfId="23" applyFont="1" applyBorder="1" applyAlignment="1">
      <alignment horizontal="left" vertical="center"/>
    </xf>
    <xf numFmtId="0" fontId="14" fillId="0" borderId="7" xfId="23" applyFont="1" applyBorder="1" applyAlignment="1">
      <alignment horizontal="center" vertical="center"/>
    </xf>
    <xf numFmtId="0" fontId="14" fillId="0" borderId="6" xfId="23" applyFont="1" applyBorder="1" applyAlignment="1">
      <alignment vertical="center"/>
    </xf>
    <xf numFmtId="0" fontId="14" fillId="0" borderId="5" xfId="23" applyFont="1" applyBorder="1" applyAlignment="1">
      <alignment vertical="center"/>
    </xf>
    <xf numFmtId="0" fontId="14" fillId="0" borderId="11" xfId="23" applyFont="1" applyBorder="1" applyAlignment="1">
      <alignment horizontal="left" vertical="center"/>
    </xf>
    <xf numFmtId="0" fontId="14" fillId="0" borderId="5" xfId="23" applyFont="1" applyBorder="1" applyAlignment="1">
      <alignment horizontal="left" vertical="center"/>
    </xf>
    <xf numFmtId="0" fontId="14" fillId="13" borderId="0" xfId="23" applyFont="1" applyFill="1" applyAlignment="1">
      <alignment vertical="center"/>
    </xf>
    <xf numFmtId="0" fontId="14" fillId="0" borderId="7" xfId="23" applyFont="1" applyBorder="1" applyAlignment="1">
      <alignment horizontal="center"/>
    </xf>
    <xf numFmtId="0" fontId="14" fillId="0" borderId="14" xfId="23" applyFont="1" applyBorder="1" applyAlignment="1">
      <alignment horizontal="center" vertical="center"/>
    </xf>
    <xf numFmtId="0" fontId="14" fillId="0" borderId="3" xfId="23" applyFont="1" applyBorder="1" applyAlignment="1">
      <alignment vertical="center"/>
    </xf>
    <xf numFmtId="0" fontId="14" fillId="0" borderId="11" xfId="23" applyFont="1" applyBorder="1" applyAlignment="1">
      <alignment horizontal="center" vertical="center"/>
    </xf>
    <xf numFmtId="0" fontId="14" fillId="0" borderId="14" xfId="23" applyFont="1" applyBorder="1" applyAlignment="1">
      <alignment horizontal="center" vertical="top"/>
    </xf>
    <xf numFmtId="0" fontId="14" fillId="0" borderId="14" xfId="23" applyFont="1" applyBorder="1" applyAlignment="1">
      <alignment horizontal="center"/>
    </xf>
    <xf numFmtId="0" fontId="14" fillId="0" borderId="8" xfId="10" applyFont="1" applyBorder="1" applyAlignment="1">
      <alignment vertical="center"/>
    </xf>
    <xf numFmtId="0" fontId="14" fillId="7" borderId="0" xfId="0" applyFont="1" applyFill="1"/>
    <xf numFmtId="0" fontId="16" fillId="0" borderId="0" xfId="10" applyFont="1" applyAlignment="1">
      <alignment vertical="top"/>
    </xf>
    <xf numFmtId="0" fontId="65" fillId="0" borderId="7" xfId="0" applyFont="1" applyBorder="1" applyAlignment="1">
      <alignment vertical="center"/>
    </xf>
    <xf numFmtId="0" fontId="39" fillId="0" borderId="0" xfId="0" applyFont="1" applyAlignment="1">
      <alignment horizontal="left" vertical="center"/>
    </xf>
    <xf numFmtId="2" fontId="39" fillId="0" borderId="0" xfId="0" applyNumberFormat="1" applyFont="1" applyAlignment="1">
      <alignment horizontal="left" vertical="center"/>
    </xf>
    <xf numFmtId="2" fontId="14" fillId="0" borderId="0" xfId="0" applyNumberFormat="1" applyFont="1" applyAlignment="1">
      <alignment horizontal="left" vertical="center"/>
    </xf>
    <xf numFmtId="0" fontId="16" fillId="0" borderId="6" xfId="0" applyFont="1" applyBorder="1" applyAlignment="1">
      <alignment vertical="center"/>
    </xf>
    <xf numFmtId="0" fontId="16" fillId="0" borderId="82" xfId="23" applyFont="1" applyBorder="1" applyAlignment="1">
      <alignment vertical="center"/>
    </xf>
    <xf numFmtId="0" fontId="14" fillId="0" borderId="83" xfId="23" applyFont="1" applyBorder="1" applyAlignment="1">
      <alignment vertical="center"/>
    </xf>
    <xf numFmtId="0" fontId="14" fillId="0" borderId="83" xfId="23" applyFont="1" applyBorder="1" applyAlignment="1">
      <alignment horizontal="left" vertical="center"/>
    </xf>
    <xf numFmtId="167" fontId="14" fillId="0" borderId="83" xfId="23" applyNumberFormat="1" applyFont="1" applyBorder="1" applyAlignment="1">
      <alignment vertical="center"/>
    </xf>
    <xf numFmtId="169" fontId="14" fillId="0" borderId="83" xfId="23" applyNumberFormat="1" applyFont="1" applyBorder="1" applyAlignment="1">
      <alignment horizontal="center" vertical="center"/>
    </xf>
    <xf numFmtId="0" fontId="22" fillId="0" borderId="83" xfId="23" applyFont="1" applyBorder="1" applyAlignment="1">
      <alignment horizontal="left" vertical="center"/>
    </xf>
    <xf numFmtId="1" fontId="14" fillId="0" borderId="83" xfId="23" applyNumberFormat="1" applyFont="1" applyBorder="1" applyAlignment="1">
      <alignment horizontal="center" vertical="center"/>
    </xf>
    <xf numFmtId="0" fontId="22" fillId="0" borderId="83" xfId="23" applyFont="1" applyBorder="1" applyAlignment="1">
      <alignment vertical="center"/>
    </xf>
    <xf numFmtId="49" fontId="16" fillId="0" borderId="83" xfId="23" applyNumberFormat="1" applyFont="1" applyBorder="1" applyAlignment="1">
      <alignment horizontal="left" vertical="center"/>
    </xf>
    <xf numFmtId="0" fontId="16" fillId="0" borderId="14" xfId="23" applyFont="1" applyBorder="1" applyAlignment="1">
      <alignment horizontal="center"/>
    </xf>
    <xf numFmtId="0" fontId="16" fillId="0" borderId="14" xfId="23" applyFont="1" applyBorder="1" applyAlignment="1">
      <alignment horizontal="center" vertical="center"/>
    </xf>
    <xf numFmtId="0" fontId="109" fillId="0" borderId="1" xfId="23" applyFont="1" applyBorder="1" applyAlignment="1">
      <alignment horizontal="center" vertical="center"/>
    </xf>
    <xf numFmtId="165" fontId="14" fillId="3" borderId="0" xfId="0" applyNumberFormat="1" applyFont="1" applyFill="1" applyAlignment="1">
      <alignment horizontal="left" vertical="center"/>
    </xf>
    <xf numFmtId="0" fontId="14" fillId="0" borderId="0" xfId="10" applyFont="1" applyAlignment="1">
      <alignment vertical="center" wrapText="1"/>
    </xf>
    <xf numFmtId="49" fontId="16" fillId="0" borderId="0" xfId="23" applyNumberFormat="1" applyFont="1" applyAlignment="1">
      <alignment horizontal="left" vertical="center"/>
    </xf>
    <xf numFmtId="0" fontId="14" fillId="0" borderId="0" xfId="23" applyFont="1" applyAlignment="1">
      <alignment horizontal="left" vertical="center" wrapText="1"/>
    </xf>
    <xf numFmtId="2" fontId="14" fillId="0" borderId="0" xfId="23" applyNumberFormat="1" applyFont="1" applyAlignment="1">
      <alignment horizontal="center" vertical="center"/>
    </xf>
    <xf numFmtId="0" fontId="16" fillId="0" borderId="0" xfId="23" applyFont="1" applyAlignment="1">
      <alignment horizontal="right" vertical="center"/>
    </xf>
    <xf numFmtId="0" fontId="117" fillId="0" borderId="0" xfId="23" applyFont="1" applyAlignment="1">
      <alignment vertical="center"/>
    </xf>
    <xf numFmtId="169" fontId="14" fillId="0" borderId="0" xfId="23" applyNumberFormat="1" applyFont="1" applyAlignment="1">
      <alignment horizontal="center" vertical="center"/>
    </xf>
    <xf numFmtId="0" fontId="17" fillId="0" borderId="0" xfId="23" applyFont="1" applyAlignment="1">
      <alignment vertical="center"/>
    </xf>
    <xf numFmtId="0" fontId="14" fillId="0" borderId="0" xfId="23" applyFont="1" applyAlignment="1">
      <alignment vertical="top" wrapText="1"/>
    </xf>
    <xf numFmtId="0" fontId="14" fillId="0" borderId="22" xfId="23" applyFont="1" applyBorder="1" applyAlignment="1">
      <alignment vertical="center"/>
    </xf>
    <xf numFmtId="1" fontId="14" fillId="11" borderId="8" xfId="59" applyNumberFormat="1" applyFont="1" applyFill="1" applyBorder="1" applyAlignment="1">
      <alignment horizontal="center"/>
    </xf>
    <xf numFmtId="165" fontId="37" fillId="7" borderId="39" xfId="12" applyNumberFormat="1" applyFont="1" applyFill="1" applyBorder="1" applyAlignment="1" applyProtection="1">
      <alignment horizontal="center" vertical="center"/>
      <protection locked="0"/>
    </xf>
    <xf numFmtId="0" fontId="53" fillId="0" borderId="0" xfId="0" applyFont="1" applyAlignment="1">
      <alignment vertical="center"/>
    </xf>
    <xf numFmtId="0" fontId="12" fillId="7" borderId="0" xfId="43" applyFill="1" applyAlignment="1" applyProtection="1">
      <alignment horizontal="center"/>
      <protection locked="0"/>
    </xf>
    <xf numFmtId="0" fontId="14" fillId="0" borderId="20" xfId="43" applyFont="1" applyBorder="1" applyAlignment="1">
      <alignment horizontal="right" vertical="center" indent="1"/>
    </xf>
    <xf numFmtId="49" fontId="16" fillId="0" borderId="2" xfId="23" applyNumberFormat="1" applyFont="1" applyBorder="1" applyAlignment="1">
      <alignment horizontal="left" vertical="center"/>
    </xf>
    <xf numFmtId="1" fontId="14" fillId="0" borderId="2" xfId="0" applyNumberFormat="1" applyFont="1" applyBorder="1" applyAlignment="1">
      <alignment horizontal="center" vertical="center"/>
    </xf>
    <xf numFmtId="0" fontId="14" fillId="0" borderId="2" xfId="23" applyFont="1" applyBorder="1" applyAlignment="1">
      <alignment vertical="top" wrapText="1"/>
    </xf>
    <xf numFmtId="0" fontId="14" fillId="0" borderId="2" xfId="23" applyFont="1" applyBorder="1" applyAlignment="1">
      <alignment horizontal="center" vertical="center" wrapText="1"/>
    </xf>
    <xf numFmtId="0" fontId="14" fillId="0" borderId="23" xfId="23" applyFont="1" applyBorder="1" applyAlignment="1">
      <alignment horizontal="center" vertical="center" wrapText="1"/>
    </xf>
    <xf numFmtId="0" fontId="14" fillId="11" borderId="20" xfId="23" applyFont="1" applyFill="1" applyBorder="1" applyAlignment="1">
      <alignment vertical="center"/>
    </xf>
    <xf numFmtId="49" fontId="34" fillId="0" borderId="20" xfId="0" applyNumberFormat="1" applyFont="1" applyBorder="1" applyAlignment="1">
      <alignment vertical="center" wrapText="1"/>
    </xf>
    <xf numFmtId="0" fontId="75" fillId="3" borderId="0" xfId="0" applyFont="1" applyFill="1"/>
    <xf numFmtId="0" fontId="14" fillId="3" borderId="0" xfId="0" applyFont="1" applyFill="1" applyAlignment="1">
      <alignment horizontal="right"/>
    </xf>
    <xf numFmtId="2" fontId="17" fillId="0" borderId="0" xfId="0" applyNumberFormat="1" applyFont="1" applyAlignment="1">
      <alignment horizontal="center" vertical="center"/>
    </xf>
    <xf numFmtId="0" fontId="16" fillId="0" borderId="0" xfId="0" applyFont="1" applyAlignment="1">
      <alignment horizontal="center" wrapText="1"/>
    </xf>
    <xf numFmtId="0" fontId="128" fillId="0" borderId="0" xfId="0" applyFont="1" applyAlignment="1">
      <alignment horizontal="center"/>
    </xf>
    <xf numFmtId="0" fontId="110" fillId="0" borderId="0" xfId="0" applyFont="1" applyAlignment="1">
      <alignment horizontal="left" vertical="center"/>
    </xf>
    <xf numFmtId="0" fontId="95" fillId="0" borderId="0" xfId="0" applyFont="1" applyAlignment="1">
      <alignment horizontal="left" vertical="center"/>
    </xf>
    <xf numFmtId="0" fontId="15" fillId="0" borderId="0" xfId="0" applyFont="1" applyAlignment="1">
      <alignment horizontal="left"/>
    </xf>
    <xf numFmtId="0" fontId="123" fillId="0" borderId="0" xfId="0" applyFont="1" applyAlignment="1">
      <alignment vertical="center"/>
    </xf>
    <xf numFmtId="0" fontId="76" fillId="0" borderId="0" xfId="0" applyFont="1" applyAlignment="1">
      <alignment horizontal="left" vertical="center"/>
    </xf>
    <xf numFmtId="0" fontId="126" fillId="0" borderId="22" xfId="0" applyFont="1" applyBorder="1" applyAlignment="1">
      <alignment vertical="top" wrapText="1"/>
    </xf>
    <xf numFmtId="0" fontId="53" fillId="0" borderId="0" xfId="0" applyFont="1" applyAlignment="1">
      <alignment vertical="center" wrapText="1"/>
    </xf>
    <xf numFmtId="2" fontId="14" fillId="0" borderId="0" xfId="0" applyNumberFormat="1" applyFont="1" applyAlignment="1">
      <alignment vertical="center"/>
    </xf>
    <xf numFmtId="0" fontId="16" fillId="0" borderId="21" xfId="0" applyFont="1" applyBorder="1" applyAlignment="1">
      <alignment horizontal="left" vertical="center"/>
    </xf>
    <xf numFmtId="0" fontId="14" fillId="0" borderId="23" xfId="0" applyFont="1" applyBorder="1" applyAlignment="1">
      <alignment horizontal="center" vertical="center"/>
    </xf>
    <xf numFmtId="0" fontId="97" fillId="0" borderId="0" xfId="23" applyFont="1" applyAlignment="1">
      <alignment horizontal="left" vertical="center"/>
    </xf>
    <xf numFmtId="0" fontId="14" fillId="0" borderId="0" xfId="23" quotePrefix="1" applyFont="1" applyAlignment="1">
      <alignment horizontal="center" vertical="center"/>
    </xf>
    <xf numFmtId="0" fontId="104" fillId="0" borderId="0" xfId="0" applyFont="1" applyAlignment="1">
      <alignment horizontal="center" vertical="center" wrapText="1"/>
    </xf>
    <xf numFmtId="0" fontId="18" fillId="0" borderId="0" xfId="23" quotePrefix="1" applyFont="1" applyAlignment="1">
      <alignment horizontal="center" vertical="center"/>
    </xf>
    <xf numFmtId="0" fontId="18" fillId="0" borderId="0" xfId="23" applyFont="1" applyAlignment="1">
      <alignment horizontal="center" vertical="center"/>
    </xf>
    <xf numFmtId="0" fontId="14" fillId="0" borderId="0" xfId="23" quotePrefix="1" applyFont="1" applyAlignment="1">
      <alignment vertical="center"/>
    </xf>
    <xf numFmtId="165" fontId="14" fillId="0" borderId="0" xfId="23" quotePrefix="1" applyNumberFormat="1" applyFont="1" applyAlignment="1">
      <alignment horizontal="center" vertical="center"/>
    </xf>
    <xf numFmtId="0" fontId="16" fillId="0" borderId="0" xfId="0" quotePrefix="1" applyFont="1" applyAlignment="1">
      <alignment horizontal="center" vertical="center"/>
    </xf>
    <xf numFmtId="0" fontId="122" fillId="0" borderId="0" xfId="0" applyFont="1" applyAlignment="1">
      <alignment horizontal="left" vertical="center"/>
    </xf>
    <xf numFmtId="1" fontId="16" fillId="11" borderId="0" xfId="23" applyNumberFormat="1" applyFont="1" applyFill="1" applyAlignment="1">
      <alignment horizontal="center" vertical="center"/>
    </xf>
    <xf numFmtId="1" fontId="16" fillId="11" borderId="0" xfId="23" applyNumberFormat="1" applyFont="1" applyFill="1" applyAlignment="1">
      <alignment horizontal="center"/>
    </xf>
    <xf numFmtId="0" fontId="16" fillId="0" borderId="0" xfId="23" applyFont="1" applyAlignment="1">
      <alignment horizontal="center"/>
    </xf>
    <xf numFmtId="0" fontId="14" fillId="0" borderId="0" xfId="23" applyFont="1" applyAlignment="1">
      <alignment vertical="top"/>
    </xf>
    <xf numFmtId="165" fontId="14" fillId="0" borderId="0" xfId="23" applyNumberFormat="1" applyFont="1" applyAlignment="1">
      <alignment horizontal="left" vertical="center"/>
    </xf>
    <xf numFmtId="1" fontId="16" fillId="0" borderId="0" xfId="23" applyNumberFormat="1" applyFont="1" applyAlignment="1">
      <alignment vertical="center"/>
    </xf>
    <xf numFmtId="0" fontId="46" fillId="0" borderId="22" xfId="0" applyFont="1" applyBorder="1" applyAlignment="1">
      <alignment horizontal="center" wrapText="1"/>
    </xf>
    <xf numFmtId="0" fontId="46" fillId="0" borderId="0" xfId="0" applyFont="1" applyAlignment="1">
      <alignment horizontal="center" wrapText="1"/>
    </xf>
    <xf numFmtId="0" fontId="16" fillId="0" borderId="2" xfId="0" applyFont="1" applyBorder="1" applyAlignment="1">
      <alignment horizontal="center" vertical="center"/>
    </xf>
    <xf numFmtId="1" fontId="16" fillId="0" borderId="2" xfId="0" applyNumberFormat="1" applyFont="1" applyBorder="1" applyAlignment="1">
      <alignment horizontal="center" vertical="center"/>
    </xf>
    <xf numFmtId="0" fontId="110" fillId="0" borderId="2" xfId="0" applyFont="1" applyBorder="1" applyAlignment="1">
      <alignment horizontal="left" vertical="center"/>
    </xf>
    <xf numFmtId="0" fontId="128" fillId="0" borderId="2" xfId="0" applyFont="1" applyBorder="1" applyAlignment="1">
      <alignment horizontal="center"/>
    </xf>
    <xf numFmtId="0" fontId="16" fillId="0" borderId="23" xfId="0" applyFont="1" applyBorder="1" applyAlignment="1">
      <alignment horizontal="center" wrapText="1"/>
    </xf>
    <xf numFmtId="0" fontId="14" fillId="0" borderId="24" xfId="0" quotePrefix="1" applyFont="1" applyBorder="1" applyAlignment="1">
      <alignment horizontal="center" vertical="center"/>
    </xf>
    <xf numFmtId="0" fontId="75" fillId="2" borderId="30" xfId="0" applyFont="1" applyFill="1" applyBorder="1"/>
    <xf numFmtId="0" fontId="75" fillId="2" borderId="28" xfId="0" applyFont="1" applyFill="1" applyBorder="1"/>
    <xf numFmtId="0" fontId="59" fillId="0" borderId="0" xfId="0" applyFont="1" applyAlignment="1">
      <alignment horizontal="left" vertical="center"/>
    </xf>
    <xf numFmtId="0" fontId="16" fillId="0" borderId="32" xfId="0" applyFont="1" applyBorder="1" applyAlignment="1">
      <alignment horizontal="left" vertical="center"/>
    </xf>
    <xf numFmtId="0" fontId="16" fillId="0" borderId="33" xfId="0" applyFont="1" applyBorder="1" applyAlignment="1">
      <alignment horizontal="left" vertical="center"/>
    </xf>
    <xf numFmtId="0" fontId="16" fillId="0" borderId="34" xfId="0" applyFont="1" applyBorder="1" applyAlignment="1">
      <alignment horizontal="left" vertical="center"/>
    </xf>
    <xf numFmtId="0" fontId="22" fillId="0" borderId="0" xfId="23" quotePrefix="1" applyFont="1" applyAlignment="1">
      <alignment horizontal="right" vertical="center"/>
    </xf>
    <xf numFmtId="0" fontId="35" fillId="0" borderId="27" xfId="23" applyFont="1" applyBorder="1" applyAlignment="1">
      <alignment horizontal="left" vertical="center"/>
    </xf>
    <xf numFmtId="0" fontId="35" fillId="0" borderId="49" xfId="23" applyFont="1" applyBorder="1" applyAlignment="1">
      <alignment horizontal="left" vertical="center"/>
    </xf>
    <xf numFmtId="173" fontId="37" fillId="5" borderId="39" xfId="12" applyNumberFormat="1" applyFont="1" applyFill="1" applyBorder="1" applyAlignment="1" applyProtection="1">
      <alignment vertical="center"/>
      <protection locked="0"/>
    </xf>
    <xf numFmtId="165" fontId="37" fillId="5" borderId="0" xfId="12" applyNumberFormat="1" applyFont="1" applyFill="1" applyAlignment="1" applyProtection="1">
      <alignment horizontal="center" vertical="center"/>
      <protection locked="0"/>
    </xf>
    <xf numFmtId="165" fontId="37" fillId="7" borderId="0" xfId="12" applyNumberFormat="1" applyFont="1" applyFill="1" applyAlignment="1" applyProtection="1">
      <alignment horizontal="center" vertical="center"/>
      <protection locked="0"/>
    </xf>
    <xf numFmtId="0" fontId="36" fillId="0" borderId="2" xfId="12" applyFont="1" applyBorder="1" applyAlignment="1">
      <alignment horizontal="center" vertical="center" wrapText="1"/>
    </xf>
    <xf numFmtId="0" fontId="37" fillId="3" borderId="18" xfId="12" applyFont="1" applyFill="1" applyBorder="1" applyAlignment="1">
      <alignment horizontal="center" vertical="center"/>
    </xf>
    <xf numFmtId="49" fontId="16" fillId="0" borderId="9" xfId="0" applyNumberFormat="1" applyFont="1" applyBorder="1" applyAlignment="1">
      <alignment horizontal="center" vertical="center"/>
    </xf>
    <xf numFmtId="0" fontId="38" fillId="11" borderId="9" xfId="43" applyFont="1" applyFill="1" applyBorder="1" applyAlignment="1">
      <alignment horizontal="left"/>
    </xf>
    <xf numFmtId="0" fontId="38" fillId="11" borderId="10" xfId="43" applyFont="1" applyFill="1" applyBorder="1"/>
    <xf numFmtId="0" fontId="38" fillId="11" borderId="9" xfId="43" applyFont="1" applyFill="1" applyBorder="1"/>
    <xf numFmtId="0" fontId="90" fillId="3" borderId="0" xfId="43" applyFont="1" applyFill="1" applyAlignment="1">
      <alignment vertical="top"/>
    </xf>
    <xf numFmtId="0" fontId="37" fillId="3" borderId="6" xfId="43" applyFont="1" applyFill="1" applyBorder="1" applyAlignment="1">
      <alignment vertical="top"/>
    </xf>
    <xf numFmtId="0" fontId="38" fillId="11" borderId="11" xfId="43" applyFont="1" applyFill="1" applyBorder="1" applyAlignment="1">
      <alignment horizontal="left"/>
    </xf>
    <xf numFmtId="0" fontId="38" fillId="11" borderId="10" xfId="43" applyFont="1" applyFill="1" applyBorder="1" applyAlignment="1">
      <alignment horizontal="left" vertical="center"/>
    </xf>
    <xf numFmtId="0" fontId="38" fillId="11" borderId="9" xfId="43" applyFont="1" applyFill="1" applyBorder="1" applyAlignment="1">
      <alignment vertical="center"/>
    </xf>
    <xf numFmtId="0" fontId="38" fillId="11" borderId="6" xfId="43" applyFont="1" applyFill="1" applyBorder="1" applyAlignment="1">
      <alignment vertical="top"/>
    </xf>
    <xf numFmtId="0" fontId="38" fillId="11" borderId="10" xfId="43" applyFont="1" applyFill="1" applyBorder="1" applyAlignment="1">
      <alignment vertical="center"/>
    </xf>
    <xf numFmtId="0" fontId="16" fillId="0" borderId="0" xfId="23" applyFont="1" applyAlignment="1">
      <alignment horizontal="center" vertical="center" wrapText="1"/>
    </xf>
    <xf numFmtId="0" fontId="14" fillId="0" borderId="0" xfId="23" applyFont="1" applyAlignment="1">
      <alignment horizontal="left"/>
    </xf>
    <xf numFmtId="0" fontId="122" fillId="0" borderId="0" xfId="23" applyFont="1" applyAlignment="1">
      <alignment vertical="center"/>
    </xf>
    <xf numFmtId="0" fontId="109" fillId="0" borderId="0" xfId="23" applyFont="1" applyAlignment="1">
      <alignment vertical="center"/>
    </xf>
    <xf numFmtId="0" fontId="97" fillId="0" borderId="0" xfId="10" applyFont="1" applyAlignment="1">
      <alignment vertical="center"/>
    </xf>
    <xf numFmtId="0" fontId="25" fillId="0" borderId="20" xfId="23" applyFont="1" applyBorder="1" applyAlignment="1">
      <alignment vertical="center"/>
    </xf>
    <xf numFmtId="0" fontId="25" fillId="0" borderId="25" xfId="23" applyFont="1" applyBorder="1" applyAlignment="1">
      <alignment vertical="center"/>
    </xf>
    <xf numFmtId="165" fontId="14" fillId="19" borderId="18" xfId="23" applyNumberFormat="1" applyFont="1" applyFill="1" applyBorder="1" applyProtection="1">
      <protection locked="0"/>
    </xf>
    <xf numFmtId="0" fontId="14" fillId="0" borderId="6" xfId="23" applyFont="1" applyBorder="1" applyProtection="1">
      <protection locked="0"/>
    </xf>
    <xf numFmtId="0" fontId="22" fillId="0" borderId="0" xfId="23" applyFont="1" applyAlignment="1">
      <alignment horizontal="left"/>
    </xf>
    <xf numFmtId="0" fontId="12" fillId="0" borderId="0" xfId="23" applyAlignment="1">
      <alignment horizontal="right"/>
    </xf>
    <xf numFmtId="0" fontId="12" fillId="0" borderId="22" xfId="23" applyBorder="1"/>
    <xf numFmtId="0" fontId="143" fillId="0" borderId="0" xfId="23" applyFont="1"/>
    <xf numFmtId="0" fontId="22" fillId="0" borderId="0" xfId="23" applyFont="1"/>
    <xf numFmtId="165" fontId="22" fillId="5" borderId="8" xfId="23" applyNumberFormat="1" applyFont="1" applyFill="1" applyBorder="1" applyAlignment="1" applyProtection="1">
      <alignment horizontal="center"/>
      <protection locked="0"/>
    </xf>
    <xf numFmtId="165" fontId="22" fillId="19" borderId="8" xfId="23" applyNumberFormat="1" applyFont="1" applyFill="1" applyBorder="1" applyProtection="1">
      <protection locked="0"/>
    </xf>
    <xf numFmtId="165" fontId="22" fillId="0" borderId="0" xfId="23" applyNumberFormat="1" applyFont="1" applyProtection="1">
      <protection locked="0"/>
    </xf>
    <xf numFmtId="0" fontId="97" fillId="0" borderId="0" xfId="23" applyFont="1"/>
    <xf numFmtId="0" fontId="144" fillId="0" borderId="0" xfId="23" applyFont="1" applyProtection="1">
      <protection locked="0"/>
    </xf>
    <xf numFmtId="0" fontId="122" fillId="0" borderId="0" xfId="23" applyFont="1"/>
    <xf numFmtId="0" fontId="17" fillId="0" borderId="0" xfId="23" applyFont="1" applyAlignment="1">
      <alignment horizontal="left"/>
    </xf>
    <xf numFmtId="0" fontId="17" fillId="0" borderId="0" xfId="23" applyFont="1" applyAlignment="1" applyProtection="1">
      <alignment horizontal="left"/>
      <protection locked="0"/>
    </xf>
    <xf numFmtId="0" fontId="144" fillId="0" borderId="0" xfId="23" applyFont="1" applyAlignment="1" applyProtection="1">
      <alignment horizontal="left"/>
      <protection locked="0"/>
    </xf>
    <xf numFmtId="0" fontId="145" fillId="0" borderId="0" xfId="23" applyFont="1" applyAlignment="1" applyProtection="1">
      <alignment horizontal="left" vertical="top"/>
      <protection locked="0"/>
    </xf>
    <xf numFmtId="165" fontId="22" fillId="19" borderId="8" xfId="23" applyNumberFormat="1" applyFont="1" applyFill="1" applyBorder="1" applyAlignment="1" applyProtection="1">
      <alignment horizontal="center"/>
      <protection locked="0"/>
    </xf>
    <xf numFmtId="165" fontId="22" fillId="0" borderId="0" xfId="23" applyNumberFormat="1" applyFont="1" applyAlignment="1" applyProtection="1">
      <alignment horizontal="center"/>
      <protection locked="0"/>
    </xf>
    <xf numFmtId="0" fontId="22" fillId="0" borderId="0" xfId="23" applyFont="1" applyProtection="1">
      <protection locked="0"/>
    </xf>
    <xf numFmtId="0" fontId="22" fillId="0" borderId="0" xfId="23" applyFont="1" applyAlignment="1">
      <alignment horizontal="center"/>
    </xf>
    <xf numFmtId="0" fontId="22" fillId="10" borderId="0" xfId="23" applyFont="1" applyFill="1"/>
    <xf numFmtId="0" fontId="22" fillId="0" borderId="0" xfId="23" applyFont="1" applyAlignment="1" applyProtection="1">
      <alignment horizontal="center"/>
      <protection locked="0"/>
    </xf>
    <xf numFmtId="0" fontId="22" fillId="7" borderId="8" xfId="23" applyFont="1" applyFill="1" applyBorder="1" applyAlignment="1" applyProtection="1">
      <alignment horizontal="center"/>
      <protection locked="0"/>
    </xf>
    <xf numFmtId="165" fontId="14" fillId="19" borderId="8" xfId="23" applyNumberFormat="1" applyFont="1" applyFill="1" applyBorder="1" applyAlignment="1">
      <alignment horizontal="center"/>
    </xf>
    <xf numFmtId="0" fontId="22" fillId="10" borderId="0" xfId="23" applyFont="1" applyFill="1" applyProtection="1">
      <protection locked="0"/>
    </xf>
    <xf numFmtId="165" fontId="14" fillId="0" borderId="0" xfId="23" applyNumberFormat="1" applyFont="1" applyAlignment="1" applyProtection="1">
      <alignment horizontal="center"/>
      <protection locked="0"/>
    </xf>
    <xf numFmtId="0" fontId="42" fillId="0" borderId="0" xfId="23" applyFont="1"/>
    <xf numFmtId="0" fontId="42" fillId="0" borderId="1" xfId="23" applyFont="1" applyBorder="1"/>
    <xf numFmtId="165" fontId="22" fillId="0" borderId="0" xfId="23" applyNumberFormat="1" applyFont="1" applyAlignment="1">
      <alignment horizontal="center"/>
    </xf>
    <xf numFmtId="165" fontId="14" fillId="0" borderId="0" xfId="23" applyNumberFormat="1" applyFont="1" applyAlignment="1">
      <alignment horizontal="center"/>
    </xf>
    <xf numFmtId="0" fontId="95" fillId="0" borderId="0" xfId="23" applyFont="1"/>
    <xf numFmtId="0" fontId="14" fillId="19" borderId="8" xfId="23" applyFont="1" applyFill="1" applyBorder="1"/>
    <xf numFmtId="1" fontId="22" fillId="0" borderId="0" xfId="23" applyNumberFormat="1" applyFont="1" applyAlignment="1" applyProtection="1">
      <alignment horizontal="center"/>
      <protection locked="0"/>
    </xf>
    <xf numFmtId="0" fontId="22" fillId="0" borderId="0" xfId="23" applyFont="1" applyAlignment="1">
      <alignment horizontal="right"/>
    </xf>
    <xf numFmtId="0" fontId="22" fillId="0" borderId="0" xfId="23" applyFont="1" applyAlignment="1">
      <alignment wrapText="1"/>
    </xf>
    <xf numFmtId="1" fontId="22" fillId="19" borderId="8" xfId="23" applyNumberFormat="1" applyFont="1" applyFill="1" applyBorder="1" applyAlignment="1" applyProtection="1">
      <alignment horizontal="center"/>
      <protection locked="0"/>
    </xf>
    <xf numFmtId="165" fontId="22" fillId="5" borderId="8" xfId="23" applyNumberFormat="1" applyFont="1" applyFill="1" applyBorder="1" applyAlignment="1">
      <alignment horizontal="center"/>
    </xf>
    <xf numFmtId="0" fontId="144" fillId="0" borderId="0" xfId="23" applyFont="1"/>
    <xf numFmtId="0" fontId="22" fillId="0" borderId="0" xfId="23" applyFont="1" applyAlignment="1" applyProtection="1">
      <alignment horizontal="left"/>
      <protection locked="0"/>
    </xf>
    <xf numFmtId="0" fontId="14" fillId="0" borderId="0" xfId="23" applyFont="1" applyAlignment="1" applyProtection="1">
      <alignment horizontal="center"/>
      <protection locked="0"/>
    </xf>
    <xf numFmtId="0" fontId="22" fillId="0" borderId="1" xfId="23" applyFont="1" applyBorder="1" applyAlignment="1" applyProtection="1">
      <alignment vertical="top" wrapText="1"/>
      <protection locked="0"/>
    </xf>
    <xf numFmtId="0" fontId="22" fillId="7" borderId="0" xfId="23" applyFont="1" applyFill="1" applyAlignment="1" applyProtection="1">
      <alignment vertical="top" wrapText="1"/>
      <protection locked="0"/>
    </xf>
    <xf numFmtId="0" fontId="4" fillId="0" borderId="0" xfId="300"/>
    <xf numFmtId="0" fontId="22" fillId="10" borderId="0" xfId="23" applyFont="1" applyFill="1" applyAlignment="1" applyProtection="1">
      <alignment horizontal="left"/>
      <protection locked="0"/>
    </xf>
    <xf numFmtId="0" fontId="147" fillId="0" borderId="0" xfId="300" applyFont="1"/>
    <xf numFmtId="165" fontId="22" fillId="0" borderId="0" xfId="23" applyNumberFormat="1" applyFont="1"/>
    <xf numFmtId="0" fontId="22" fillId="0" borderId="0" xfId="23" applyFont="1" applyAlignment="1" applyProtection="1">
      <alignment horizontal="right"/>
      <protection locked="0"/>
    </xf>
    <xf numFmtId="0" fontId="16" fillId="21" borderId="0" xfId="23" applyFont="1" applyFill="1" applyAlignment="1">
      <alignment horizontal="right"/>
    </xf>
    <xf numFmtId="1" fontId="12" fillId="0" borderId="0" xfId="23" applyNumberFormat="1"/>
    <xf numFmtId="0" fontId="16" fillId="2" borderId="21" xfId="23" applyFont="1" applyFill="1" applyBorder="1"/>
    <xf numFmtId="0" fontId="16" fillId="2" borderId="2" xfId="23" applyFont="1" applyFill="1" applyBorder="1"/>
    <xf numFmtId="0" fontId="16" fillId="2" borderId="23" xfId="23" applyFont="1" applyFill="1" applyBorder="1"/>
    <xf numFmtId="0" fontId="14" fillId="21" borderId="0" xfId="23" applyFont="1" applyFill="1"/>
    <xf numFmtId="0" fontId="22" fillId="21" borderId="0" xfId="23" applyFont="1" applyFill="1" applyAlignment="1">
      <alignment horizontal="right"/>
    </xf>
    <xf numFmtId="0" fontId="14" fillId="7" borderId="0" xfId="23" applyFont="1" applyFill="1"/>
    <xf numFmtId="0" fontId="14" fillId="22" borderId="0" xfId="23" applyFont="1" applyFill="1"/>
    <xf numFmtId="0" fontId="14" fillId="19" borderId="0" xfId="23" applyFont="1" applyFill="1"/>
    <xf numFmtId="0" fontId="14" fillId="0" borderId="37" xfId="43" applyFont="1" applyBorder="1" applyAlignment="1">
      <alignment vertical="center"/>
    </xf>
    <xf numFmtId="0" fontId="14" fillId="0" borderId="38" xfId="43" applyFont="1" applyBorder="1" applyAlignment="1">
      <alignment vertical="center"/>
    </xf>
    <xf numFmtId="0" fontId="149" fillId="0" borderId="22" xfId="300" applyFont="1" applyBorder="1" applyAlignment="1">
      <alignment horizontal="center"/>
    </xf>
    <xf numFmtId="0" fontId="102" fillId="0" borderId="1" xfId="300" applyFont="1" applyBorder="1"/>
    <xf numFmtId="0" fontId="149" fillId="0" borderId="22" xfId="300" applyFont="1" applyBorder="1"/>
    <xf numFmtId="0" fontId="102" fillId="0" borderId="22" xfId="300" applyFont="1" applyBorder="1"/>
    <xf numFmtId="0" fontId="152" fillId="0" borderId="37" xfId="300" applyFont="1" applyBorder="1"/>
    <xf numFmtId="0" fontId="152" fillId="0" borderId="4" xfId="300" applyFont="1" applyBorder="1"/>
    <xf numFmtId="0" fontId="152" fillId="0" borderId="38" xfId="300" applyFont="1" applyBorder="1"/>
    <xf numFmtId="0" fontId="153" fillId="0" borderId="22" xfId="300" applyFont="1" applyBorder="1"/>
    <xf numFmtId="0" fontId="102" fillId="7" borderId="7" xfId="300" applyFont="1" applyFill="1" applyBorder="1" applyAlignment="1">
      <alignment horizontal="center"/>
    </xf>
    <xf numFmtId="0" fontId="102" fillId="7" borderId="10" xfId="300" applyFont="1" applyFill="1" applyBorder="1" applyAlignment="1">
      <alignment horizontal="center"/>
    </xf>
    <xf numFmtId="0" fontId="102" fillId="7" borderId="9" xfId="300" applyFont="1" applyFill="1" applyBorder="1" applyAlignment="1">
      <alignment horizontal="center"/>
    </xf>
    <xf numFmtId="0" fontId="141" fillId="0" borderId="0" xfId="300" applyFont="1"/>
    <xf numFmtId="0" fontId="154" fillId="0" borderId="0" xfId="300" applyFont="1" applyAlignment="1">
      <alignment horizontal="left" vertical="center"/>
    </xf>
    <xf numFmtId="0" fontId="16" fillId="2" borderId="0" xfId="300" applyFont="1" applyFill="1" applyAlignment="1">
      <alignment horizontal="left" vertical="center"/>
    </xf>
    <xf numFmtId="0" fontId="14" fillId="2" borderId="0" xfId="300" applyFont="1" applyFill="1" applyAlignment="1">
      <alignment horizontal="right"/>
    </xf>
    <xf numFmtId="0" fontId="14" fillId="2" borderId="0" xfId="300" applyFont="1" applyFill="1" applyAlignment="1">
      <alignment horizontal="left"/>
    </xf>
    <xf numFmtId="0" fontId="14" fillId="0" borderId="0" xfId="300" applyFont="1" applyAlignment="1">
      <alignment horizontal="center" vertical="center"/>
    </xf>
    <xf numFmtId="0" fontId="14" fillId="0" borderId="0" xfId="300" applyFont="1" applyAlignment="1">
      <alignment horizontal="left" vertical="center"/>
    </xf>
    <xf numFmtId="0" fontId="16" fillId="0" borderId="0" xfId="300" applyFont="1" applyAlignment="1">
      <alignment horizontal="left" vertical="center"/>
    </xf>
    <xf numFmtId="0" fontId="149" fillId="0" borderId="37" xfId="300" applyFont="1" applyBorder="1"/>
    <xf numFmtId="0" fontId="102" fillId="0" borderId="4" xfId="300" applyFont="1" applyBorder="1" applyAlignment="1">
      <alignment horizontal="center"/>
    </xf>
    <xf numFmtId="0" fontId="102" fillId="0" borderId="4" xfId="300" applyFont="1" applyBorder="1"/>
    <xf numFmtId="0" fontId="102" fillId="0" borderId="38" xfId="300" applyFont="1" applyBorder="1"/>
    <xf numFmtId="0" fontId="18" fillId="0" borderId="0" xfId="300" applyFont="1" applyAlignment="1">
      <alignment horizontal="center" vertical="center"/>
    </xf>
    <xf numFmtId="0" fontId="14" fillId="0" borderId="0" xfId="300" applyFont="1" applyAlignment="1">
      <alignment vertical="center" wrapText="1"/>
    </xf>
    <xf numFmtId="0" fontId="14" fillId="0" borderId="0" xfId="300" applyFont="1" applyAlignment="1">
      <alignment horizontal="left" vertical="top"/>
    </xf>
    <xf numFmtId="0" fontId="14" fillId="0" borderId="0" xfId="300" quotePrefix="1" applyFont="1" applyAlignment="1">
      <alignment horizontal="left" vertical="center"/>
    </xf>
    <xf numFmtId="0" fontId="4" fillId="0" borderId="22" xfId="300" applyBorder="1"/>
    <xf numFmtId="0" fontId="4" fillId="0" borderId="1" xfId="300" applyBorder="1"/>
    <xf numFmtId="0" fontId="14" fillId="0" borderId="0" xfId="300" applyFont="1" applyAlignment="1">
      <alignment vertical="center"/>
    </xf>
    <xf numFmtId="0" fontId="4" fillId="0" borderId="0" xfId="300" applyAlignment="1">
      <alignment vertical="center"/>
    </xf>
    <xf numFmtId="0" fontId="14" fillId="0" borderId="0" xfId="300" quotePrefix="1" applyFont="1" applyAlignment="1">
      <alignment vertical="center"/>
    </xf>
    <xf numFmtId="165" fontId="16" fillId="0" borderId="0" xfId="300" applyNumberFormat="1" applyFont="1" applyAlignment="1">
      <alignment horizontal="center" vertical="center"/>
    </xf>
    <xf numFmtId="0" fontId="20" fillId="0" borderId="0" xfId="300" applyFont="1" applyAlignment="1">
      <alignment horizontal="left" vertical="top"/>
    </xf>
    <xf numFmtId="0" fontId="15" fillId="0" borderId="0" xfId="300" applyFont="1" applyAlignment="1">
      <alignment horizontal="left" vertical="center"/>
    </xf>
    <xf numFmtId="0" fontId="102" fillId="0" borderId="21" xfId="300" applyFont="1" applyBorder="1"/>
    <xf numFmtId="0" fontId="102" fillId="0" borderId="2" xfId="300" applyFont="1" applyBorder="1"/>
    <xf numFmtId="0" fontId="102" fillId="0" borderId="23" xfId="300" applyFont="1" applyBorder="1"/>
    <xf numFmtId="0" fontId="4" fillId="0" borderId="23" xfId="300" applyBorder="1"/>
    <xf numFmtId="0" fontId="4" fillId="0" borderId="2" xfId="300" applyBorder="1"/>
    <xf numFmtId="0" fontId="4" fillId="0" borderId="21" xfId="300" applyBorder="1"/>
    <xf numFmtId="0" fontId="14" fillId="11" borderId="19" xfId="23" applyFont="1" applyFill="1" applyBorder="1" applyAlignment="1">
      <alignment horizontal="left" vertical="center"/>
    </xf>
    <xf numFmtId="0" fontId="16" fillId="11" borderId="19" xfId="23" applyFont="1" applyFill="1" applyBorder="1" applyAlignment="1">
      <alignment vertical="center"/>
    </xf>
    <xf numFmtId="0" fontId="16" fillId="11" borderId="19" xfId="23" quotePrefix="1" applyFont="1" applyFill="1" applyBorder="1" applyAlignment="1">
      <alignment horizontal="left" vertical="center"/>
    </xf>
    <xf numFmtId="0" fontId="19" fillId="0" borderId="0" xfId="23" applyFont="1" applyAlignment="1">
      <alignment vertical="center"/>
    </xf>
    <xf numFmtId="0" fontId="14" fillId="0" borderId="0" xfId="23" applyFont="1" applyAlignment="1">
      <alignment horizontal="left" vertical="center" indent="1"/>
    </xf>
    <xf numFmtId="0" fontId="14" fillId="0" borderId="0" xfId="23" applyFont="1" applyAlignment="1">
      <alignment horizontal="right" vertical="center" indent="1"/>
    </xf>
    <xf numFmtId="1" fontId="14" fillId="0" borderId="0" xfId="23" applyNumberFormat="1" applyFont="1" applyAlignment="1">
      <alignment horizontal="left" vertical="center"/>
    </xf>
    <xf numFmtId="0" fontId="16" fillId="0" borderId="0" xfId="23" quotePrefix="1" applyFont="1" applyAlignment="1">
      <alignment horizontal="right" vertical="center"/>
    </xf>
    <xf numFmtId="0" fontId="14" fillId="0" borderId="0" xfId="23" quotePrefix="1" applyFont="1" applyAlignment="1">
      <alignment horizontal="center" vertical="center" wrapText="1"/>
    </xf>
    <xf numFmtId="0" fontId="15" fillId="0" borderId="0" xfId="23" quotePrefix="1" applyFont="1" applyAlignment="1">
      <alignment vertical="center"/>
    </xf>
    <xf numFmtId="0" fontId="14" fillId="0" borderId="0" xfId="23" quotePrefix="1" applyFont="1" applyAlignment="1">
      <alignment horizontal="left" vertical="center"/>
    </xf>
    <xf numFmtId="0" fontId="130" fillId="0" borderId="0" xfId="23" applyFont="1" applyAlignment="1">
      <alignment vertical="center"/>
    </xf>
    <xf numFmtId="0" fontId="158" fillId="0" borderId="0" xfId="300" applyFont="1"/>
    <xf numFmtId="0" fontId="141" fillId="0" borderId="0" xfId="300" quotePrefix="1" applyFont="1"/>
    <xf numFmtId="0" fontId="141" fillId="0" borderId="25" xfId="300" applyFont="1" applyBorder="1"/>
    <xf numFmtId="0" fontId="41" fillId="0" borderId="20" xfId="23" applyFont="1" applyBorder="1" applyAlignment="1">
      <alignment vertical="center"/>
    </xf>
    <xf numFmtId="165" fontId="16" fillId="0" borderId="20" xfId="23" applyNumberFormat="1" applyFont="1" applyBorder="1" applyAlignment="1">
      <alignment horizontal="center" vertical="center"/>
    </xf>
    <xf numFmtId="0" fontId="16" fillId="0" borderId="20" xfId="23" quotePrefix="1" applyFont="1" applyBorder="1" applyAlignment="1">
      <alignment horizontal="center" vertical="center" wrapText="1"/>
    </xf>
    <xf numFmtId="2" fontId="16" fillId="0" borderId="20" xfId="23" applyNumberFormat="1" applyFont="1" applyBorder="1" applyAlignment="1">
      <alignment horizontal="center" vertical="center"/>
    </xf>
    <xf numFmtId="0" fontId="16" fillId="0" borderId="20" xfId="23" applyFont="1" applyBorder="1" applyAlignment="1">
      <alignment horizontal="center" vertical="center"/>
    </xf>
    <xf numFmtId="1" fontId="16" fillId="0" borderId="20" xfId="23" applyNumberFormat="1" applyFont="1" applyBorder="1" applyAlignment="1">
      <alignment horizontal="center" vertical="center"/>
    </xf>
    <xf numFmtId="0" fontId="16" fillId="0" borderId="20" xfId="23" applyFont="1" applyBorder="1" applyAlignment="1">
      <alignment horizontal="right" vertical="center"/>
    </xf>
    <xf numFmtId="0" fontId="141" fillId="0" borderId="24" xfId="300" applyFont="1" applyBorder="1"/>
    <xf numFmtId="0" fontId="141" fillId="0" borderId="23" xfId="300" applyFont="1" applyBorder="1"/>
    <xf numFmtId="0" fontId="41" fillId="0" borderId="2" xfId="23" applyFont="1" applyBorder="1" applyAlignment="1">
      <alignment vertical="center"/>
    </xf>
    <xf numFmtId="165" fontId="16" fillId="0" borderId="2" xfId="23" applyNumberFormat="1" applyFont="1" applyBorder="1" applyAlignment="1">
      <alignment horizontal="center" vertical="center"/>
    </xf>
    <xf numFmtId="0" fontId="16" fillId="0" borderId="2" xfId="23" quotePrefix="1" applyFont="1" applyBorder="1" applyAlignment="1">
      <alignment horizontal="center" vertical="center" wrapText="1"/>
    </xf>
    <xf numFmtId="0" fontId="16" fillId="0" borderId="2" xfId="23" applyFont="1" applyBorder="1" applyAlignment="1">
      <alignment horizontal="center" vertical="center"/>
    </xf>
    <xf numFmtId="2" fontId="16" fillId="0" borderId="2" xfId="23" applyNumberFormat="1" applyFont="1" applyBorder="1" applyAlignment="1">
      <alignment horizontal="center" vertical="center"/>
    </xf>
    <xf numFmtId="0" fontId="16" fillId="0" borderId="2" xfId="23" applyFont="1" applyBorder="1" applyAlignment="1">
      <alignment vertical="center"/>
    </xf>
    <xf numFmtId="0" fontId="16" fillId="0" borderId="2" xfId="23" applyFont="1" applyBorder="1" applyAlignment="1">
      <alignment horizontal="right" vertical="center"/>
    </xf>
    <xf numFmtId="0" fontId="141" fillId="0" borderId="21" xfId="300" applyFont="1" applyBorder="1"/>
    <xf numFmtId="0" fontId="141" fillId="0" borderId="1" xfId="300" applyFont="1" applyBorder="1"/>
    <xf numFmtId="2" fontId="16" fillId="0" borderId="0" xfId="23" applyNumberFormat="1" applyFont="1" applyAlignment="1">
      <alignment horizontal="center" vertical="center"/>
    </xf>
    <xf numFmtId="0" fontId="141" fillId="0" borderId="22" xfId="300" applyFont="1" applyBorder="1"/>
    <xf numFmtId="0" fontId="41" fillId="0" borderId="0" xfId="23" applyFont="1" applyAlignment="1">
      <alignment vertical="center"/>
    </xf>
    <xf numFmtId="0" fontId="16" fillId="0" borderId="0" xfId="23" quotePrefix="1" applyFont="1" applyAlignment="1">
      <alignment horizontal="center" vertical="center" wrapText="1"/>
    </xf>
    <xf numFmtId="1" fontId="16" fillId="0" borderId="0" xfId="300" applyNumberFormat="1" applyFont="1"/>
    <xf numFmtId="181" fontId="14" fillId="0" borderId="0" xfId="23" applyNumberFormat="1" applyFont="1" applyAlignment="1">
      <alignment horizontal="center" vertical="center"/>
    </xf>
    <xf numFmtId="184" fontId="14" fillId="0" borderId="0" xfId="23" applyNumberFormat="1" applyFont="1" applyAlignment="1">
      <alignment horizontal="center" vertical="center"/>
    </xf>
    <xf numFmtId="0" fontId="42" fillId="0" borderId="0" xfId="23" applyFont="1" applyAlignment="1">
      <alignment vertical="center"/>
    </xf>
    <xf numFmtId="0" fontId="94" fillId="0" borderId="0" xfId="23" applyFont="1" applyAlignment="1">
      <alignment vertical="center"/>
    </xf>
    <xf numFmtId="0" fontId="14" fillId="0" borderId="0" xfId="55" applyFont="1" applyAlignment="1">
      <alignment horizontal="center" vertical="center"/>
    </xf>
    <xf numFmtId="0" fontId="94" fillId="0" borderId="0" xfId="23" applyFont="1" applyAlignment="1">
      <alignment horizontal="center" vertical="center" wrapText="1"/>
    </xf>
    <xf numFmtId="0" fontId="103" fillId="0" borderId="0" xfId="23" applyFont="1" applyAlignment="1">
      <alignment vertical="center"/>
    </xf>
    <xf numFmtId="0" fontId="22" fillId="0" borderId="0" xfId="43" applyFont="1" applyAlignment="1">
      <alignment vertical="center"/>
    </xf>
    <xf numFmtId="0" fontId="16" fillId="0" borderId="0" xfId="23" quotePrefix="1" applyFont="1" applyAlignment="1">
      <alignment vertical="center"/>
    </xf>
    <xf numFmtId="0" fontId="14" fillId="0" borderId="1" xfId="23" applyFont="1" applyBorder="1" applyAlignment="1">
      <alignment horizontal="left" vertical="center"/>
    </xf>
    <xf numFmtId="0" fontId="159" fillId="0" borderId="0" xfId="23" applyFont="1"/>
    <xf numFmtId="0" fontId="12" fillId="2" borderId="0" xfId="23" applyFill="1" applyAlignment="1">
      <alignment vertical="center" wrapText="1"/>
    </xf>
    <xf numFmtId="0" fontId="12" fillId="2" borderId="29" xfId="23" applyFill="1" applyBorder="1" applyAlignment="1">
      <alignment vertical="center" wrapText="1"/>
    </xf>
    <xf numFmtId="0" fontId="14" fillId="2" borderId="28" xfId="23" applyFont="1" applyFill="1" applyBorder="1" applyAlignment="1">
      <alignment vertical="center" wrapText="1"/>
    </xf>
    <xf numFmtId="0" fontId="34" fillId="0" borderId="0" xfId="23" applyFont="1" applyAlignment="1">
      <alignment vertical="center" wrapText="1"/>
    </xf>
    <xf numFmtId="0" fontId="97" fillId="0" borderId="0" xfId="23" applyFont="1" applyAlignment="1">
      <alignment vertical="center"/>
    </xf>
    <xf numFmtId="49" fontId="97" fillId="10" borderId="0" xfId="59" applyNumberFormat="1" applyFont="1" applyFill="1" applyAlignment="1">
      <alignment horizontal="left"/>
    </xf>
    <xf numFmtId="0" fontId="14" fillId="0" borderId="0" xfId="10" applyFont="1" applyAlignment="1">
      <alignment wrapText="1"/>
    </xf>
    <xf numFmtId="49" fontId="115" fillId="0" borderId="0" xfId="10" applyNumberFormat="1" applyFont="1" applyAlignment="1">
      <alignment vertical="center" wrapText="1"/>
    </xf>
    <xf numFmtId="0" fontId="115" fillId="0" borderId="0" xfId="10" applyFont="1" applyAlignment="1">
      <alignment vertical="center" wrapText="1"/>
    </xf>
    <xf numFmtId="2" fontId="14" fillId="0" borderId="0" xfId="10" applyNumberFormat="1" applyFont="1" applyAlignment="1">
      <alignment horizontal="center" vertical="center" wrapText="1"/>
    </xf>
    <xf numFmtId="0" fontId="14" fillId="18" borderId="0" xfId="23" applyFont="1" applyFill="1" applyAlignment="1">
      <alignment vertical="center"/>
    </xf>
    <xf numFmtId="1" fontId="14" fillId="17" borderId="4" xfId="0" applyNumberFormat="1" applyFont="1" applyFill="1" applyBorder="1" applyAlignment="1" applyProtection="1">
      <alignment horizontal="center" vertical="center"/>
      <protection locked="0"/>
    </xf>
    <xf numFmtId="0" fontId="148" fillId="0" borderId="0" xfId="43" applyFont="1" applyAlignment="1">
      <alignment horizontal="left" vertical="center"/>
    </xf>
    <xf numFmtId="0" fontId="143" fillId="11" borderId="19" xfId="43" applyFont="1" applyFill="1" applyBorder="1" applyAlignment="1">
      <alignment vertical="center"/>
    </xf>
    <xf numFmtId="0" fontId="160" fillId="11" borderId="19" xfId="43" applyFont="1" applyFill="1" applyBorder="1" applyAlignment="1">
      <alignment vertical="center"/>
    </xf>
    <xf numFmtId="0" fontId="117" fillId="11" borderId="19" xfId="300" applyFont="1" applyFill="1" applyBorder="1"/>
    <xf numFmtId="0" fontId="122" fillId="0" borderId="0" xfId="0" applyFont="1"/>
    <xf numFmtId="0" fontId="14" fillId="10" borderId="0" xfId="43" applyFont="1" applyFill="1" applyAlignment="1">
      <alignment horizontal="center" vertical="center"/>
    </xf>
    <xf numFmtId="0" fontId="117" fillId="0" borderId="61" xfId="43" applyFont="1" applyBorder="1" applyAlignment="1">
      <alignment vertical="center"/>
    </xf>
    <xf numFmtId="0" fontId="15" fillId="0" borderId="64" xfId="0" applyFont="1" applyBorder="1" applyAlignment="1">
      <alignment vertical="center" wrapText="1"/>
    </xf>
    <xf numFmtId="0" fontId="117" fillId="0" borderId="62" xfId="43" applyFont="1" applyBorder="1" applyAlignment="1">
      <alignment vertical="center"/>
    </xf>
    <xf numFmtId="0" fontId="148" fillId="0" borderId="64" xfId="43" applyFont="1" applyBorder="1" applyAlignment="1">
      <alignment horizontal="left" vertical="center"/>
    </xf>
    <xf numFmtId="0" fontId="143" fillId="0" borderId="0" xfId="43" applyFont="1" applyAlignment="1">
      <alignment vertical="center"/>
    </xf>
    <xf numFmtId="16" fontId="14" fillId="0" borderId="0" xfId="23" quotePrefix="1" applyNumberFormat="1" applyFont="1" applyAlignment="1">
      <alignment horizontal="center" vertical="center"/>
    </xf>
    <xf numFmtId="2" fontId="22" fillId="19" borderId="8" xfId="23" applyNumberFormat="1" applyFont="1" applyFill="1" applyBorder="1" applyProtection="1">
      <protection locked="0"/>
    </xf>
    <xf numFmtId="0" fontId="102" fillId="0" borderId="0" xfId="43" applyFont="1" applyAlignment="1">
      <alignment horizontal="right" vertical="center"/>
    </xf>
    <xf numFmtId="0" fontId="102" fillId="0" borderId="0" xfId="43" applyFont="1" applyAlignment="1">
      <alignment vertical="center"/>
    </xf>
    <xf numFmtId="0" fontId="16" fillId="10" borderId="0" xfId="43" applyFont="1" applyFill="1" applyAlignment="1">
      <alignment vertical="center"/>
    </xf>
    <xf numFmtId="0" fontId="120" fillId="0" borderId="0" xfId="43" applyFont="1" applyAlignment="1">
      <alignment vertical="center"/>
    </xf>
    <xf numFmtId="0" fontId="14" fillId="0" borderId="0" xfId="43" applyFont="1" applyAlignment="1">
      <alignment horizontal="right" vertical="top"/>
    </xf>
    <xf numFmtId="0" fontId="14" fillId="0" borderId="0" xfId="43" applyFont="1" applyAlignment="1">
      <alignment horizontal="left" vertical="top" wrapText="1"/>
    </xf>
    <xf numFmtId="0" fontId="102" fillId="7" borderId="8" xfId="300" applyFont="1" applyFill="1" applyBorder="1" applyAlignment="1" applyProtection="1">
      <alignment horizontal="center"/>
      <protection locked="0"/>
    </xf>
    <xf numFmtId="0" fontId="102" fillId="7" borderId="8" xfId="300" applyFont="1" applyFill="1" applyBorder="1" applyProtection="1">
      <protection locked="0"/>
    </xf>
    <xf numFmtId="0" fontId="161" fillId="0" borderId="0" xfId="23" applyFont="1" applyAlignment="1">
      <alignment vertical="center"/>
    </xf>
    <xf numFmtId="0" fontId="14" fillId="0" borderId="85" xfId="23" applyFont="1" applyBorder="1" applyAlignment="1">
      <alignment vertical="top" wrapText="1"/>
    </xf>
    <xf numFmtId="1" fontId="16" fillId="0" borderId="68" xfId="0" applyNumberFormat="1" applyFont="1" applyBorder="1"/>
    <xf numFmtId="0" fontId="14" fillId="0" borderId="68" xfId="23" applyFont="1" applyBorder="1" applyAlignment="1">
      <alignment vertical="center"/>
    </xf>
    <xf numFmtId="167" fontId="14" fillId="0" borderId="68" xfId="23" applyNumberFormat="1" applyFont="1" applyBorder="1" applyAlignment="1">
      <alignment horizontal="center" vertical="center"/>
    </xf>
    <xf numFmtId="0" fontId="14" fillId="0" borderId="68" xfId="23" applyFont="1" applyBorder="1" applyAlignment="1">
      <alignment horizontal="left" vertical="center"/>
    </xf>
    <xf numFmtId="165" fontId="14" fillId="0" borderId="68" xfId="23" applyNumberFormat="1" applyFont="1" applyBorder="1" applyAlignment="1">
      <alignment horizontal="center" vertical="center"/>
    </xf>
    <xf numFmtId="1" fontId="14" fillId="0" borderId="68" xfId="23" applyNumberFormat="1" applyFont="1" applyBorder="1" applyAlignment="1">
      <alignment horizontal="center" vertical="center"/>
    </xf>
    <xf numFmtId="1" fontId="12" fillId="0" borderId="68" xfId="23" applyNumberFormat="1" applyBorder="1" applyAlignment="1">
      <alignment vertical="center"/>
    </xf>
    <xf numFmtId="0" fontId="14" fillId="0" borderId="68" xfId="10" applyFont="1" applyBorder="1" applyAlignment="1">
      <alignment vertical="center"/>
    </xf>
    <xf numFmtId="0" fontId="16" fillId="0" borderId="69" xfId="10" applyFont="1" applyBorder="1" applyAlignment="1">
      <alignment vertical="center"/>
    </xf>
    <xf numFmtId="0" fontId="14" fillId="0" borderId="69" xfId="10" applyFont="1" applyBorder="1" applyAlignment="1">
      <alignment vertical="center"/>
    </xf>
    <xf numFmtId="167" fontId="14" fillId="0" borderId="69" xfId="10" applyNumberFormat="1" applyFont="1" applyBorder="1" applyAlignment="1">
      <alignment horizontal="center" vertical="center"/>
    </xf>
    <xf numFmtId="0" fontId="14" fillId="0" borderId="69" xfId="10" applyFont="1" applyBorder="1" applyAlignment="1">
      <alignment horizontal="left" vertical="center"/>
    </xf>
    <xf numFmtId="165" fontId="14" fillId="0" borderId="69" xfId="10" applyNumberFormat="1" applyFont="1" applyBorder="1" applyAlignment="1">
      <alignment horizontal="center" vertical="center"/>
    </xf>
    <xf numFmtId="1" fontId="14" fillId="0" borderId="69" xfId="10" applyNumberFormat="1" applyFont="1" applyBorder="1" applyAlignment="1">
      <alignment horizontal="center" vertical="center"/>
    </xf>
    <xf numFmtId="1" fontId="12" fillId="0" borderId="69" xfId="10" applyNumberFormat="1" applyFont="1" applyBorder="1" applyAlignment="1">
      <alignment vertical="center"/>
    </xf>
    <xf numFmtId="0" fontId="16" fillId="0" borderId="69" xfId="23" applyFont="1" applyBorder="1" applyAlignment="1">
      <alignment vertical="center"/>
    </xf>
    <xf numFmtId="0" fontId="14" fillId="0" borderId="69" xfId="23" applyFont="1" applyBorder="1" applyAlignment="1">
      <alignment vertical="top" wrapText="1"/>
    </xf>
    <xf numFmtId="0" fontId="14" fillId="0" borderId="69" xfId="23" applyFont="1" applyBorder="1" applyAlignment="1">
      <alignment horizontal="left" vertical="center"/>
    </xf>
    <xf numFmtId="0" fontId="14" fillId="0" borderId="69" xfId="23" applyFont="1" applyBorder="1" applyAlignment="1">
      <alignment vertical="center"/>
    </xf>
    <xf numFmtId="0" fontId="97" fillId="0" borderId="1" xfId="0" applyFont="1" applyBorder="1"/>
    <xf numFmtId="2" fontId="14" fillId="11" borderId="8" xfId="55" applyNumberFormat="1" applyFont="1" applyFill="1" applyBorder="1" applyAlignment="1">
      <alignment horizontal="center" vertical="center"/>
    </xf>
    <xf numFmtId="0" fontId="14" fillId="0" borderId="84" xfId="23" applyFont="1" applyBorder="1" applyAlignment="1">
      <alignment vertical="center"/>
    </xf>
    <xf numFmtId="167" fontId="14" fillId="0" borderId="68" xfId="23" applyNumberFormat="1" applyFont="1" applyBorder="1" applyAlignment="1">
      <alignment vertical="center"/>
    </xf>
    <xf numFmtId="169" fontId="14" fillId="0" borderId="68" xfId="23" applyNumberFormat="1" applyFont="1" applyBorder="1" applyAlignment="1">
      <alignment horizontal="center" vertical="center"/>
    </xf>
    <xf numFmtId="0" fontId="22" fillId="0" borderId="68" xfId="23" applyFont="1" applyBorder="1" applyAlignment="1">
      <alignment horizontal="left" vertical="center"/>
    </xf>
    <xf numFmtId="0" fontId="22" fillId="0" borderId="68" xfId="23" applyFont="1" applyBorder="1" applyAlignment="1">
      <alignment vertical="center"/>
    </xf>
    <xf numFmtId="49" fontId="16" fillId="0" borderId="69" xfId="23" applyNumberFormat="1" applyFont="1" applyBorder="1" applyAlignment="1">
      <alignment horizontal="left" vertical="center"/>
    </xf>
    <xf numFmtId="1" fontId="14" fillId="0" borderId="69" xfId="23" applyNumberFormat="1" applyFont="1" applyBorder="1" applyAlignment="1">
      <alignment horizontal="center" vertical="center"/>
    </xf>
    <xf numFmtId="0" fontId="162" fillId="0" borderId="0" xfId="0" applyFont="1"/>
    <xf numFmtId="0" fontId="16" fillId="11" borderId="18" xfId="23" quotePrefix="1" applyFont="1" applyFill="1" applyBorder="1" applyAlignment="1">
      <alignment horizontal="left" vertical="center"/>
    </xf>
    <xf numFmtId="0" fontId="130" fillId="11" borderId="19" xfId="23" applyFont="1" applyFill="1" applyBorder="1" applyAlignment="1">
      <alignment vertical="center"/>
    </xf>
    <xf numFmtId="0" fontId="19" fillId="11" borderId="14" xfId="23" applyFont="1" applyFill="1" applyBorder="1" applyAlignment="1">
      <alignment vertical="center"/>
    </xf>
    <xf numFmtId="0" fontId="4" fillId="11" borderId="19" xfId="300" applyFill="1" applyBorder="1"/>
    <xf numFmtId="0" fontId="163" fillId="0" borderId="0" xfId="300" applyFont="1"/>
    <xf numFmtId="0" fontId="141" fillId="11" borderId="18" xfId="300" quotePrefix="1" applyFont="1" applyFill="1" applyBorder="1"/>
    <xf numFmtId="0" fontId="14" fillId="11" borderId="14" xfId="23" applyFont="1" applyFill="1" applyBorder="1" applyAlignment="1">
      <alignment horizontal="left" vertical="center"/>
    </xf>
    <xf numFmtId="0" fontId="165" fillId="0" borderId="18" xfId="300" applyFont="1" applyBorder="1"/>
    <xf numFmtId="0" fontId="165" fillId="0" borderId="19" xfId="300" applyFont="1" applyBorder="1"/>
    <xf numFmtId="0" fontId="58" fillId="0" borderId="14" xfId="23" applyFont="1" applyBorder="1"/>
    <xf numFmtId="0" fontId="136" fillId="0" borderId="0" xfId="300" applyFont="1"/>
    <xf numFmtId="0" fontId="14" fillId="18" borderId="0" xfId="0" applyFont="1" applyFill="1" applyAlignment="1">
      <alignment horizontal="center" vertical="center"/>
    </xf>
    <xf numFmtId="0" fontId="14" fillId="0" borderId="30" xfId="23" applyFont="1" applyBorder="1"/>
    <xf numFmtId="0" fontId="14" fillId="0" borderId="28" xfId="23" applyFont="1" applyBorder="1"/>
    <xf numFmtId="0" fontId="25" fillId="0" borderId="28" xfId="23" applyFont="1" applyBorder="1" applyAlignment="1">
      <alignment vertical="center"/>
    </xf>
    <xf numFmtId="0" fontId="25" fillId="0" borderId="29" xfId="23" applyFont="1" applyBorder="1" applyAlignment="1">
      <alignment vertical="center"/>
    </xf>
    <xf numFmtId="0" fontId="17" fillId="0" borderId="0" xfId="23" applyFont="1"/>
    <xf numFmtId="0" fontId="22" fillId="21" borderId="0" xfId="23" applyFont="1" applyFill="1" applyAlignment="1">
      <alignment horizontal="center" wrapText="1"/>
    </xf>
    <xf numFmtId="165" fontId="22" fillId="19" borderId="8" xfId="23" applyNumberFormat="1" applyFont="1" applyFill="1" applyBorder="1" applyAlignment="1">
      <alignment horizontal="center"/>
    </xf>
    <xf numFmtId="165" fontId="22" fillId="11" borderId="8" xfId="23" applyNumberFormat="1" applyFont="1" applyFill="1" applyBorder="1" applyAlignment="1">
      <alignment horizontal="center"/>
    </xf>
    <xf numFmtId="1" fontId="22" fillId="11" borderId="8" xfId="23" applyNumberFormat="1" applyFont="1" applyFill="1" applyBorder="1" applyAlignment="1">
      <alignment horizontal="center"/>
    </xf>
    <xf numFmtId="165" fontId="22" fillId="7" borderId="8" xfId="23" applyNumberFormat="1" applyFont="1" applyFill="1" applyBorder="1" applyAlignment="1" applyProtection="1">
      <alignment horizontal="center"/>
      <protection locked="0"/>
    </xf>
    <xf numFmtId="0" fontId="144" fillId="0" borderId="0" xfId="23" applyFont="1" applyAlignment="1">
      <alignment horizontal="left"/>
    </xf>
    <xf numFmtId="0" fontId="145" fillId="0" borderId="0" xfId="23" applyFont="1" applyAlignment="1">
      <alignment horizontal="left" vertical="top"/>
    </xf>
    <xf numFmtId="165" fontId="14" fillId="11" borderId="8" xfId="23" applyNumberFormat="1" applyFont="1" applyFill="1" applyBorder="1" applyAlignment="1">
      <alignment horizontal="center"/>
    </xf>
    <xf numFmtId="0" fontId="22" fillId="11" borderId="8" xfId="23" applyFont="1" applyFill="1" applyBorder="1" applyAlignment="1">
      <alignment horizontal="center"/>
    </xf>
    <xf numFmtId="0" fontId="14" fillId="11" borderId="8" xfId="23" applyFont="1" applyFill="1" applyBorder="1"/>
    <xf numFmtId="0" fontId="22" fillId="0" borderId="4" xfId="23" applyFont="1" applyBorder="1"/>
    <xf numFmtId="165" fontId="14" fillId="11" borderId="8" xfId="23" applyNumberFormat="1" applyFont="1" applyFill="1" applyBorder="1"/>
    <xf numFmtId="0" fontId="22" fillId="0" borderId="1" xfId="23" applyFont="1" applyBorder="1" applyAlignment="1">
      <alignment vertical="top" wrapText="1"/>
    </xf>
    <xf numFmtId="0" fontId="22" fillId="10" borderId="0" xfId="23" applyFont="1" applyFill="1" applyAlignment="1">
      <alignment horizontal="left"/>
    </xf>
    <xf numFmtId="0" fontId="22" fillId="7" borderId="0" xfId="23" applyFont="1" applyFill="1" applyAlignment="1">
      <alignment vertical="top" wrapText="1"/>
    </xf>
    <xf numFmtId="165" fontId="22" fillId="5" borderId="0" xfId="23" applyNumberFormat="1" applyFont="1" applyFill="1" applyAlignment="1">
      <alignment horizontal="center"/>
    </xf>
    <xf numFmtId="0" fontId="22" fillId="21" borderId="0" xfId="23" applyFont="1" applyFill="1" applyAlignment="1">
      <alignment vertical="top" wrapText="1"/>
    </xf>
    <xf numFmtId="0" fontId="22" fillId="21" borderId="0" xfId="23" applyFont="1" applyFill="1"/>
    <xf numFmtId="0" fontId="22" fillId="21" borderId="0" xfId="23" applyFont="1" applyFill="1" applyAlignment="1">
      <alignment wrapText="1"/>
    </xf>
    <xf numFmtId="0" fontId="14" fillId="0" borderId="2" xfId="10" applyFont="1" applyBorder="1" applyAlignment="1">
      <alignment vertical="top" wrapText="1"/>
    </xf>
    <xf numFmtId="0" fontId="14" fillId="0" borderId="23" xfId="10" applyFont="1" applyBorder="1" applyAlignment="1">
      <alignment vertical="top" wrapText="1"/>
    </xf>
    <xf numFmtId="0" fontId="14" fillId="0" borderId="0" xfId="10" applyFont="1" applyAlignment="1">
      <alignment vertical="top" wrapText="1"/>
    </xf>
    <xf numFmtId="0" fontId="14" fillId="7" borderId="0" xfId="10" applyFont="1" applyFill="1" applyAlignment="1">
      <alignment horizontal="center" vertical="top" wrapText="1"/>
    </xf>
    <xf numFmtId="0" fontId="110" fillId="0" borderId="1" xfId="0" applyFont="1" applyBorder="1" applyAlignment="1">
      <alignment vertical="center" wrapText="1"/>
    </xf>
    <xf numFmtId="0" fontId="97" fillId="0" borderId="2" xfId="0" applyFont="1" applyBorder="1" applyAlignment="1">
      <alignment vertical="center"/>
    </xf>
    <xf numFmtId="0" fontId="97" fillId="0" borderId="2" xfId="0" applyFont="1" applyBorder="1"/>
    <xf numFmtId="0" fontId="97" fillId="0" borderId="23" xfId="0" applyFont="1" applyBorder="1"/>
    <xf numFmtId="0" fontId="19" fillId="0" borderId="86" xfId="0" applyFont="1" applyBorder="1" applyAlignment="1">
      <alignment horizontal="center" vertical="center"/>
    </xf>
    <xf numFmtId="0" fontId="14" fillId="0" borderId="64" xfId="23" applyFont="1" applyBorder="1" applyAlignment="1">
      <alignment vertical="center" wrapText="1"/>
    </xf>
    <xf numFmtId="0" fontId="35" fillId="0" borderId="0" xfId="23" quotePrefix="1" applyFont="1" applyAlignment="1">
      <alignment horizontal="right" vertical="center"/>
    </xf>
    <xf numFmtId="0" fontId="117" fillId="0" borderId="0" xfId="0" applyFont="1" applyAlignment="1">
      <alignment horizontal="center" vertical="center" wrapText="1"/>
    </xf>
    <xf numFmtId="0" fontId="15" fillId="0" borderId="0" xfId="23" applyFont="1" applyAlignment="1">
      <alignment horizontal="center" vertical="center" wrapText="1"/>
    </xf>
    <xf numFmtId="0" fontId="14" fillId="0" borderId="0" xfId="0" applyFont="1" applyAlignment="1">
      <alignment horizontal="left" vertical="top" wrapText="1"/>
    </xf>
    <xf numFmtId="168" fontId="16" fillId="0" borderId="0" xfId="10" applyNumberFormat="1" applyFont="1" applyAlignment="1">
      <alignment horizontal="center"/>
    </xf>
    <xf numFmtId="0" fontId="15" fillId="0" borderId="0" xfId="0" applyFont="1" applyAlignment="1">
      <alignment horizontal="center" vertical="center" wrapText="1"/>
    </xf>
    <xf numFmtId="168" fontId="14" fillId="0" borderId="0" xfId="23" applyNumberFormat="1" applyFont="1" applyAlignment="1">
      <alignment horizontal="left" vertical="center"/>
    </xf>
    <xf numFmtId="49" fontId="14" fillId="0" borderId="0" xfId="0" applyNumberFormat="1" applyFont="1" applyAlignment="1">
      <alignment vertical="center"/>
    </xf>
    <xf numFmtId="0" fontId="14" fillId="0" borderId="0" xfId="0" quotePrefix="1" applyFont="1" applyAlignment="1">
      <alignment horizontal="center" vertical="center" wrapText="1"/>
    </xf>
    <xf numFmtId="0" fontId="14" fillId="0" borderId="27" xfId="0" applyFont="1" applyBorder="1" applyAlignment="1">
      <alignment vertical="center"/>
    </xf>
    <xf numFmtId="0" fontId="19" fillId="0" borderId="49" xfId="0" applyFont="1" applyBorder="1" applyAlignment="1">
      <alignment vertical="center"/>
    </xf>
    <xf numFmtId="49" fontId="126" fillId="0" borderId="41" xfId="0" applyNumberFormat="1" applyFont="1" applyBorder="1" applyAlignment="1">
      <alignment horizontal="left" vertical="center"/>
    </xf>
    <xf numFmtId="0" fontId="19" fillId="0" borderId="41" xfId="0" applyFont="1" applyBorder="1"/>
    <xf numFmtId="0" fontId="14" fillId="0" borderId="41" xfId="0" applyFont="1" applyBorder="1" applyAlignment="1">
      <alignment vertical="center" wrapText="1"/>
    </xf>
    <xf numFmtId="0" fontId="14" fillId="0" borderId="41" xfId="0" applyFont="1" applyBorder="1"/>
    <xf numFmtId="0" fontId="16" fillId="0" borderId="0" xfId="0" applyFont="1" applyAlignment="1">
      <alignment vertical="center"/>
    </xf>
    <xf numFmtId="49" fontId="16" fillId="0" borderId="0" xfId="0" applyNumberFormat="1" applyFont="1" applyAlignment="1">
      <alignment horizontal="center" vertical="center"/>
    </xf>
    <xf numFmtId="49" fontId="16" fillId="0" borderId="0" xfId="0" applyNumberFormat="1" applyFont="1" applyAlignment="1">
      <alignment horizontal="center" vertical="center" wrapText="1"/>
    </xf>
    <xf numFmtId="49" fontId="16" fillId="0" borderId="0" xfId="0" applyNumberFormat="1" applyFont="1" applyAlignment="1">
      <alignment vertical="center"/>
    </xf>
    <xf numFmtId="49" fontId="14" fillId="0" borderId="0" xfId="0" applyNumberFormat="1" applyFont="1" applyAlignment="1">
      <alignment horizontal="right" vertical="center"/>
    </xf>
    <xf numFmtId="0" fontId="16" fillId="0" borderId="0" xfId="0" applyFont="1" applyAlignment="1">
      <alignment horizontal="right" vertical="center"/>
    </xf>
    <xf numFmtId="0" fontId="14" fillId="0" borderId="0" xfId="0" applyFont="1" applyAlignment="1" applyProtection="1">
      <alignment vertical="center"/>
      <protection hidden="1"/>
    </xf>
    <xf numFmtId="49" fontId="16" fillId="0" borderId="0" xfId="0" applyNumberFormat="1" applyFont="1" applyAlignment="1">
      <alignment horizontal="right" vertical="center"/>
    </xf>
    <xf numFmtId="0" fontId="130" fillId="0" borderId="0" xfId="0" applyFont="1" applyAlignment="1">
      <alignment vertical="center"/>
    </xf>
    <xf numFmtId="0" fontId="103" fillId="0" borderId="0" xfId="0" applyFont="1" applyAlignment="1">
      <alignment vertical="center"/>
    </xf>
    <xf numFmtId="0" fontId="22" fillId="0" borderId="0" xfId="23" applyFont="1" applyAlignment="1">
      <alignment horizontal="right" vertical="center"/>
    </xf>
    <xf numFmtId="0" fontId="143" fillId="11" borderId="39" xfId="43" applyFont="1" applyFill="1" applyBorder="1" applyAlignment="1">
      <alignment vertical="center"/>
    </xf>
    <xf numFmtId="0" fontId="117" fillId="0" borderId="1" xfId="43" applyFont="1" applyBorder="1" applyAlignment="1">
      <alignment vertical="center"/>
    </xf>
    <xf numFmtId="0" fontId="148" fillId="0" borderId="1" xfId="43" applyFont="1" applyBorder="1" applyAlignment="1">
      <alignment horizontal="left" vertical="center"/>
    </xf>
    <xf numFmtId="165" fontId="14" fillId="0" borderId="0" xfId="0" applyNumberFormat="1" applyFont="1" applyAlignment="1">
      <alignment horizontal="right" vertical="center"/>
    </xf>
    <xf numFmtId="165" fontId="14" fillId="0" borderId="0" xfId="0" applyNumberFormat="1" applyFont="1" applyAlignment="1">
      <alignment vertical="center"/>
    </xf>
    <xf numFmtId="0" fontId="16" fillId="0" borderId="0" xfId="0" applyFont="1" applyAlignment="1" applyProtection="1">
      <alignment vertical="center"/>
      <protection hidden="1"/>
    </xf>
    <xf numFmtId="174" fontId="16" fillId="0" borderId="0" xfId="0" applyNumberFormat="1" applyFont="1" applyAlignment="1" applyProtection="1">
      <alignment horizontal="center" vertical="center"/>
      <protection hidden="1"/>
    </xf>
    <xf numFmtId="0" fontId="52" fillId="0" borderId="0" xfId="0" applyFont="1" applyAlignment="1">
      <alignment vertical="center"/>
    </xf>
    <xf numFmtId="0" fontId="52" fillId="0" borderId="0" xfId="0" applyFont="1" applyAlignment="1">
      <alignment horizontal="left" vertical="center"/>
    </xf>
    <xf numFmtId="0" fontId="94" fillId="0" borderId="0" xfId="0" applyFont="1" applyAlignment="1">
      <alignment vertical="center" wrapText="1"/>
    </xf>
    <xf numFmtId="0" fontId="94" fillId="0" borderId="0" xfId="0" applyFont="1" applyAlignment="1">
      <alignment vertical="center"/>
    </xf>
    <xf numFmtId="0" fontId="14" fillId="0" borderId="0" xfId="55" applyFont="1" applyAlignment="1">
      <alignment vertical="center"/>
    </xf>
    <xf numFmtId="0" fontId="14" fillId="0" borderId="0" xfId="55" applyFont="1" applyAlignment="1">
      <alignment horizontal="left" vertical="center"/>
    </xf>
    <xf numFmtId="0" fontId="14" fillId="0" borderId="0" xfId="55" applyFont="1" applyAlignment="1">
      <alignment horizontal="right" vertical="center"/>
    </xf>
    <xf numFmtId="1" fontId="14" fillId="0" borderId="0" xfId="0" applyNumberFormat="1" applyFont="1" applyAlignment="1">
      <alignment vertical="center"/>
    </xf>
    <xf numFmtId="0" fontId="92" fillId="0" borderId="0" xfId="0" applyFont="1" applyAlignment="1">
      <alignment vertical="center"/>
    </xf>
    <xf numFmtId="0" fontId="92" fillId="0" borderId="0" xfId="0" applyFont="1" applyAlignment="1">
      <alignment horizontal="right" vertical="center"/>
    </xf>
    <xf numFmtId="0" fontId="14" fillId="0" borderId="0" xfId="0" quotePrefix="1" applyFont="1" applyAlignment="1">
      <alignment horizontal="right" vertical="center" wrapText="1"/>
    </xf>
    <xf numFmtId="0" fontId="16" fillId="0" borderId="0" xfId="0" quotePrefix="1" applyFont="1" applyAlignment="1">
      <alignment horizontal="right" vertical="center"/>
    </xf>
    <xf numFmtId="0" fontId="15" fillId="0" borderId="0" xfId="0" quotePrefix="1" applyFont="1" applyAlignment="1">
      <alignment vertical="center"/>
    </xf>
    <xf numFmtId="1" fontId="14" fillId="0" borderId="0" xfId="0" applyNumberFormat="1" applyFont="1" applyAlignment="1">
      <alignment horizontal="right" vertical="center"/>
    </xf>
    <xf numFmtId="0" fontId="14" fillId="0" borderId="0" xfId="0" applyFont="1" applyAlignment="1" applyProtection="1">
      <alignment vertical="center" wrapText="1"/>
      <protection hidden="1"/>
    </xf>
    <xf numFmtId="0" fontId="16" fillId="3" borderId="0" xfId="0" applyFont="1" applyFill="1" applyAlignment="1">
      <alignment horizontal="left" vertical="center"/>
    </xf>
    <xf numFmtId="173" fontId="14" fillId="3" borderId="0" xfId="0" applyNumberFormat="1" applyFont="1" applyFill="1" applyAlignment="1">
      <alignment horizontal="center" vertical="center"/>
    </xf>
    <xf numFmtId="173" fontId="14" fillId="3" borderId="0" xfId="0" applyNumberFormat="1" applyFont="1" applyFill="1" applyAlignment="1">
      <alignment vertical="center"/>
    </xf>
    <xf numFmtId="0" fontId="14" fillId="0" borderId="0" xfId="0" applyFont="1" applyAlignment="1">
      <alignment horizontal="center" vertical="top"/>
    </xf>
    <xf numFmtId="0" fontId="16" fillId="0" borderId="0" xfId="0" applyFont="1" applyAlignment="1" applyProtection="1">
      <alignment horizontal="center" vertical="center"/>
      <protection hidden="1"/>
    </xf>
    <xf numFmtId="0" fontId="16" fillId="11" borderId="33" xfId="0" applyFont="1" applyFill="1" applyBorder="1" applyAlignment="1">
      <alignment horizontal="left" vertical="center"/>
    </xf>
    <xf numFmtId="0" fontId="15" fillId="11" borderId="33" xfId="0" applyFont="1" applyFill="1" applyBorder="1" applyAlignment="1">
      <alignment vertical="center"/>
    </xf>
    <xf numFmtId="0" fontId="12" fillId="11" borderId="33" xfId="0" applyFont="1" applyFill="1" applyBorder="1" applyAlignment="1">
      <alignment vertical="center"/>
    </xf>
    <xf numFmtId="0" fontId="14" fillId="11" borderId="33" xfId="0" applyFont="1" applyFill="1" applyBorder="1" applyAlignment="1">
      <alignment vertical="center" wrapText="1"/>
    </xf>
    <xf numFmtId="0" fontId="42" fillId="0" borderId="2" xfId="23" applyFont="1" applyBorder="1"/>
    <xf numFmtId="0" fontId="42" fillId="0" borderId="23" xfId="23" applyFont="1" applyBorder="1"/>
    <xf numFmtId="167" fontId="14" fillId="0" borderId="0" xfId="23" applyNumberFormat="1" applyFont="1" applyAlignment="1">
      <alignment horizontal="center" vertical="center"/>
    </xf>
    <xf numFmtId="1" fontId="16" fillId="0" borderId="0" xfId="0" applyNumberFormat="1" applyFont="1"/>
    <xf numFmtId="0" fontId="14" fillId="0" borderId="0" xfId="23" applyFont="1" applyAlignment="1" applyProtection="1">
      <alignment vertical="center"/>
      <protection hidden="1"/>
    </xf>
    <xf numFmtId="169" fontId="14" fillId="0" borderId="0" xfId="23" applyNumberFormat="1" applyFont="1" applyAlignment="1" applyProtection="1">
      <alignment vertical="center"/>
      <protection hidden="1"/>
    </xf>
    <xf numFmtId="0" fontId="12" fillId="0" borderId="0" xfId="23" applyAlignment="1" applyProtection="1">
      <alignment vertical="center"/>
      <protection hidden="1"/>
    </xf>
    <xf numFmtId="165" fontId="14" fillId="0" borderId="0" xfId="23" applyNumberFormat="1" applyFont="1" applyAlignment="1" applyProtection="1">
      <alignment vertical="center"/>
      <protection hidden="1"/>
    </xf>
    <xf numFmtId="165" fontId="14" fillId="0" borderId="0" xfId="23" applyNumberFormat="1" applyFont="1" applyAlignment="1" applyProtection="1">
      <alignment horizontal="left" vertical="center"/>
      <protection hidden="1"/>
    </xf>
    <xf numFmtId="0" fontId="14" fillId="0" borderId="0" xfId="23" applyFont="1" applyAlignment="1" applyProtection="1">
      <alignment horizontal="left" vertical="center"/>
      <protection hidden="1"/>
    </xf>
    <xf numFmtId="169" fontId="14" fillId="0" borderId="0" xfId="23" applyNumberFormat="1" applyFont="1" applyAlignment="1" applyProtection="1">
      <alignment horizontal="left" vertical="center"/>
      <protection hidden="1"/>
    </xf>
    <xf numFmtId="0" fontId="12" fillId="0" borderId="0" xfId="23" applyAlignment="1" applyProtection="1">
      <alignment horizontal="left" vertical="center"/>
      <protection hidden="1"/>
    </xf>
    <xf numFmtId="0" fontId="14" fillId="0" borderId="0" xfId="23" applyFont="1" applyAlignment="1">
      <alignment horizontal="center" vertical="center" wrapText="1"/>
    </xf>
    <xf numFmtId="167" fontId="17" fillId="0" borderId="0" xfId="23" applyNumberFormat="1" applyFont="1" applyAlignment="1">
      <alignment horizontal="center" vertical="center"/>
    </xf>
    <xf numFmtId="0" fontId="12" fillId="0" borderId="0" xfId="23" applyAlignment="1">
      <alignment vertical="center" wrapText="1"/>
    </xf>
    <xf numFmtId="0" fontId="16" fillId="0" borderId="87" xfId="23" applyFont="1" applyBorder="1" applyAlignment="1">
      <alignment vertical="center"/>
    </xf>
    <xf numFmtId="0" fontId="14" fillId="0" borderId="88" xfId="23" applyFont="1" applyBorder="1" applyAlignment="1">
      <alignment vertical="center"/>
    </xf>
    <xf numFmtId="0" fontId="16" fillId="0" borderId="89" xfId="23" applyFont="1" applyBorder="1" applyAlignment="1">
      <alignment vertical="center"/>
    </xf>
    <xf numFmtId="0" fontId="14" fillId="0" borderId="90" xfId="23" applyFont="1" applyBorder="1" applyAlignment="1">
      <alignment vertical="center"/>
    </xf>
    <xf numFmtId="0" fontId="16" fillId="0" borderId="0" xfId="23" applyFont="1" applyAlignment="1" applyProtection="1">
      <alignment horizontal="left" vertical="center"/>
      <protection hidden="1"/>
    </xf>
    <xf numFmtId="168" fontId="17" fillId="0" borderId="0" xfId="23" applyNumberFormat="1" applyFont="1" applyAlignment="1">
      <alignment vertical="center"/>
    </xf>
    <xf numFmtId="167" fontId="14" fillId="0" borderId="0" xfId="23" applyNumberFormat="1" applyFont="1" applyAlignment="1">
      <alignment horizontal="left" vertical="center"/>
    </xf>
    <xf numFmtId="168" fontId="14" fillId="0" borderId="0" xfId="23" applyNumberFormat="1" applyFont="1" applyAlignment="1">
      <alignment vertical="center"/>
    </xf>
    <xf numFmtId="168" fontId="14" fillId="0" borderId="0" xfId="23" applyNumberFormat="1" applyFont="1" applyAlignment="1">
      <alignment horizontal="center"/>
    </xf>
    <xf numFmtId="167" fontId="14" fillId="0" borderId="0" xfId="23" applyNumberFormat="1" applyFont="1" applyAlignment="1">
      <alignment horizontal="right" vertical="center"/>
    </xf>
    <xf numFmtId="168" fontId="14" fillId="0" borderId="0" xfId="10" applyNumberFormat="1" applyFont="1" applyAlignment="1">
      <alignment horizontal="center" vertical="center"/>
    </xf>
    <xf numFmtId="0" fontId="117" fillId="0" borderId="0" xfId="0" applyFont="1" applyAlignment="1">
      <alignment horizontal="left" vertical="top"/>
    </xf>
    <xf numFmtId="0" fontId="12" fillId="0" borderId="0" xfId="0" applyFont="1" applyAlignment="1">
      <alignment horizontal="left"/>
    </xf>
    <xf numFmtId="49" fontId="14" fillId="0" borderId="87" xfId="0" applyNumberFormat="1" applyFont="1" applyBorder="1" applyAlignment="1">
      <alignment horizontal="left" vertical="center"/>
    </xf>
    <xf numFmtId="0" fontId="14" fillId="0" borderId="88" xfId="23" applyFont="1" applyBorder="1" applyAlignment="1">
      <alignment horizontal="left" vertical="center"/>
    </xf>
    <xf numFmtId="49" fontId="14" fillId="0" borderId="0" xfId="23" applyNumberFormat="1" applyFont="1" applyAlignment="1">
      <alignment horizontal="left" vertical="top"/>
    </xf>
    <xf numFmtId="49" fontId="14" fillId="0" borderId="89" xfId="0" applyNumberFormat="1" applyFont="1" applyBorder="1" applyAlignment="1">
      <alignment horizontal="left" vertical="center"/>
    </xf>
    <xf numFmtId="0" fontId="14" fillId="0" borderId="90" xfId="23" applyFont="1" applyBorder="1" applyAlignment="1">
      <alignment horizontal="left" vertical="center"/>
    </xf>
    <xf numFmtId="165" fontId="14" fillId="3" borderId="0" xfId="0" applyNumberFormat="1" applyFont="1" applyFill="1" applyAlignment="1">
      <alignment horizontal="center"/>
    </xf>
    <xf numFmtId="168" fontId="14" fillId="0" borderId="0" xfId="23" applyNumberFormat="1" applyFont="1" applyAlignment="1">
      <alignment horizontal="right"/>
    </xf>
    <xf numFmtId="168" fontId="14" fillId="0" borderId="0" xfId="23" applyNumberFormat="1" applyFont="1" applyAlignment="1">
      <alignment horizontal="center" vertical="center" wrapText="1"/>
    </xf>
    <xf numFmtId="0" fontId="140" fillId="0" borderId="0" xfId="0" applyFont="1"/>
    <xf numFmtId="168" fontId="14" fillId="0" borderId="0" xfId="23" applyNumberFormat="1" applyFont="1" applyAlignment="1">
      <alignment horizontal="right" vertical="center"/>
    </xf>
    <xf numFmtId="168" fontId="14" fillId="0" borderId="0" xfId="0" applyNumberFormat="1" applyFont="1" applyAlignment="1">
      <alignment horizontal="center" vertical="center"/>
    </xf>
    <xf numFmtId="0" fontId="22" fillId="0" borderId="0" xfId="10" applyFont="1" applyAlignment="1">
      <alignment horizontal="left" vertical="center"/>
    </xf>
    <xf numFmtId="0" fontId="14" fillId="0" borderId="0" xfId="10" applyFont="1" applyAlignment="1">
      <alignment horizontal="left" vertical="center" wrapText="1"/>
    </xf>
    <xf numFmtId="0" fontId="22" fillId="0" borderId="0" xfId="10" applyFont="1" applyAlignment="1">
      <alignment vertical="center"/>
    </xf>
    <xf numFmtId="0" fontId="22" fillId="0" borderId="0" xfId="10" applyFont="1" applyAlignment="1">
      <alignment horizontal="center" vertical="center" wrapText="1"/>
    </xf>
    <xf numFmtId="49" fontId="16" fillId="0" borderId="0" xfId="10" applyNumberFormat="1" applyFont="1" applyAlignment="1">
      <alignment horizontal="left" vertical="center"/>
    </xf>
    <xf numFmtId="167" fontId="14" fillId="0" borderId="0" xfId="10" applyNumberFormat="1" applyFont="1" applyAlignment="1">
      <alignment horizontal="center" vertical="center"/>
    </xf>
    <xf numFmtId="1" fontId="12" fillId="0" borderId="0" xfId="10" applyNumberFormat="1" applyFont="1" applyAlignment="1">
      <alignment vertical="center"/>
    </xf>
    <xf numFmtId="49" fontId="16" fillId="0" borderId="87" xfId="10" applyNumberFormat="1" applyFont="1" applyBorder="1" applyAlignment="1">
      <alignment vertical="center"/>
    </xf>
    <xf numFmtId="0" fontId="14" fillId="0" borderId="88" xfId="10" applyFont="1" applyBorder="1" applyAlignment="1">
      <alignment vertical="center"/>
    </xf>
    <xf numFmtId="49" fontId="16" fillId="0" borderId="0" xfId="23" applyNumberFormat="1" applyFont="1" applyAlignment="1">
      <alignment horizontal="left" vertical="top"/>
    </xf>
    <xf numFmtId="49" fontId="16" fillId="0" borderId="89" xfId="10" applyNumberFormat="1" applyFont="1" applyBorder="1" applyAlignment="1">
      <alignment vertical="center"/>
    </xf>
    <xf numFmtId="0" fontId="14" fillId="0" borderId="90" xfId="10" applyFont="1" applyBorder="1" applyAlignment="1">
      <alignment vertical="center"/>
    </xf>
    <xf numFmtId="49" fontId="16" fillId="0" borderId="0" xfId="10" applyNumberFormat="1" applyFont="1" applyAlignment="1">
      <alignment horizontal="left"/>
    </xf>
    <xf numFmtId="0" fontId="16" fillId="0" borderId="0" xfId="10" applyFont="1" applyAlignment="1">
      <alignment horizontal="left"/>
    </xf>
    <xf numFmtId="0" fontId="14" fillId="0" borderId="0" xfId="10" applyFont="1" applyAlignment="1">
      <alignment horizontal="left" wrapText="1"/>
    </xf>
    <xf numFmtId="0" fontId="117" fillId="0" borderId="0" xfId="10" applyFont="1" applyAlignment="1">
      <alignment horizontal="left"/>
    </xf>
    <xf numFmtId="0" fontId="117" fillId="0" borderId="0" xfId="10" applyFont="1" applyAlignment="1">
      <alignment horizontal="left" vertical="center"/>
    </xf>
    <xf numFmtId="0" fontId="16" fillId="0" borderId="0" xfId="10" quotePrefix="1" applyFont="1"/>
    <xf numFmtId="0" fontId="14" fillId="0" borderId="0" xfId="10" applyFont="1" applyAlignment="1">
      <alignment horizontal="right" vertical="center"/>
    </xf>
    <xf numFmtId="0" fontId="18" fillId="0" borderId="0" xfId="10" applyFont="1" applyAlignment="1">
      <alignment horizontal="center" vertical="center"/>
    </xf>
    <xf numFmtId="2" fontId="14" fillId="0" borderId="0" xfId="10" applyNumberFormat="1" applyFont="1" applyAlignment="1">
      <alignment horizontal="left" vertical="center" wrapText="1"/>
    </xf>
    <xf numFmtId="49" fontId="14" fillId="0" borderId="0" xfId="10" applyNumberFormat="1" applyFont="1" applyAlignment="1">
      <alignment horizontal="left" vertical="center" wrapText="1"/>
    </xf>
    <xf numFmtId="49" fontId="14" fillId="0" borderId="0" xfId="10" applyNumberFormat="1" applyFont="1" applyAlignment="1">
      <alignment horizontal="left" vertical="center"/>
    </xf>
    <xf numFmtId="169" fontId="14" fillId="0" borderId="0" xfId="10" applyNumberFormat="1" applyFont="1" applyAlignment="1">
      <alignment horizontal="left" vertical="center"/>
    </xf>
    <xf numFmtId="169" fontId="16" fillId="0" borderId="0" xfId="10" applyNumberFormat="1" applyFont="1" applyAlignment="1">
      <alignment horizontal="center" vertical="center"/>
    </xf>
    <xf numFmtId="169" fontId="14" fillId="0" borderId="0" xfId="10" applyNumberFormat="1" applyFont="1" applyAlignment="1">
      <alignment horizontal="center" vertical="center"/>
    </xf>
    <xf numFmtId="168" fontId="17" fillId="0" borderId="0" xfId="10" applyNumberFormat="1" applyFont="1" applyAlignment="1">
      <alignment vertical="center"/>
    </xf>
    <xf numFmtId="2" fontId="17" fillId="0" borderId="0" xfId="10" applyNumberFormat="1" applyFont="1" applyAlignment="1">
      <alignment vertical="center"/>
    </xf>
    <xf numFmtId="49" fontId="14" fillId="0" borderId="0" xfId="10" applyNumberFormat="1" applyFont="1" applyAlignment="1">
      <alignment vertical="center"/>
    </xf>
    <xf numFmtId="49" fontId="14" fillId="0" borderId="0" xfId="10" applyNumberFormat="1" applyFont="1" applyAlignment="1">
      <alignment vertical="center" wrapText="1"/>
    </xf>
    <xf numFmtId="169" fontId="17" fillId="0" borderId="0" xfId="10" applyNumberFormat="1" applyFont="1" applyAlignment="1">
      <alignment vertical="center"/>
    </xf>
    <xf numFmtId="49" fontId="16" fillId="0" borderId="0" xfId="10" applyNumberFormat="1" applyFont="1" applyAlignment="1">
      <alignment horizontal="right" vertical="center"/>
    </xf>
    <xf numFmtId="0" fontId="109" fillId="0" borderId="1" xfId="23" applyFont="1" applyBorder="1" applyAlignment="1">
      <alignment vertical="center"/>
    </xf>
    <xf numFmtId="0" fontId="117" fillId="0" borderId="1" xfId="23" applyFont="1" applyBorder="1" applyAlignment="1">
      <alignment vertical="center"/>
    </xf>
    <xf numFmtId="168" fontId="14" fillId="0" borderId="0" xfId="10" applyNumberFormat="1" applyFont="1" applyAlignment="1">
      <alignment horizontal="right" vertical="center"/>
    </xf>
    <xf numFmtId="2" fontId="16" fillId="0" borderId="0" xfId="10" applyNumberFormat="1" applyFont="1" applyAlignment="1">
      <alignment horizontal="left" vertical="center"/>
    </xf>
    <xf numFmtId="168" fontId="17" fillId="0" borderId="0" xfId="10" applyNumberFormat="1" applyFont="1" applyAlignment="1">
      <alignment horizontal="center" vertical="center"/>
    </xf>
    <xf numFmtId="0" fontId="22" fillId="0" borderId="0" xfId="10" applyFont="1" applyAlignment="1">
      <alignment vertical="center" wrapText="1"/>
    </xf>
    <xf numFmtId="49" fontId="16" fillId="0" borderId="87" xfId="23" applyNumberFormat="1" applyFont="1" applyBorder="1" applyAlignment="1">
      <alignment vertical="center"/>
    </xf>
    <xf numFmtId="49" fontId="16" fillId="0" borderId="22" xfId="23" applyNumberFormat="1" applyFont="1" applyBorder="1" applyAlignment="1">
      <alignment vertical="center"/>
    </xf>
    <xf numFmtId="49" fontId="16" fillId="0" borderId="89" xfId="23" applyNumberFormat="1" applyFont="1" applyBorder="1" applyAlignment="1">
      <alignment vertical="center"/>
    </xf>
    <xf numFmtId="1" fontId="12" fillId="0" borderId="0" xfId="23" applyNumberFormat="1" applyAlignment="1">
      <alignment vertical="center"/>
    </xf>
    <xf numFmtId="0" fontId="22" fillId="0" borderId="0" xfId="10" applyFont="1" applyAlignment="1">
      <alignment horizontal="center" vertical="center"/>
    </xf>
    <xf numFmtId="168" fontId="14" fillId="0" borderId="0" xfId="10" applyNumberFormat="1" applyFont="1" applyAlignment="1">
      <alignment horizontal="left" vertical="center"/>
    </xf>
    <xf numFmtId="165" fontId="16" fillId="0" borderId="0" xfId="10" applyNumberFormat="1" applyFont="1" applyAlignment="1">
      <alignment horizontal="left" vertical="center"/>
    </xf>
    <xf numFmtId="0" fontId="104" fillId="0" borderId="0" xfId="10" applyFont="1" applyAlignment="1">
      <alignment vertical="center"/>
    </xf>
    <xf numFmtId="0" fontId="14" fillId="0" borderId="24" xfId="10" applyFont="1" applyBorder="1" applyAlignment="1">
      <alignment wrapText="1"/>
    </xf>
    <xf numFmtId="0" fontId="14" fillId="0" borderId="20" xfId="10" applyFont="1" applyBorder="1" applyAlignment="1">
      <alignment wrapText="1"/>
    </xf>
    <xf numFmtId="0" fontId="97" fillId="0" borderId="28" xfId="10" applyFont="1" applyBorder="1" applyAlignment="1">
      <alignment vertical="center" wrapText="1"/>
    </xf>
    <xf numFmtId="0" fontId="97" fillId="0" borderId="25" xfId="10" applyFont="1" applyBorder="1" applyAlignment="1">
      <alignment vertical="center" wrapText="1"/>
    </xf>
    <xf numFmtId="0" fontId="17" fillId="0" borderId="0" xfId="10" applyFont="1" applyAlignment="1">
      <alignment horizontal="right" vertical="center"/>
    </xf>
    <xf numFmtId="0" fontId="15" fillId="0" borderId="0" xfId="10" applyFont="1" applyAlignment="1">
      <alignment vertical="center"/>
    </xf>
    <xf numFmtId="0" fontId="14" fillId="0" borderId="0" xfId="51" applyFont="1" applyAlignment="1">
      <alignment vertical="center"/>
    </xf>
    <xf numFmtId="0" fontId="24" fillId="0" borderId="0" xfId="10" applyAlignment="1">
      <alignment horizontal="center" vertical="center"/>
    </xf>
    <xf numFmtId="0" fontId="14" fillId="0" borderId="0" xfId="10" quotePrefix="1" applyFont="1" applyAlignment="1">
      <alignment horizontal="center"/>
    </xf>
    <xf numFmtId="0" fontId="16" fillId="0" borderId="0" xfId="10" applyFont="1" applyAlignment="1">
      <alignment horizontal="right" vertical="center"/>
    </xf>
    <xf numFmtId="0" fontId="16" fillId="0" borderId="0" xfId="10" quotePrefix="1" applyFont="1" applyAlignment="1">
      <alignment horizontal="center" vertical="center"/>
    </xf>
    <xf numFmtId="0" fontId="28" fillId="0" borderId="0" xfId="10" applyFont="1" applyAlignment="1">
      <alignment horizontal="center" vertical="center"/>
    </xf>
    <xf numFmtId="49" fontId="16" fillId="0" borderId="21" xfId="10" applyNumberFormat="1" applyFont="1" applyBorder="1"/>
    <xf numFmtId="0" fontId="16" fillId="0" borderId="2" xfId="10" applyFont="1" applyBorder="1"/>
    <xf numFmtId="0" fontId="14" fillId="0" borderId="2" xfId="10" applyFont="1" applyBorder="1"/>
    <xf numFmtId="0" fontId="14" fillId="0" borderId="2" xfId="10" applyFont="1" applyBorder="1" applyAlignment="1">
      <alignment horizontal="left"/>
    </xf>
    <xf numFmtId="0" fontId="14" fillId="0" borderId="23" xfId="10" applyFont="1" applyBorder="1"/>
    <xf numFmtId="1" fontId="17" fillId="0" borderId="0" xfId="0" applyNumberFormat="1" applyFont="1" applyAlignment="1">
      <alignment vertical="center"/>
    </xf>
    <xf numFmtId="2" fontId="115" fillId="0" borderId="0" xfId="0" applyNumberFormat="1" applyFont="1" applyAlignment="1">
      <alignment horizontal="center" vertical="center"/>
    </xf>
    <xf numFmtId="0" fontId="97" fillId="0" borderId="0" xfId="0" applyFont="1" applyAlignment="1">
      <alignment horizontal="center" vertical="center" wrapText="1"/>
    </xf>
    <xf numFmtId="0" fontId="110" fillId="0" borderId="0" xfId="0" applyFont="1" applyAlignment="1">
      <alignment vertical="center" wrapText="1"/>
    </xf>
    <xf numFmtId="0" fontId="14" fillId="0" borderId="0" xfId="0" quotePrefix="1" applyFont="1" applyAlignment="1">
      <alignment vertical="center" wrapText="1"/>
    </xf>
    <xf numFmtId="0" fontId="118" fillId="2" borderId="8" xfId="62" applyFont="1" applyFill="1" applyBorder="1" applyAlignment="1">
      <alignment horizontal="center"/>
    </xf>
    <xf numFmtId="0" fontId="118" fillId="2" borderId="8" xfId="62" applyFont="1" applyFill="1" applyBorder="1" applyAlignment="1">
      <alignment horizontal="center" vertical="center" wrapText="1"/>
    </xf>
    <xf numFmtId="1" fontId="118" fillId="2" borderId="8" xfId="62" applyNumberFormat="1" applyFont="1" applyFill="1" applyBorder="1" applyAlignment="1">
      <alignment horizontal="center" vertical="center" wrapText="1"/>
    </xf>
    <xf numFmtId="1" fontId="118" fillId="2" borderId="8" xfId="62" applyNumberFormat="1" applyFont="1" applyFill="1" applyBorder="1" applyAlignment="1">
      <alignment horizontal="center"/>
    </xf>
    <xf numFmtId="0" fontId="118" fillId="0" borderId="0" xfId="62" applyFont="1" applyAlignment="1">
      <alignment horizontal="left"/>
    </xf>
    <xf numFmtId="0" fontId="166" fillId="0" borderId="0" xfId="23" applyFont="1" applyAlignment="1">
      <alignment horizontal="left" vertical="center"/>
    </xf>
    <xf numFmtId="1" fontId="14" fillId="5" borderId="8" xfId="43" applyNumberFormat="1" applyFont="1" applyFill="1" applyBorder="1" applyAlignment="1" applyProtection="1">
      <alignment horizontal="center" vertical="center"/>
      <protection locked="0"/>
    </xf>
    <xf numFmtId="0" fontId="109" fillId="0" borderId="0" xfId="23" applyFont="1" applyAlignment="1">
      <alignment horizontal="center" vertical="center"/>
    </xf>
    <xf numFmtId="0" fontId="123" fillId="0" borderId="0" xfId="0" applyFont="1" applyAlignment="1">
      <alignment vertical="top" wrapText="1"/>
    </xf>
    <xf numFmtId="0" fontId="123" fillId="0" borderId="1" xfId="0" applyFont="1" applyBorder="1" applyAlignment="1">
      <alignment vertical="top" wrapText="1"/>
    </xf>
    <xf numFmtId="0" fontId="117" fillId="0" borderId="0" xfId="0" applyFont="1" applyAlignment="1">
      <alignment vertical="top" wrapText="1"/>
    </xf>
    <xf numFmtId="171" fontId="14" fillId="0" borderId="0" xfId="0" applyNumberFormat="1" applyFont="1" applyAlignment="1">
      <alignment horizontal="center" vertical="center"/>
    </xf>
    <xf numFmtId="49" fontId="16" fillId="0" borderId="7" xfId="0" applyNumberFormat="1" applyFont="1" applyBorder="1" applyAlignment="1">
      <alignment vertical="center" wrapText="1"/>
    </xf>
    <xf numFmtId="0" fontId="168" fillId="0" borderId="0" xfId="0" applyFont="1"/>
    <xf numFmtId="0" fontId="117" fillId="11" borderId="19" xfId="43" applyFont="1" applyFill="1" applyBorder="1" applyAlignment="1">
      <alignment vertical="center"/>
    </xf>
    <xf numFmtId="0" fontId="117" fillId="11" borderId="33" xfId="300" applyFont="1" applyFill="1" applyBorder="1"/>
    <xf numFmtId="0" fontId="169" fillId="0" borderId="0" xfId="0" applyFont="1" applyAlignment="1">
      <alignment vertical="center"/>
    </xf>
    <xf numFmtId="0" fontId="169" fillId="11" borderId="0" xfId="0" applyFont="1" applyFill="1" applyAlignment="1">
      <alignment vertical="center"/>
    </xf>
    <xf numFmtId="0" fontId="170" fillId="0" borderId="0" xfId="0" applyFont="1" applyAlignment="1">
      <alignment vertical="center"/>
    </xf>
    <xf numFmtId="0" fontId="117" fillId="0" borderId="0" xfId="0" applyFont="1" applyAlignment="1">
      <alignment vertical="center" wrapText="1"/>
    </xf>
    <xf numFmtId="0" fontId="22" fillId="0" borderId="0" xfId="23" applyFont="1" applyAlignment="1">
      <alignment horizontal="center" vertical="center"/>
    </xf>
    <xf numFmtId="0" fontId="105" fillId="0" borderId="0" xfId="23" applyFont="1" applyAlignment="1">
      <alignment vertical="center"/>
    </xf>
    <xf numFmtId="0" fontId="16" fillId="2" borderId="0" xfId="23" applyFont="1" applyFill="1" applyAlignment="1">
      <alignment horizontal="left" vertical="center"/>
    </xf>
    <xf numFmtId="0" fontId="16" fillId="2" borderId="0" xfId="23" applyFont="1" applyFill="1" applyAlignment="1">
      <alignment vertical="center"/>
    </xf>
    <xf numFmtId="0" fontId="14" fillId="2" borderId="0" xfId="23" applyFont="1" applyFill="1" applyAlignment="1">
      <alignment vertical="center"/>
    </xf>
    <xf numFmtId="167" fontId="14" fillId="0" borderId="0" xfId="23" applyNumberFormat="1" applyFont="1" applyAlignment="1">
      <alignment horizontal="center" vertical="center" wrapText="1"/>
    </xf>
    <xf numFmtId="1" fontId="14" fillId="10" borderId="0" xfId="23" applyNumberFormat="1" applyFont="1" applyFill="1" applyAlignment="1">
      <alignment horizontal="center" vertical="center"/>
    </xf>
    <xf numFmtId="0" fontId="17" fillId="0" borderId="0" xfId="23" applyFont="1" applyAlignment="1">
      <alignment horizontal="center" vertical="center"/>
    </xf>
    <xf numFmtId="1" fontId="17" fillId="0" borderId="0" xfId="23" applyNumberFormat="1" applyFont="1" applyAlignment="1">
      <alignment horizontal="center" vertical="center"/>
    </xf>
    <xf numFmtId="0" fontId="14" fillId="10" borderId="0" xfId="23" applyFont="1" applyFill="1" applyAlignment="1">
      <alignment horizontal="center" vertical="center"/>
    </xf>
    <xf numFmtId="0" fontId="14" fillId="0" borderId="24" xfId="23" applyFont="1" applyBorder="1" applyAlignment="1">
      <alignment vertical="center"/>
    </xf>
    <xf numFmtId="0" fontId="16" fillId="13" borderId="8" xfId="0" applyFont="1" applyFill="1" applyBorder="1"/>
    <xf numFmtId="0" fontId="16" fillId="4" borderId="8" xfId="0" applyFont="1" applyFill="1" applyBorder="1"/>
    <xf numFmtId="0" fontId="14" fillId="4" borderId="0" xfId="0" applyFont="1" applyFill="1"/>
    <xf numFmtId="0" fontId="16" fillId="12" borderId="0" xfId="0" applyFont="1" applyFill="1"/>
    <xf numFmtId="0" fontId="16" fillId="18" borderId="8" xfId="0" applyFont="1" applyFill="1" applyBorder="1"/>
    <xf numFmtId="0" fontId="16" fillId="12" borderId="8" xfId="0" applyFont="1" applyFill="1" applyBorder="1"/>
    <xf numFmtId="0" fontId="16" fillId="6" borderId="8" xfId="0" applyFont="1" applyFill="1" applyBorder="1"/>
    <xf numFmtId="0" fontId="14" fillId="12" borderId="0" xfId="0" applyFont="1" applyFill="1"/>
    <xf numFmtId="0" fontId="38" fillId="4" borderId="8" xfId="0" applyFont="1" applyFill="1" applyBorder="1"/>
    <xf numFmtId="0" fontId="16" fillId="14" borderId="8" xfId="0" applyFont="1" applyFill="1" applyBorder="1"/>
    <xf numFmtId="0" fontId="16" fillId="0" borderId="8" xfId="0" applyFont="1" applyBorder="1"/>
    <xf numFmtId="0" fontId="43" fillId="3" borderId="0" xfId="0" applyFont="1" applyFill="1"/>
    <xf numFmtId="0" fontId="43" fillId="3" borderId="0" xfId="0" applyFont="1" applyFill="1" applyAlignment="1">
      <alignment horizontal="left" vertical="center"/>
    </xf>
    <xf numFmtId="0" fontId="43" fillId="3" borderId="0" xfId="9" applyFont="1" applyFill="1"/>
    <xf numFmtId="49" fontId="43" fillId="0" borderId="0" xfId="0" quotePrefix="1" applyNumberFormat="1" applyFont="1"/>
    <xf numFmtId="2" fontId="43" fillId="3" borderId="0" xfId="0" applyNumberFormat="1" applyFont="1" applyFill="1" applyAlignment="1">
      <alignment horizontal="center"/>
    </xf>
    <xf numFmtId="1" fontId="43" fillId="3" borderId="0" xfId="0" quotePrefix="1" applyNumberFormat="1" applyFont="1" applyFill="1" applyAlignment="1">
      <alignment horizontal="center"/>
    </xf>
    <xf numFmtId="2" fontId="43" fillId="3" borderId="0" xfId="0" applyNumberFormat="1" applyFont="1" applyFill="1"/>
    <xf numFmtId="1" fontId="43" fillId="3" borderId="0" xfId="0" applyNumberFormat="1" applyFont="1" applyFill="1" applyAlignment="1">
      <alignment horizontal="center"/>
    </xf>
    <xf numFmtId="165" fontId="43" fillId="3" borderId="0" xfId="0" applyNumberFormat="1" applyFont="1" applyFill="1"/>
    <xf numFmtId="0" fontId="43" fillId="3" borderId="0" xfId="0" quotePrefix="1" applyFont="1" applyFill="1" applyAlignment="1">
      <alignment horizontal="center"/>
    </xf>
    <xf numFmtId="0" fontId="43" fillId="3" borderId="0" xfId="49" applyFont="1" applyFill="1"/>
    <xf numFmtId="2" fontId="43" fillId="3" borderId="0" xfId="49" applyNumberFormat="1" applyFont="1" applyFill="1" applyAlignment="1">
      <alignment horizontal="center"/>
    </xf>
    <xf numFmtId="0" fontId="43" fillId="3" borderId="0" xfId="0" quotePrefix="1" applyFont="1" applyFill="1" applyAlignment="1">
      <alignment horizontal="right"/>
    </xf>
    <xf numFmtId="0" fontId="43" fillId="3" borderId="0" xfId="59" applyFont="1" applyFill="1"/>
    <xf numFmtId="165" fontId="43" fillId="3" borderId="0" xfId="58" applyNumberFormat="1" applyFont="1" applyFill="1"/>
    <xf numFmtId="0" fontId="68" fillId="3" borderId="0" xfId="0" quotePrefix="1" applyFont="1" applyFill="1" applyAlignment="1">
      <alignment horizontal="center"/>
    </xf>
    <xf numFmtId="0" fontId="43" fillId="3" borderId="0" xfId="58" applyFont="1" applyFill="1"/>
    <xf numFmtId="1" fontId="43" fillId="3" borderId="0" xfId="0" applyNumberFormat="1" applyFont="1" applyFill="1" applyAlignment="1">
      <alignment horizontal="center" vertical="center"/>
    </xf>
    <xf numFmtId="2" fontId="43" fillId="3" borderId="0" xfId="0" applyNumberFormat="1" applyFont="1" applyFill="1" applyAlignment="1">
      <alignment horizontal="center" vertical="center"/>
    </xf>
    <xf numFmtId="165" fontId="43" fillId="3" borderId="0" xfId="53" applyNumberFormat="1" applyFont="1" applyFill="1"/>
    <xf numFmtId="0" fontId="43" fillId="3" borderId="0" xfId="63" applyFont="1" applyFill="1" applyAlignment="1">
      <alignment horizontal="left" vertical="top"/>
    </xf>
    <xf numFmtId="0" fontId="43" fillId="3" borderId="0" xfId="57" applyFont="1" applyFill="1" applyAlignment="1">
      <alignment horizontal="left" vertical="center"/>
    </xf>
    <xf numFmtId="0" fontId="43" fillId="0" borderId="0" xfId="0" quotePrefix="1" applyFont="1"/>
    <xf numFmtId="0" fontId="43" fillId="3" borderId="0" xfId="0" applyFont="1" applyFill="1" applyAlignment="1">
      <alignment horizontal="center"/>
    </xf>
    <xf numFmtId="0" fontId="43" fillId="3" borderId="0" xfId="57" applyFont="1" applyFill="1" applyAlignment="1">
      <alignment horizontal="left" vertical="top"/>
    </xf>
    <xf numFmtId="0" fontId="43" fillId="3" borderId="0" xfId="63" applyFont="1" applyFill="1" applyAlignment="1">
      <alignment horizontal="left" vertical="center"/>
    </xf>
    <xf numFmtId="16" fontId="68" fillId="3" borderId="0" xfId="0" quotePrefix="1" applyNumberFormat="1" applyFont="1" applyFill="1" applyAlignment="1">
      <alignment horizontal="center"/>
    </xf>
    <xf numFmtId="0" fontId="43" fillId="0" borderId="0" xfId="9" applyFont="1"/>
    <xf numFmtId="0" fontId="43" fillId="0" borderId="0" xfId="58" applyFont="1"/>
    <xf numFmtId="165" fontId="43" fillId="0" borderId="0" xfId="53" applyNumberFormat="1" applyFont="1"/>
    <xf numFmtId="2" fontId="43" fillId="0" borderId="0" xfId="0" applyNumberFormat="1" applyFont="1" applyAlignment="1">
      <alignment horizontal="center"/>
    </xf>
    <xf numFmtId="0" fontId="131" fillId="0" borderId="0" xfId="9" applyFont="1"/>
    <xf numFmtId="0" fontId="43" fillId="3" borderId="0" xfId="63" applyFont="1" applyFill="1" applyAlignment="1">
      <alignment horizontal="left" vertical="center" wrapText="1"/>
    </xf>
    <xf numFmtId="0" fontId="43" fillId="0" borderId="0" xfId="0" quotePrefix="1" applyFont="1" applyAlignment="1">
      <alignment horizontal="center"/>
    </xf>
    <xf numFmtId="16" fontId="68" fillId="0" borderId="0" xfId="0" quotePrefix="1" applyNumberFormat="1" applyFont="1" applyAlignment="1">
      <alignment horizontal="center"/>
    </xf>
    <xf numFmtId="0" fontId="68" fillId="0" borderId="0" xfId="0" quotePrefix="1" applyFont="1" applyAlignment="1">
      <alignment horizontal="center"/>
    </xf>
    <xf numFmtId="165" fontId="43" fillId="0" borderId="0" xfId="58" applyNumberFormat="1" applyFont="1"/>
    <xf numFmtId="165" fontId="43" fillId="0" borderId="0" xfId="0" applyNumberFormat="1" applyFont="1"/>
    <xf numFmtId="166" fontId="14" fillId="0" borderId="0" xfId="0" applyNumberFormat="1" applyFont="1"/>
    <xf numFmtId="1" fontId="14" fillId="0" borderId="0" xfId="43" applyNumberFormat="1" applyFont="1" applyAlignment="1">
      <alignment horizontal="center" vertical="center"/>
    </xf>
    <xf numFmtId="176" fontId="14" fillId="0" borderId="0" xfId="43" applyNumberFormat="1" applyFont="1" applyAlignment="1">
      <alignment horizontal="center" vertical="center"/>
    </xf>
    <xf numFmtId="176" fontId="14" fillId="0" borderId="9" xfId="0" applyNumberFormat="1" applyFont="1" applyBorder="1" applyAlignment="1">
      <alignment horizontal="left" vertical="center"/>
    </xf>
    <xf numFmtId="176" fontId="14" fillId="0" borderId="0" xfId="0" applyNumberFormat="1" applyFont="1" applyAlignment="1">
      <alignment horizontal="left" vertical="center"/>
    </xf>
    <xf numFmtId="165" fontId="14" fillId="0" borderId="9" xfId="0" applyNumberFormat="1" applyFont="1" applyBorder="1" applyAlignment="1">
      <alignment vertical="center"/>
    </xf>
    <xf numFmtId="165" fontId="14" fillId="0" borderId="42" xfId="0" applyNumberFormat="1" applyFont="1" applyBorder="1" applyAlignment="1">
      <alignment vertical="center"/>
    </xf>
    <xf numFmtId="165" fontId="12" fillId="0" borderId="0" xfId="23" applyNumberFormat="1" applyAlignment="1">
      <alignment horizontal="center" vertical="center"/>
    </xf>
    <xf numFmtId="165" fontId="12" fillId="0" borderId="0" xfId="23" applyNumberFormat="1" applyAlignment="1">
      <alignment vertical="center"/>
    </xf>
    <xf numFmtId="1" fontId="14" fillId="7" borderId="8" xfId="0" applyNumberFormat="1" applyFont="1" applyFill="1" applyBorder="1" applyAlignment="1" applyProtection="1">
      <alignment horizontal="center" vertical="center"/>
      <protection locked="0"/>
    </xf>
    <xf numFmtId="165" fontId="14" fillId="9" borderId="8" xfId="23" applyNumberFormat="1" applyFont="1" applyFill="1" applyBorder="1" applyAlignment="1">
      <alignment horizontal="center" vertical="center"/>
    </xf>
    <xf numFmtId="165" fontId="14" fillId="0" borderId="0" xfId="0" quotePrefix="1" applyNumberFormat="1" applyFont="1" applyAlignment="1">
      <alignment horizontal="center" vertical="center"/>
    </xf>
    <xf numFmtId="165" fontId="14" fillId="0" borderId="1" xfId="0" applyNumberFormat="1" applyFont="1" applyBorder="1"/>
    <xf numFmtId="165" fontId="14" fillId="0" borderId="1" xfId="0" applyNumberFormat="1" applyFont="1" applyBorder="1" applyAlignment="1">
      <alignment horizontal="left" vertical="center"/>
    </xf>
    <xf numFmtId="165" fontId="14" fillId="0" borderId="0" xfId="10" applyNumberFormat="1" applyFont="1" applyAlignment="1">
      <alignment horizontal="left" vertical="center"/>
    </xf>
    <xf numFmtId="165" fontId="18" fillId="0" borderId="0" xfId="10" applyNumberFormat="1" applyFont="1" applyAlignment="1">
      <alignment horizontal="center" vertical="center"/>
    </xf>
    <xf numFmtId="165" fontId="22" fillId="0" borderId="0" xfId="10" applyNumberFormat="1" applyFont="1" applyAlignment="1">
      <alignment horizontal="left" vertical="center"/>
    </xf>
    <xf numFmtId="2" fontId="22" fillId="0" borderId="0" xfId="10" applyNumberFormat="1" applyFont="1" applyAlignment="1">
      <alignment horizontal="left" vertical="center"/>
    </xf>
    <xf numFmtId="2" fontId="14" fillId="11" borderId="8" xfId="10" applyNumberFormat="1" applyFont="1" applyFill="1" applyBorder="1" applyAlignment="1">
      <alignment horizontal="right" vertical="center"/>
    </xf>
    <xf numFmtId="4" fontId="14" fillId="0" borderId="0" xfId="10" applyNumberFormat="1" applyFont="1" applyAlignment="1">
      <alignment horizontal="center" vertical="center"/>
    </xf>
    <xf numFmtId="1" fontId="14" fillId="0" borderId="4" xfId="0" applyNumberFormat="1" applyFont="1" applyBorder="1" applyAlignment="1">
      <alignment horizontal="center"/>
    </xf>
    <xf numFmtId="1" fontId="128" fillId="0" borderId="0" xfId="0" applyNumberFormat="1" applyFont="1" applyAlignment="1">
      <alignment horizontal="center"/>
    </xf>
    <xf numFmtId="2" fontId="16" fillId="0" borderId="0" xfId="0" applyNumberFormat="1" applyFont="1" applyAlignment="1">
      <alignment horizontal="center"/>
    </xf>
    <xf numFmtId="2" fontId="14" fillId="0" borderId="0" xfId="0" applyNumberFormat="1" applyFont="1" applyAlignment="1">
      <alignment horizontal="left"/>
    </xf>
    <xf numFmtId="2" fontId="14" fillId="0" borderId="0" xfId="0" applyNumberFormat="1" applyFont="1" applyAlignment="1">
      <alignment horizontal="center" vertical="center" wrapText="1"/>
    </xf>
    <xf numFmtId="2" fontId="14" fillId="0" borderId="0" xfId="0" applyNumberFormat="1" applyFont="1" applyAlignment="1">
      <alignment horizontal="left" wrapText="1"/>
    </xf>
    <xf numFmtId="2" fontId="16" fillId="0" borderId="0" xfId="0" applyNumberFormat="1" applyFont="1" applyAlignment="1">
      <alignment horizontal="center" vertical="center" wrapText="1"/>
    </xf>
    <xf numFmtId="2" fontId="14" fillId="0" borderId="4" xfId="0" applyNumberFormat="1" applyFont="1" applyBorder="1" applyAlignment="1">
      <alignment horizontal="center" vertical="center" wrapText="1"/>
    </xf>
    <xf numFmtId="0" fontId="14" fillId="0" borderId="20" xfId="23" applyFont="1" applyBorder="1" applyAlignment="1">
      <alignment horizontal="left" vertical="center"/>
    </xf>
    <xf numFmtId="0" fontId="12" fillId="0" borderId="20" xfId="23" applyBorder="1" applyAlignment="1">
      <alignment horizontal="left" vertical="center"/>
    </xf>
    <xf numFmtId="0" fontId="30" fillId="0" borderId="20" xfId="23" applyFont="1" applyBorder="1" applyAlignment="1">
      <alignment horizontal="center"/>
    </xf>
    <xf numFmtId="0" fontId="31" fillId="0" borderId="20" xfId="23" applyFont="1" applyBorder="1"/>
    <xf numFmtId="0" fontId="31" fillId="0" borderId="25" xfId="23" applyFont="1" applyBorder="1"/>
    <xf numFmtId="165" fontId="22" fillId="0" borderId="0" xfId="23" applyNumberFormat="1" applyFont="1" applyAlignment="1">
      <alignment horizontal="left"/>
    </xf>
    <xf numFmtId="1" fontId="22" fillId="0" borderId="0" xfId="23" applyNumberFormat="1" applyFont="1" applyAlignment="1">
      <alignment horizontal="center"/>
    </xf>
    <xf numFmtId="0" fontId="147" fillId="0" borderId="0" xfId="300" applyFont="1" applyAlignment="1">
      <alignment horizontal="left"/>
    </xf>
    <xf numFmtId="0" fontId="65" fillId="0" borderId="0" xfId="0" applyFont="1" applyAlignment="1">
      <alignment vertical="center"/>
    </xf>
    <xf numFmtId="0" fontId="65" fillId="0" borderId="0" xfId="0" applyFont="1" applyAlignment="1">
      <alignment horizontal="left" vertical="center"/>
    </xf>
    <xf numFmtId="0" fontId="65" fillId="0" borderId="1" xfId="0" applyFont="1" applyBorder="1" applyAlignment="1">
      <alignment vertical="center"/>
    </xf>
    <xf numFmtId="0" fontId="117" fillId="0" borderId="0" xfId="0" applyFont="1" applyAlignment="1">
      <alignment vertical="center"/>
    </xf>
    <xf numFmtId="0" fontId="48" fillId="0" borderId="0" xfId="0" applyFont="1" applyAlignment="1">
      <alignment vertical="center"/>
    </xf>
    <xf numFmtId="0" fontId="135" fillId="0" borderId="0" xfId="0" applyFont="1" applyAlignment="1">
      <alignment horizontal="left" vertical="center" wrapText="1"/>
    </xf>
    <xf numFmtId="0" fontId="16" fillId="0" borderId="20" xfId="43" applyFont="1" applyBorder="1" applyAlignment="1">
      <alignment horizontal="center" vertical="center"/>
    </xf>
    <xf numFmtId="0" fontId="149" fillId="0" borderId="0" xfId="300" applyFont="1" applyAlignment="1">
      <alignment horizontal="center"/>
    </xf>
    <xf numFmtId="0" fontId="102" fillId="0" borderId="0" xfId="300" applyFont="1"/>
    <xf numFmtId="0" fontId="102" fillId="0" borderId="0" xfId="300" applyFont="1" applyAlignment="1">
      <alignment horizontal="right"/>
    </xf>
    <xf numFmtId="0" fontId="102" fillId="0" borderId="0" xfId="300" applyFont="1" applyAlignment="1">
      <alignment horizontal="center"/>
    </xf>
    <xf numFmtId="0" fontId="150" fillId="0" borderId="0" xfId="300" applyFont="1"/>
    <xf numFmtId="0" fontId="151" fillId="0" borderId="0" xfId="300" applyFont="1"/>
    <xf numFmtId="0" fontId="130" fillId="0" borderId="0" xfId="300" applyFont="1"/>
    <xf numFmtId="0" fontId="142" fillId="0" borderId="0" xfId="300" applyFont="1"/>
    <xf numFmtId="0" fontId="102" fillId="0" borderId="0" xfId="300" applyFont="1" applyAlignment="1">
      <alignment horizontal="left"/>
    </xf>
    <xf numFmtId="0" fontId="102" fillId="7" borderId="0" xfId="300" applyFont="1" applyFill="1" applyAlignment="1">
      <alignment horizontal="center"/>
    </xf>
    <xf numFmtId="0" fontId="155" fillId="0" borderId="0" xfId="300" applyFont="1"/>
    <xf numFmtId="0" fontId="148" fillId="0" borderId="0" xfId="300" applyFont="1"/>
    <xf numFmtId="0" fontId="156" fillId="0" borderId="0" xfId="300" applyFont="1"/>
    <xf numFmtId="0" fontId="157" fillId="0" borderId="0" xfId="300" applyFont="1"/>
    <xf numFmtId="0" fontId="14" fillId="11" borderId="30" xfId="43" applyFont="1" applyFill="1" applyBorder="1" applyAlignment="1">
      <alignment vertical="center"/>
    </xf>
    <xf numFmtId="0" fontId="16" fillId="11" borderId="28" xfId="43" applyFont="1" applyFill="1" applyBorder="1" applyAlignment="1">
      <alignment horizontal="left" vertical="center"/>
    </xf>
    <xf numFmtId="0" fontId="14" fillId="11" borderId="28" xfId="43" applyFont="1" applyFill="1" applyBorder="1" applyAlignment="1">
      <alignment vertical="center"/>
    </xf>
    <xf numFmtId="0" fontId="12" fillId="11" borderId="28" xfId="43" applyFill="1" applyBorder="1" applyAlignment="1">
      <alignment vertical="center"/>
    </xf>
    <xf numFmtId="0" fontId="12" fillId="11" borderId="28" xfId="23" applyFill="1" applyBorder="1" applyAlignment="1">
      <alignment vertical="center" wrapText="1"/>
    </xf>
    <xf numFmtId="0" fontId="46" fillId="0" borderId="0" xfId="0" applyFont="1" applyAlignment="1">
      <alignment horizontal="center" vertical="center"/>
    </xf>
    <xf numFmtId="2" fontId="37" fillId="7" borderId="39" xfId="12" applyNumberFormat="1" applyFont="1" applyFill="1" applyBorder="1" applyAlignment="1" applyProtection="1">
      <alignment horizontal="center" vertical="center"/>
      <protection locked="0"/>
    </xf>
    <xf numFmtId="2" fontId="37" fillId="5" borderId="39" xfId="12" applyNumberFormat="1" applyFont="1" applyFill="1" applyBorder="1" applyAlignment="1" applyProtection="1">
      <alignment horizontal="center" vertical="center"/>
      <protection locked="0"/>
    </xf>
    <xf numFmtId="2" fontId="97" fillId="0" borderId="3" xfId="0" applyNumberFormat="1" applyFont="1" applyBorder="1"/>
    <xf numFmtId="0" fontId="65" fillId="0" borderId="0" xfId="0" applyFont="1" applyAlignment="1">
      <alignment horizontal="center" vertical="center"/>
    </xf>
    <xf numFmtId="0" fontId="97" fillId="3" borderId="0" xfId="9" applyFont="1" applyFill="1"/>
    <xf numFmtId="0" fontId="97" fillId="0" borderId="0" xfId="9" applyFont="1"/>
    <xf numFmtId="1" fontId="97" fillId="0" borderId="0" xfId="0" applyNumberFormat="1" applyFont="1" applyAlignment="1">
      <alignment horizontal="center"/>
    </xf>
    <xf numFmtId="1" fontId="97" fillId="0" borderId="0" xfId="58" applyNumberFormat="1" applyFont="1" applyAlignment="1">
      <alignment horizontal="center"/>
    </xf>
    <xf numFmtId="0" fontId="97" fillId="3" borderId="0" xfId="0" applyFont="1" applyFill="1"/>
    <xf numFmtId="0" fontId="65" fillId="0" borderId="22" xfId="0" applyFont="1" applyBorder="1" applyAlignment="1">
      <alignment vertical="center"/>
    </xf>
    <xf numFmtId="176" fontId="65" fillId="0" borderId="0" xfId="0" applyNumberFormat="1" applyFont="1" applyAlignment="1">
      <alignment horizontal="center" vertical="center"/>
    </xf>
    <xf numFmtId="1" fontId="65" fillId="0" borderId="0" xfId="0" applyNumberFormat="1" applyFont="1" applyAlignment="1">
      <alignment horizontal="center" vertical="center"/>
    </xf>
    <xf numFmtId="0" fontId="46" fillId="0" borderId="0" xfId="23" applyFont="1"/>
    <xf numFmtId="0" fontId="75" fillId="2" borderId="18" xfId="23" applyFont="1" applyFill="1" applyBorder="1"/>
    <xf numFmtId="0" fontId="75" fillId="2" borderId="19" xfId="23" applyFont="1" applyFill="1" applyBorder="1"/>
    <xf numFmtId="0" fontId="37" fillId="2" borderId="14" xfId="23" applyFont="1" applyFill="1" applyBorder="1" applyAlignment="1">
      <alignment horizontal="right"/>
    </xf>
    <xf numFmtId="0" fontId="46" fillId="0" borderId="6" xfId="23" applyFont="1" applyBorder="1"/>
    <xf numFmtId="0" fontId="46" fillId="0" borderId="7" xfId="23" applyFont="1" applyBorder="1"/>
    <xf numFmtId="0" fontId="37" fillId="0" borderId="0" xfId="23" applyFont="1"/>
    <xf numFmtId="0" fontId="46" fillId="11" borderId="0" xfId="23" applyFont="1" applyFill="1"/>
    <xf numFmtId="0" fontId="75" fillId="0" borderId="0" xfId="23" applyFont="1"/>
    <xf numFmtId="170" fontId="37" fillId="0" borderId="0" xfId="23" applyNumberFormat="1" applyFont="1" applyAlignment="1">
      <alignment vertical="center"/>
    </xf>
    <xf numFmtId="0" fontId="37" fillId="0" borderId="0" xfId="23" applyFont="1" applyAlignment="1">
      <alignment horizontal="center" vertical="center"/>
    </xf>
    <xf numFmtId="0" fontId="50" fillId="0" borderId="6" xfId="23" applyFont="1" applyBorder="1"/>
    <xf numFmtId="0" fontId="48" fillId="0" borderId="0" xfId="23" applyFont="1"/>
    <xf numFmtId="0" fontId="50" fillId="0" borderId="0" xfId="23" applyFont="1"/>
    <xf numFmtId="0" fontId="50" fillId="0" borderId="7" xfId="23" applyFont="1" applyBorder="1"/>
    <xf numFmtId="0" fontId="65" fillId="0" borderId="0" xfId="23" applyFont="1" applyAlignment="1">
      <alignment horizontal="center" vertical="center"/>
    </xf>
    <xf numFmtId="0" fontId="173" fillId="0" borderId="0" xfId="23" applyFont="1"/>
    <xf numFmtId="0" fontId="74" fillId="0" borderId="0" xfId="23" applyFont="1" applyAlignment="1">
      <alignment horizontal="right" vertical="center"/>
    </xf>
    <xf numFmtId="0" fontId="74" fillId="0" borderId="0" xfId="23" applyFont="1" applyAlignment="1">
      <alignment vertical="center"/>
    </xf>
    <xf numFmtId="0" fontId="37" fillId="0" borderId="0" xfId="23" applyFont="1" applyAlignment="1">
      <alignment horizontal="center"/>
    </xf>
    <xf numFmtId="0" fontId="46" fillId="0" borderId="0" xfId="23" applyFont="1" applyAlignment="1">
      <alignment horizontal="left" vertical="top" wrapText="1"/>
    </xf>
    <xf numFmtId="0" fontId="46" fillId="0" borderId="0" xfId="23" applyFont="1" applyAlignment="1">
      <alignment vertical="top" wrapText="1"/>
    </xf>
    <xf numFmtId="0" fontId="46" fillId="0" borderId="7" xfId="23" applyFont="1" applyBorder="1" applyAlignment="1">
      <alignment vertical="top" wrapText="1"/>
    </xf>
    <xf numFmtId="0" fontId="46" fillId="0" borderId="7" xfId="23" applyFont="1" applyBorder="1" applyAlignment="1">
      <alignment horizontal="left" vertical="top" wrapText="1"/>
    </xf>
    <xf numFmtId="0" fontId="46" fillId="0" borderId="0" xfId="23" applyFont="1" applyAlignment="1">
      <alignment horizontal="left" vertical="top"/>
    </xf>
    <xf numFmtId="0" fontId="46" fillId="0" borderId="3" xfId="23" applyFont="1" applyBorder="1"/>
    <xf numFmtId="0" fontId="46" fillId="0" borderId="4" xfId="23" applyFont="1" applyBorder="1"/>
    <xf numFmtId="0" fontId="46" fillId="0" borderId="5" xfId="23" applyFont="1" applyBorder="1"/>
    <xf numFmtId="0" fontId="46" fillId="0" borderId="10" xfId="23" applyFont="1" applyBorder="1"/>
    <xf numFmtId="0" fontId="46" fillId="0" borderId="9" xfId="23" applyFont="1" applyBorder="1"/>
    <xf numFmtId="0" fontId="46" fillId="0" borderId="11" xfId="23" applyFont="1" applyBorder="1"/>
    <xf numFmtId="0" fontId="46" fillId="16" borderId="0" xfId="23" applyFont="1" applyFill="1" applyAlignment="1">
      <alignment vertical="center"/>
    </xf>
    <xf numFmtId="0" fontId="37" fillId="0" borderId="6" xfId="23" applyFont="1" applyBorder="1"/>
    <xf numFmtId="0" fontId="37" fillId="0" borderId="7" xfId="23" applyFont="1" applyBorder="1"/>
    <xf numFmtId="0" fontId="37" fillId="0" borderId="7" xfId="23" applyFont="1" applyBorder="1" applyAlignment="1">
      <alignment vertical="center"/>
    </xf>
    <xf numFmtId="0" fontId="37" fillId="0" borderId="0" xfId="23" applyFont="1" applyAlignment="1">
      <alignment horizontal="right" vertical="center"/>
    </xf>
    <xf numFmtId="0" fontId="37" fillId="0" borderId="0" xfId="23" applyFont="1" applyAlignment="1">
      <alignment vertical="center"/>
    </xf>
    <xf numFmtId="0" fontId="38" fillId="0" borderId="0" xfId="23" applyFont="1" applyAlignment="1">
      <alignment horizontal="center" vertical="center"/>
    </xf>
    <xf numFmtId="0" fontId="37" fillId="0" borderId="0" xfId="23" applyFont="1" applyAlignment="1">
      <alignment horizontal="left" vertical="center"/>
    </xf>
    <xf numFmtId="0" fontId="122" fillId="13" borderId="0" xfId="23" applyFont="1" applyFill="1"/>
    <xf numFmtId="0" fontId="37" fillId="0" borderId="0" xfId="23" applyFont="1" applyAlignment="1">
      <alignment horizontal="left"/>
    </xf>
    <xf numFmtId="0" fontId="12" fillId="0" borderId="0" xfId="23" applyAlignment="1">
      <alignment horizontal="center"/>
    </xf>
    <xf numFmtId="0" fontId="37" fillId="11" borderId="8" xfId="23" applyFont="1" applyFill="1" applyBorder="1" applyAlignment="1">
      <alignment horizontal="left" vertical="center"/>
    </xf>
    <xf numFmtId="0" fontId="38" fillId="0" borderId="0" xfId="23" applyFont="1" applyAlignment="1">
      <alignment vertical="center"/>
    </xf>
    <xf numFmtId="0" fontId="63" fillId="0" borderId="0" xfId="0" applyFont="1" applyAlignment="1">
      <alignment horizontal="center" vertical="center"/>
    </xf>
    <xf numFmtId="0" fontId="37" fillId="5" borderId="12" xfId="12" applyFont="1" applyFill="1" applyBorder="1" applyAlignment="1" applyProtection="1">
      <alignment horizontal="center" vertical="center" wrapText="1" shrinkToFit="1"/>
      <protection locked="0"/>
    </xf>
    <xf numFmtId="0" fontId="14" fillId="16" borderId="0" xfId="0" applyFont="1" applyFill="1"/>
    <xf numFmtId="0" fontId="174" fillId="0" borderId="0" xfId="300" applyFont="1"/>
    <xf numFmtId="1" fontId="13" fillId="0" borderId="0" xfId="0" applyNumberFormat="1" applyFont="1" applyAlignment="1">
      <alignment horizontal="center" vertical="center"/>
    </xf>
    <xf numFmtId="165" fontId="18" fillId="0" borderId="0" xfId="0" applyNumberFormat="1" applyFont="1" applyAlignment="1">
      <alignment horizontal="center" vertical="center"/>
    </xf>
    <xf numFmtId="0" fontId="0" fillId="0" borderId="0" xfId="0" applyAlignment="1">
      <alignment vertical="center" wrapText="1"/>
    </xf>
    <xf numFmtId="165" fontId="14" fillId="0" borderId="0" xfId="0" applyNumberFormat="1" applyFont="1" applyAlignment="1">
      <alignment horizontal="left"/>
    </xf>
    <xf numFmtId="165" fontId="16" fillId="11" borderId="0" xfId="0" applyNumberFormat="1" applyFont="1" applyFill="1" applyAlignment="1">
      <alignment vertical="center"/>
    </xf>
    <xf numFmtId="1" fontId="16" fillId="0" borderId="0" xfId="0" applyNumberFormat="1" applyFont="1" applyAlignment="1">
      <alignment vertical="center"/>
    </xf>
    <xf numFmtId="1" fontId="16" fillId="11" borderId="0" xfId="0" applyNumberFormat="1" applyFont="1" applyFill="1" applyAlignment="1">
      <alignment vertical="center"/>
    </xf>
    <xf numFmtId="0" fontId="127" fillId="0" borderId="0" xfId="0" applyFont="1" applyAlignment="1">
      <alignment horizontal="left" vertical="top"/>
    </xf>
    <xf numFmtId="180" fontId="14" fillId="0" borderId="0" xfId="0" applyNumberFormat="1" applyFont="1" applyAlignment="1">
      <alignment horizontal="center" vertical="center"/>
    </xf>
    <xf numFmtId="0" fontId="15" fillId="16" borderId="0" xfId="0" applyFont="1" applyFill="1" applyAlignment="1">
      <alignment horizontal="left" vertical="center"/>
    </xf>
    <xf numFmtId="1" fontId="16" fillId="11" borderId="0" xfId="0" applyNumberFormat="1" applyFont="1" applyFill="1" applyAlignment="1">
      <alignment horizontal="center" vertical="center"/>
    </xf>
    <xf numFmtId="165" fontId="18" fillId="0" borderId="0" xfId="0" applyNumberFormat="1" applyFont="1" applyAlignment="1">
      <alignment horizontal="left" vertical="center"/>
    </xf>
    <xf numFmtId="2" fontId="14" fillId="0" borderId="0" xfId="55" applyNumberFormat="1" applyFont="1" applyAlignment="1">
      <alignment horizontal="center" vertical="center"/>
    </xf>
    <xf numFmtId="0" fontId="68" fillId="0" borderId="0" xfId="0" applyFont="1" applyAlignment="1">
      <alignment vertical="center"/>
    </xf>
    <xf numFmtId="165" fontId="16" fillId="0" borderId="0" xfId="55" applyNumberFormat="1" applyFont="1" applyAlignment="1">
      <alignment vertical="center"/>
    </xf>
    <xf numFmtId="165" fontId="14" fillId="0" borderId="0" xfId="55" applyNumberFormat="1" applyFont="1" applyAlignment="1">
      <alignment horizontal="left" vertical="center" indent="1"/>
    </xf>
    <xf numFmtId="0" fontId="14" fillId="0" borderId="0" xfId="43" applyFont="1" applyAlignment="1">
      <alignment vertical="top"/>
    </xf>
    <xf numFmtId="0" fontId="16" fillId="0" borderId="0" xfId="43" applyFont="1"/>
    <xf numFmtId="0" fontId="120" fillId="0" borderId="0" xfId="0" applyFont="1" applyAlignment="1">
      <alignment vertical="top"/>
    </xf>
    <xf numFmtId="165" fontId="126" fillId="0" borderId="0" xfId="43" applyNumberFormat="1" applyFont="1" applyAlignment="1">
      <alignment vertical="center"/>
    </xf>
    <xf numFmtId="0" fontId="14" fillId="0" borderId="0" xfId="43" applyFont="1" applyAlignment="1">
      <alignment horizontal="left"/>
    </xf>
    <xf numFmtId="0" fontId="110" fillId="0" borderId="0" xfId="43" applyFont="1" applyAlignment="1">
      <alignment vertical="center"/>
    </xf>
    <xf numFmtId="0" fontId="110" fillId="0" borderId="4" xfId="43" applyFont="1" applyBorder="1" applyAlignment="1">
      <alignment vertical="center"/>
    </xf>
    <xf numFmtId="0" fontId="19" fillId="0" borderId="38" xfId="0" applyFont="1" applyBorder="1" applyAlignment="1">
      <alignment vertical="center"/>
    </xf>
    <xf numFmtId="0" fontId="108" fillId="0" borderId="0" xfId="0" applyFont="1" applyAlignment="1">
      <alignment vertical="center" wrapText="1"/>
    </xf>
    <xf numFmtId="0" fontId="108" fillId="0" borderId="0" xfId="0" applyFont="1" applyAlignment="1">
      <alignment vertical="center"/>
    </xf>
    <xf numFmtId="2" fontId="97" fillId="0" borderId="5" xfId="0" applyNumberFormat="1" applyFont="1" applyBorder="1"/>
    <xf numFmtId="0" fontId="14" fillId="0" borderId="2" xfId="23" applyFont="1" applyBorder="1" applyAlignment="1">
      <alignment horizontal="right" vertical="center"/>
    </xf>
    <xf numFmtId="0" fontId="19" fillId="0" borderId="2" xfId="23" applyFont="1" applyBorder="1" applyAlignment="1">
      <alignment vertical="center"/>
    </xf>
    <xf numFmtId="0" fontId="19" fillId="16" borderId="0" xfId="0" applyFont="1" applyFill="1"/>
    <xf numFmtId="0" fontId="97" fillId="16" borderId="0" xfId="0" applyFont="1" applyFill="1"/>
    <xf numFmtId="0" fontId="15" fillId="0" borderId="0" xfId="23" applyFont="1" applyAlignment="1">
      <alignment horizontal="left" vertical="center"/>
    </xf>
    <xf numFmtId="0" fontId="14" fillId="0" borderId="9" xfId="0" applyFont="1" applyBorder="1" applyAlignment="1">
      <alignment vertical="top"/>
    </xf>
    <xf numFmtId="0" fontId="14" fillId="0" borderId="1" xfId="0" applyFont="1" applyBorder="1" applyAlignment="1">
      <alignment vertical="top"/>
    </xf>
    <xf numFmtId="0" fontId="97" fillId="0" borderId="0" xfId="0" applyFont="1" applyAlignment="1">
      <alignment horizontal="center"/>
    </xf>
    <xf numFmtId="0" fontId="25" fillId="16" borderId="0" xfId="23" applyFont="1" applyFill="1" applyAlignment="1">
      <alignment vertical="center"/>
    </xf>
    <xf numFmtId="0" fontId="37" fillId="5" borderId="36" xfId="12" applyFont="1" applyFill="1" applyBorder="1" applyAlignment="1" applyProtection="1">
      <alignment horizontal="center" vertical="center" wrapText="1"/>
      <protection locked="0"/>
    </xf>
    <xf numFmtId="0" fontId="14" fillId="0" borderId="0" xfId="23" applyFont="1" applyAlignment="1">
      <alignment vertical="center"/>
      <extLst>
        <ext xmlns:xfpb="http://schemas.microsoft.com/office/spreadsheetml/2022/featurepropertybag" uri="{C7286773-470A-42A8-94C5-96B5CB345126}">
          <xfpb:xfComplement i="0"/>
        </ext>
      </extLst>
    </xf>
    <xf numFmtId="0" fontId="2" fillId="0" borderId="0" xfId="300" applyFont="1" applyAlignment="1">
      <alignment horizontal="right"/>
    </xf>
    <xf numFmtId="1" fontId="22" fillId="11" borderId="8" xfId="23" applyNumberFormat="1" applyFont="1" applyFill="1" applyBorder="1"/>
    <xf numFmtId="1" fontId="14" fillId="0" borderId="0" xfId="55" applyNumberFormat="1" applyFont="1" applyAlignment="1">
      <alignment horizontal="center" vertical="center"/>
    </xf>
    <xf numFmtId="0" fontId="14" fillId="0" borderId="37" xfId="0" applyFont="1" applyBorder="1" applyAlignment="1">
      <alignment vertical="center"/>
    </xf>
    <xf numFmtId="0" fontId="16" fillId="0" borderId="1" xfId="0" applyFont="1" applyBorder="1" applyAlignment="1">
      <alignment vertical="center"/>
    </xf>
    <xf numFmtId="49" fontId="14" fillId="0" borderId="2" xfId="0" applyNumberFormat="1" applyFont="1" applyBorder="1" applyAlignment="1">
      <alignment vertical="center"/>
    </xf>
    <xf numFmtId="49" fontId="16" fillId="0" borderId="2" xfId="0" applyNumberFormat="1" applyFont="1" applyBorder="1" applyAlignment="1">
      <alignment vertical="center"/>
    </xf>
    <xf numFmtId="0" fontId="14" fillId="0" borderId="2" xfId="0" applyFont="1" applyBorder="1" applyAlignment="1">
      <alignment horizontal="right" vertical="center"/>
    </xf>
    <xf numFmtId="0" fontId="14" fillId="0" borderId="2" xfId="0" quotePrefix="1" applyFont="1" applyBorder="1" applyAlignment="1">
      <alignment horizontal="center" vertical="center" wrapText="1"/>
    </xf>
    <xf numFmtId="0" fontId="46" fillId="0" borderId="0" xfId="23" quotePrefix="1" applyFont="1" applyAlignment="1">
      <alignment horizontal="center" vertical="center"/>
    </xf>
    <xf numFmtId="0" fontId="46" fillId="0" borderId="0" xfId="23" applyFont="1" applyAlignment="1">
      <alignment horizontal="center" vertical="center"/>
    </xf>
    <xf numFmtId="0" fontId="46" fillId="0" borderId="0" xfId="23" applyFont="1" applyAlignment="1">
      <alignment vertical="center"/>
    </xf>
    <xf numFmtId="0" fontId="43" fillId="0" borderId="0" xfId="9" applyFont="1" applyAlignment="1">
      <alignment horizontal="center"/>
    </xf>
    <xf numFmtId="0" fontId="38" fillId="11" borderId="8" xfId="23" applyFont="1" applyFill="1" applyBorder="1" applyAlignment="1">
      <alignment vertical="center"/>
    </xf>
    <xf numFmtId="0" fontId="12" fillId="0" borderId="0" xfId="23" applyAlignment="1">
      <alignment horizontal="left"/>
    </xf>
    <xf numFmtId="1" fontId="37" fillId="0" borderId="7" xfId="23" applyNumberFormat="1" applyFont="1" applyBorder="1" applyAlignment="1">
      <alignment vertical="center"/>
    </xf>
    <xf numFmtId="0" fontId="65" fillId="0" borderId="6" xfId="0" applyFont="1" applyBorder="1" applyAlignment="1">
      <alignment horizontal="center" vertical="center"/>
    </xf>
    <xf numFmtId="1" fontId="41" fillId="0" borderId="1" xfId="55" applyNumberFormat="1" applyFont="1" applyBorder="1" applyAlignment="1" applyProtection="1">
      <alignment horizontal="center" vertical="center"/>
      <protection hidden="1"/>
    </xf>
    <xf numFmtId="168" fontId="37" fillId="0" borderId="1" xfId="10" applyNumberFormat="1" applyFont="1" applyBorder="1" applyAlignment="1" applyProtection="1">
      <alignment horizontal="left" vertical="center"/>
      <protection hidden="1"/>
    </xf>
    <xf numFmtId="168" fontId="37" fillId="0" borderId="0" xfId="10" applyNumberFormat="1" applyFont="1" applyAlignment="1" applyProtection="1">
      <alignment horizontal="left" vertical="center"/>
      <protection hidden="1"/>
    </xf>
    <xf numFmtId="0" fontId="19" fillId="0" borderId="20" xfId="10" applyFont="1" applyBorder="1" applyAlignment="1">
      <alignment vertical="center"/>
    </xf>
    <xf numFmtId="0" fontId="46" fillId="0" borderId="0" xfId="0" applyFont="1"/>
    <xf numFmtId="0" fontId="37" fillId="2" borderId="14" xfId="0" applyFont="1" applyFill="1" applyBorder="1" applyAlignment="1">
      <alignment horizontal="right"/>
    </xf>
    <xf numFmtId="0" fontId="46" fillId="0" borderId="6" xfId="0" applyFont="1" applyBorder="1"/>
    <xf numFmtId="0" fontId="46" fillId="0" borderId="7" xfId="0" applyFont="1" applyBorder="1"/>
    <xf numFmtId="0" fontId="50" fillId="0" borderId="6" xfId="0" applyFont="1" applyBorder="1"/>
    <xf numFmtId="0" fontId="50" fillId="0" borderId="0" xfId="0" applyFont="1"/>
    <xf numFmtId="0" fontId="50" fillId="0" borderId="7" xfId="0" applyFont="1" applyBorder="1"/>
    <xf numFmtId="0" fontId="46" fillId="0" borderId="0" xfId="0" applyFont="1" applyAlignment="1">
      <alignment horizontal="left" vertical="top" wrapText="1"/>
    </xf>
    <xf numFmtId="0" fontId="46" fillId="0" borderId="0" xfId="0" applyFont="1" applyAlignment="1">
      <alignment vertical="top" wrapText="1"/>
    </xf>
    <xf numFmtId="0" fontId="46" fillId="0" borderId="7" xfId="0" applyFont="1" applyBorder="1" applyAlignment="1">
      <alignment vertical="top" wrapText="1"/>
    </xf>
    <xf numFmtId="0" fontId="46" fillId="0" borderId="7" xfId="0" applyFont="1" applyBorder="1" applyAlignment="1">
      <alignment horizontal="left" vertical="top" wrapText="1"/>
    </xf>
    <xf numFmtId="0" fontId="46" fillId="0" borderId="0" xfId="0" applyFont="1" applyAlignment="1">
      <alignment horizontal="left" vertical="top"/>
    </xf>
    <xf numFmtId="0" fontId="46" fillId="0" borderId="3" xfId="0" applyFont="1" applyBorder="1"/>
    <xf numFmtId="0" fontId="46" fillId="0" borderId="4" xfId="0" applyFont="1" applyBorder="1"/>
    <xf numFmtId="0" fontId="46" fillId="0" borderId="5" xfId="0" applyFont="1" applyBorder="1"/>
    <xf numFmtId="0" fontId="46" fillId="0" borderId="10" xfId="0" applyFont="1" applyBorder="1"/>
    <xf numFmtId="0" fontId="46" fillId="0" borderId="9" xfId="0" applyFont="1" applyBorder="1"/>
    <xf numFmtId="0" fontId="46" fillId="0" borderId="11" xfId="0" applyFont="1" applyBorder="1"/>
    <xf numFmtId="0" fontId="37" fillId="2" borderId="34" xfId="0" applyFont="1" applyFill="1" applyBorder="1" applyAlignment="1">
      <alignment horizontal="right"/>
    </xf>
    <xf numFmtId="0" fontId="48" fillId="0" borderId="0" xfId="0" applyFont="1" applyAlignment="1">
      <alignment horizontal="left" vertical="center"/>
    </xf>
    <xf numFmtId="0" fontId="64" fillId="2" borderId="32" xfId="0" applyFont="1" applyFill="1" applyBorder="1" applyAlignment="1">
      <alignment vertical="center"/>
    </xf>
    <xf numFmtId="0" fontId="64" fillId="2" borderId="33" xfId="0" applyFont="1" applyFill="1" applyBorder="1" applyAlignment="1">
      <alignment vertical="center"/>
    </xf>
    <xf numFmtId="0" fontId="65" fillId="0" borderId="35" xfId="0" applyFont="1" applyBorder="1" applyAlignment="1">
      <alignment vertical="center"/>
    </xf>
    <xf numFmtId="0" fontId="65" fillId="0" borderId="9" xfId="0" applyFont="1" applyBorder="1" applyAlignment="1">
      <alignment vertical="center"/>
    </xf>
    <xf numFmtId="0" fontId="65" fillId="0" borderId="36" xfId="0" applyFont="1" applyBorder="1" applyAlignment="1">
      <alignment vertical="center"/>
    </xf>
    <xf numFmtId="0" fontId="65" fillId="0" borderId="22" xfId="0" applyFont="1" applyBorder="1" applyAlignment="1">
      <alignment horizontal="left" vertical="center"/>
    </xf>
    <xf numFmtId="0" fontId="65" fillId="5" borderId="8" xfId="0" applyFont="1" applyFill="1" applyBorder="1" applyAlignment="1" applyProtection="1">
      <alignment horizontal="center" vertical="center"/>
      <protection locked="0"/>
    </xf>
    <xf numFmtId="0" fontId="65" fillId="0" borderId="0" xfId="0" applyFont="1" applyAlignment="1">
      <alignment horizontal="right" vertical="center"/>
    </xf>
    <xf numFmtId="165" fontId="65" fillId="2" borderId="8" xfId="0" applyNumberFormat="1" applyFont="1" applyFill="1" applyBorder="1" applyAlignment="1">
      <alignment horizontal="center" vertical="center"/>
    </xf>
    <xf numFmtId="0" fontId="65" fillId="2" borderId="8" xfId="0" applyFont="1" applyFill="1" applyBorder="1" applyAlignment="1">
      <alignment horizontal="center" vertical="center"/>
    </xf>
    <xf numFmtId="165" fontId="65" fillId="0" borderId="0" xfId="0" applyNumberFormat="1" applyFont="1" applyAlignment="1">
      <alignment horizontal="center" vertical="center"/>
    </xf>
    <xf numFmtId="0" fontId="65" fillId="0" borderId="11" xfId="0" applyFont="1" applyBorder="1" applyAlignment="1">
      <alignment vertical="center"/>
    </xf>
    <xf numFmtId="0" fontId="65" fillId="0" borderId="10" xfId="0" applyFont="1" applyBorder="1" applyAlignment="1">
      <alignment vertical="center"/>
    </xf>
    <xf numFmtId="165" fontId="65" fillId="2" borderId="18" xfId="0" applyNumberFormat="1" applyFont="1" applyFill="1" applyBorder="1" applyAlignment="1">
      <alignment horizontal="center" vertical="center"/>
    </xf>
    <xf numFmtId="165" fontId="65" fillId="2" borderId="14" xfId="0" applyNumberFormat="1" applyFont="1" applyFill="1" applyBorder="1" applyAlignment="1">
      <alignment horizontal="center" vertical="center"/>
    </xf>
    <xf numFmtId="0" fontId="37" fillId="0" borderId="1" xfId="0" applyFont="1" applyBorder="1" applyAlignment="1">
      <alignment vertical="center"/>
    </xf>
    <xf numFmtId="0" fontId="65" fillId="0" borderId="37" xfId="0" applyFont="1" applyBorder="1" applyAlignment="1">
      <alignment vertical="center"/>
    </xf>
    <xf numFmtId="0" fontId="65" fillId="0" borderId="4" xfId="0" applyFont="1" applyBorder="1" applyAlignment="1">
      <alignment vertical="center"/>
    </xf>
    <xf numFmtId="0" fontId="65" fillId="0" borderId="5" xfId="0" applyFont="1" applyBorder="1" applyAlignment="1">
      <alignment vertical="center"/>
    </xf>
    <xf numFmtId="0" fontId="65" fillId="0" borderId="3" xfId="0" applyFont="1" applyBorder="1" applyAlignment="1">
      <alignment vertical="center"/>
    </xf>
    <xf numFmtId="0" fontId="65" fillId="0" borderId="38" xfId="0" applyFont="1" applyBorder="1" applyAlignment="1">
      <alignment vertical="center"/>
    </xf>
    <xf numFmtId="0" fontId="64" fillId="2" borderId="19" xfId="0" applyFont="1" applyFill="1" applyBorder="1" applyAlignment="1">
      <alignment vertical="center"/>
    </xf>
    <xf numFmtId="0" fontId="64" fillId="2" borderId="39" xfId="0" applyFont="1" applyFill="1" applyBorder="1" applyAlignment="1">
      <alignment vertical="center"/>
    </xf>
    <xf numFmtId="0" fontId="64" fillId="2" borderId="26" xfId="0" applyFont="1" applyFill="1" applyBorder="1" applyAlignment="1">
      <alignment vertical="center"/>
    </xf>
    <xf numFmtId="1" fontId="65" fillId="0" borderId="0" xfId="0" applyNumberFormat="1" applyFont="1" applyAlignment="1">
      <alignment vertical="center"/>
    </xf>
    <xf numFmtId="0" fontId="65" fillId="0" borderId="1" xfId="0" applyFont="1" applyBorder="1" applyAlignment="1">
      <alignment horizontal="left" vertical="center" wrapText="1"/>
    </xf>
    <xf numFmtId="0" fontId="65" fillId="0" borderId="21" xfId="0" applyFont="1" applyBorder="1" applyAlignment="1">
      <alignment vertical="center"/>
    </xf>
    <xf numFmtId="0" fontId="65" fillId="0" borderId="2" xfId="0" applyFont="1" applyBorder="1" applyAlignment="1">
      <alignment vertical="center"/>
    </xf>
    <xf numFmtId="0" fontId="65" fillId="0" borderId="23" xfId="0" applyFont="1" applyBorder="1" applyAlignment="1">
      <alignment vertical="center"/>
    </xf>
    <xf numFmtId="0" fontId="2" fillId="0" borderId="0" xfId="300" applyFont="1"/>
    <xf numFmtId="0" fontId="37" fillId="2" borderId="29" xfId="0" applyFont="1" applyFill="1" applyBorder="1" applyAlignment="1">
      <alignment horizontal="right"/>
    </xf>
    <xf numFmtId="0" fontId="12" fillId="0" borderId="2" xfId="0" applyFont="1" applyBorder="1" applyAlignment="1">
      <alignment vertical="center"/>
    </xf>
    <xf numFmtId="0" fontId="14" fillId="0" borderId="2" xfId="61" applyFont="1" applyBorder="1" applyAlignment="1">
      <alignment horizontal="left"/>
    </xf>
    <xf numFmtId="0" fontId="12" fillId="0" borderId="0" xfId="59" applyFont="1" applyAlignment="1">
      <alignment horizontal="left" vertical="center"/>
    </xf>
    <xf numFmtId="0" fontId="117" fillId="11" borderId="33" xfId="0" applyFont="1" applyFill="1" applyBorder="1" applyAlignment="1">
      <alignment vertical="center"/>
    </xf>
    <xf numFmtId="0" fontId="97" fillId="0" borderId="0" xfId="23" applyFont="1" applyAlignment="1">
      <alignment vertical="center" wrapText="1"/>
    </xf>
    <xf numFmtId="2" fontId="14" fillId="0" borderId="0" xfId="10" applyNumberFormat="1" applyFont="1" applyAlignment="1">
      <alignment horizontal="left" vertical="center"/>
    </xf>
    <xf numFmtId="2" fontId="14" fillId="0" borderId="0" xfId="10" applyNumberFormat="1" applyFont="1" applyAlignment="1">
      <alignment vertical="center"/>
    </xf>
    <xf numFmtId="0" fontId="43" fillId="13" borderId="0" xfId="9" applyFont="1" applyFill="1"/>
    <xf numFmtId="0" fontId="102" fillId="13" borderId="0" xfId="0" applyFont="1" applyFill="1"/>
    <xf numFmtId="0" fontId="102" fillId="13" borderId="0" xfId="9" applyFont="1" applyFill="1"/>
    <xf numFmtId="0" fontId="19" fillId="0" borderId="4" xfId="13" applyFont="1" applyBorder="1"/>
    <xf numFmtId="0" fontId="37" fillId="0" borderId="9" xfId="13" applyFont="1" applyBorder="1"/>
    <xf numFmtId="0" fontId="35" fillId="0" borderId="19" xfId="23" applyFont="1" applyBorder="1" applyAlignment="1">
      <alignment horizontal="left" vertical="center"/>
    </xf>
    <xf numFmtId="0" fontId="22" fillId="9" borderId="9" xfId="23" applyFont="1" applyFill="1" applyBorder="1" applyAlignment="1">
      <alignment horizontal="left" vertical="center" wrapText="1"/>
    </xf>
    <xf numFmtId="0" fontId="22" fillId="9" borderId="0" xfId="23" applyFont="1" applyFill="1" applyAlignment="1">
      <alignment horizontal="left" vertical="center" wrapText="1"/>
    </xf>
    <xf numFmtId="0" fontId="22" fillId="9" borderId="4" xfId="23" applyFont="1" applyFill="1" applyBorder="1" applyAlignment="1">
      <alignment horizontal="left" vertical="center" wrapText="1"/>
    </xf>
    <xf numFmtId="0" fontId="22" fillId="0" borderId="9" xfId="23" applyFont="1" applyBorder="1" applyAlignment="1">
      <alignment horizontal="left" vertical="center" wrapText="1"/>
    </xf>
    <xf numFmtId="0" fontId="22" fillId="0" borderId="0" xfId="23" applyFont="1" applyAlignment="1">
      <alignment horizontal="left" vertical="center" wrapText="1"/>
    </xf>
    <xf numFmtId="0" fontId="22" fillId="0" borderId="4" xfId="23" applyFont="1" applyBorder="1" applyAlignment="1">
      <alignment horizontal="left" vertical="center" wrapText="1"/>
    </xf>
    <xf numFmtId="0" fontId="22" fillId="9" borderId="9" xfId="8" applyFont="1" applyFill="1" applyBorder="1" applyAlignment="1" applyProtection="1">
      <alignment horizontal="left" vertical="center" wrapText="1"/>
    </xf>
    <xf numFmtId="0" fontId="22" fillId="9" borderId="4" xfId="8" applyFont="1" applyFill="1" applyBorder="1" applyAlignment="1" applyProtection="1">
      <alignment horizontal="left" vertical="center" wrapText="1"/>
    </xf>
    <xf numFmtId="0" fontId="22" fillId="9" borderId="19" xfId="23" applyFont="1" applyFill="1" applyBorder="1" applyAlignment="1">
      <alignment horizontal="left" vertical="center" wrapText="1"/>
    </xf>
    <xf numFmtId="0" fontId="22" fillId="0" borderId="19" xfId="23" applyFont="1" applyBorder="1" applyAlignment="1">
      <alignment horizontal="left" vertical="center" wrapText="1"/>
    </xf>
    <xf numFmtId="0" fontId="22" fillId="0" borderId="41" xfId="23" applyFont="1" applyBorder="1" applyAlignment="1">
      <alignment horizontal="left" vertical="center" wrapText="1"/>
    </xf>
    <xf numFmtId="0" fontId="22" fillId="9" borderId="19" xfId="23" applyFont="1" applyFill="1" applyBorder="1" applyAlignment="1">
      <alignment horizontal="left" wrapText="1"/>
    </xf>
    <xf numFmtId="0" fontId="22" fillId="0" borderId="41" xfId="23" applyFont="1" applyBorder="1" applyAlignment="1">
      <alignment vertical="center" wrapText="1"/>
    </xf>
    <xf numFmtId="0" fontId="14" fillId="7" borderId="18" xfId="43" applyFont="1" applyFill="1" applyBorder="1" applyAlignment="1" applyProtection="1">
      <alignment horizontal="left" vertical="center" indent="1"/>
      <protection locked="0"/>
    </xf>
    <xf numFmtId="0" fontId="14" fillId="7" borderId="19" xfId="43" applyFont="1" applyFill="1" applyBorder="1" applyAlignment="1" applyProtection="1">
      <alignment horizontal="left" vertical="center" indent="1"/>
      <protection locked="0"/>
    </xf>
    <xf numFmtId="0" fontId="14" fillId="7" borderId="14" xfId="43" applyFont="1" applyFill="1" applyBorder="1" applyAlignment="1" applyProtection="1">
      <alignment horizontal="left" vertical="center" indent="1"/>
      <protection locked="0"/>
    </xf>
    <xf numFmtId="0" fontId="16" fillId="11" borderId="19" xfId="43" applyFont="1" applyFill="1" applyBorder="1" applyAlignment="1">
      <alignment horizontal="left" vertical="center"/>
    </xf>
    <xf numFmtId="1" fontId="14" fillId="5" borderId="18" xfId="43" applyNumberFormat="1" applyFont="1" applyFill="1" applyBorder="1" applyAlignment="1" applyProtection="1">
      <alignment horizontal="center" vertical="center"/>
      <protection locked="0"/>
    </xf>
    <xf numFmtId="1" fontId="14" fillId="5" borderId="14" xfId="43" applyNumberFormat="1" applyFont="1" applyFill="1" applyBorder="1" applyAlignment="1" applyProtection="1">
      <alignment horizontal="center" vertical="center"/>
      <protection locked="0"/>
    </xf>
    <xf numFmtId="0" fontId="14" fillId="5" borderId="18" xfId="43" applyFont="1" applyFill="1" applyBorder="1" applyAlignment="1" applyProtection="1">
      <alignment horizontal="left" vertical="center" indent="1"/>
      <protection locked="0"/>
    </xf>
    <xf numFmtId="0" fontId="14" fillId="5" borderId="19" xfId="43" applyFont="1" applyFill="1" applyBorder="1" applyAlignment="1" applyProtection="1">
      <alignment horizontal="left" vertical="center" indent="1"/>
      <protection locked="0"/>
    </xf>
    <xf numFmtId="0" fontId="14" fillId="5" borderId="14" xfId="43" applyFont="1" applyFill="1" applyBorder="1" applyAlignment="1" applyProtection="1">
      <alignment horizontal="left" vertical="center" indent="1"/>
      <protection locked="0"/>
    </xf>
    <xf numFmtId="0" fontId="14" fillId="0" borderId="0" xfId="43" applyFont="1" applyAlignment="1">
      <alignment horizontal="right" vertical="center" wrapText="1" indent="1"/>
    </xf>
    <xf numFmtId="0" fontId="14" fillId="0" borderId="7" xfId="43" applyFont="1" applyBorder="1" applyAlignment="1">
      <alignment horizontal="right" vertical="center" wrapText="1" indent="1"/>
    </xf>
    <xf numFmtId="1" fontId="14" fillId="7" borderId="18" xfId="43" applyNumberFormat="1" applyFont="1" applyFill="1" applyBorder="1" applyAlignment="1" applyProtection="1">
      <alignment horizontal="center" vertical="center"/>
      <protection locked="0"/>
    </xf>
    <xf numFmtId="1" fontId="14" fillId="7" borderId="14" xfId="43" applyNumberFormat="1" applyFont="1" applyFill="1" applyBorder="1" applyAlignment="1" applyProtection="1">
      <alignment horizontal="center" vertical="center"/>
      <protection locked="0"/>
    </xf>
    <xf numFmtId="0" fontId="14" fillId="7" borderId="10" xfId="43" applyFont="1" applyFill="1" applyBorder="1" applyAlignment="1" applyProtection="1">
      <alignment horizontal="left" vertical="top" wrapText="1"/>
      <protection locked="0"/>
    </xf>
    <xf numFmtId="0" fontId="14" fillId="7" borderId="9" xfId="43" applyFont="1" applyFill="1" applyBorder="1" applyAlignment="1" applyProtection="1">
      <alignment horizontal="left" vertical="top" wrapText="1"/>
      <protection locked="0"/>
    </xf>
    <xf numFmtId="0" fontId="14" fillId="7" borderId="11" xfId="43" applyFont="1" applyFill="1" applyBorder="1" applyAlignment="1" applyProtection="1">
      <alignment horizontal="left" vertical="top" wrapText="1"/>
      <protection locked="0"/>
    </xf>
    <xf numFmtId="0" fontId="14" fillId="7" borderId="3" xfId="43" applyFont="1" applyFill="1" applyBorder="1" applyAlignment="1" applyProtection="1">
      <alignment horizontal="left" vertical="top" wrapText="1"/>
      <protection locked="0"/>
    </xf>
    <xf numFmtId="0" fontId="14" fillId="7" borderId="4" xfId="43" applyFont="1" applyFill="1" applyBorder="1" applyAlignment="1" applyProtection="1">
      <alignment horizontal="left" vertical="top" wrapText="1"/>
      <protection locked="0"/>
    </xf>
    <xf numFmtId="0" fontId="14" fillId="7" borderId="5" xfId="43" applyFont="1" applyFill="1" applyBorder="1" applyAlignment="1" applyProtection="1">
      <alignment horizontal="left" vertical="top" wrapText="1"/>
      <protection locked="0"/>
    </xf>
    <xf numFmtId="0" fontId="14" fillId="0" borderId="8" xfId="43" applyFont="1" applyBorder="1" applyAlignment="1">
      <alignment horizontal="center" wrapText="1"/>
    </xf>
    <xf numFmtId="0" fontId="14" fillId="7" borderId="8" xfId="43" applyFont="1" applyFill="1" applyBorder="1" applyAlignment="1" applyProtection="1">
      <alignment horizontal="center" vertical="center"/>
      <protection locked="0"/>
    </xf>
    <xf numFmtId="0" fontId="14" fillId="5" borderId="18" xfId="43" applyFont="1" applyFill="1" applyBorder="1" applyAlignment="1" applyProtection="1">
      <alignment horizontal="center" vertical="center"/>
      <protection locked="0"/>
    </xf>
    <xf numFmtId="0" fontId="14" fillId="5" borderId="19" xfId="43" applyFont="1" applyFill="1" applyBorder="1" applyAlignment="1" applyProtection="1">
      <alignment horizontal="center" vertical="center"/>
      <protection locked="0"/>
    </xf>
    <xf numFmtId="0" fontId="14" fillId="5" borderId="14" xfId="43" applyFont="1" applyFill="1" applyBorder="1" applyAlignment="1" applyProtection="1">
      <alignment horizontal="center" vertical="center"/>
      <protection locked="0"/>
    </xf>
    <xf numFmtId="0" fontId="14" fillId="7" borderId="18" xfId="43" applyFont="1" applyFill="1" applyBorder="1" applyAlignment="1" applyProtection="1">
      <alignment horizontal="center" vertical="center"/>
      <protection locked="0"/>
    </xf>
    <xf numFmtId="0" fontId="14" fillId="7" borderId="19" xfId="43" applyFont="1" applyFill="1" applyBorder="1" applyAlignment="1" applyProtection="1">
      <alignment horizontal="center" vertical="center"/>
      <protection locked="0"/>
    </xf>
    <xf numFmtId="0" fontId="14" fillId="7" borderId="14" xfId="43" applyFont="1" applyFill="1" applyBorder="1" applyAlignment="1" applyProtection="1">
      <alignment horizontal="center" vertical="center"/>
      <protection locked="0"/>
    </xf>
    <xf numFmtId="0" fontId="14" fillId="0" borderId="0" xfId="43" applyFont="1" applyAlignment="1">
      <alignment horizontal="right" vertical="center"/>
    </xf>
    <xf numFmtId="0" fontId="14" fillId="11" borderId="33" xfId="43" applyFont="1" applyFill="1" applyBorder="1" applyAlignment="1">
      <alignment horizontal="center" vertical="center"/>
    </xf>
    <xf numFmtId="0" fontId="14" fillId="11" borderId="34" xfId="43" applyFont="1" applyFill="1" applyBorder="1" applyAlignment="1">
      <alignment horizontal="center" vertical="center"/>
    </xf>
    <xf numFmtId="0" fontId="14" fillId="7" borderId="18" xfId="43" applyFont="1" applyFill="1" applyBorder="1" applyAlignment="1" applyProtection="1">
      <alignment horizontal="left" vertical="center"/>
      <protection locked="0"/>
    </xf>
    <xf numFmtId="0" fontId="14" fillId="7" borderId="19" xfId="43" applyFont="1" applyFill="1" applyBorder="1" applyAlignment="1" applyProtection="1">
      <alignment horizontal="left" vertical="center"/>
      <protection locked="0"/>
    </xf>
    <xf numFmtId="0" fontId="14" fillId="7" borderId="14" xfId="43" applyFont="1" applyFill="1" applyBorder="1" applyAlignment="1" applyProtection="1">
      <alignment horizontal="left" vertical="center"/>
      <protection locked="0"/>
    </xf>
    <xf numFmtId="0" fontId="14" fillId="0" borderId="7" xfId="43" applyFont="1" applyBorder="1" applyAlignment="1">
      <alignment horizontal="right" vertical="center"/>
    </xf>
    <xf numFmtId="0" fontId="14" fillId="0" borderId="6" xfId="23" applyFont="1" applyBorder="1" applyAlignment="1">
      <alignment horizontal="right" vertical="center"/>
    </xf>
    <xf numFmtId="0" fontId="14" fillId="0" borderId="7" xfId="23" applyFont="1" applyBorder="1" applyAlignment="1">
      <alignment horizontal="right" vertical="center"/>
    </xf>
    <xf numFmtId="49" fontId="14" fillId="7" borderId="18" xfId="43" applyNumberFormat="1" applyFont="1" applyFill="1" applyBorder="1" applyAlignment="1" applyProtection="1">
      <alignment horizontal="center" vertical="center"/>
      <protection locked="0"/>
    </xf>
    <xf numFmtId="49" fontId="14" fillId="7" borderId="14" xfId="43" applyNumberFormat="1" applyFont="1" applyFill="1" applyBorder="1" applyAlignment="1" applyProtection="1">
      <alignment horizontal="center" vertical="center"/>
      <protection locked="0"/>
    </xf>
    <xf numFmtId="49" fontId="14" fillId="7" borderId="19" xfId="43" applyNumberFormat="1" applyFont="1" applyFill="1" applyBorder="1" applyAlignment="1" applyProtection="1">
      <alignment horizontal="center" vertical="center"/>
      <protection locked="0"/>
    </xf>
    <xf numFmtId="14" fontId="14" fillId="5" borderId="18" xfId="43" applyNumberFormat="1" applyFont="1" applyFill="1" applyBorder="1" applyAlignment="1" applyProtection="1">
      <alignment horizontal="center" vertical="center"/>
      <protection locked="0"/>
    </xf>
    <xf numFmtId="14" fontId="14" fillId="5" borderId="19" xfId="43" applyNumberFormat="1" applyFont="1" applyFill="1" applyBorder="1" applyAlignment="1" applyProtection="1">
      <alignment horizontal="center" vertical="center"/>
      <protection locked="0"/>
    </xf>
    <xf numFmtId="14" fontId="14" fillId="5" borderId="14" xfId="43" applyNumberFormat="1" applyFont="1" applyFill="1" applyBorder="1" applyAlignment="1" applyProtection="1">
      <alignment horizontal="center" vertical="center"/>
      <protection locked="0"/>
    </xf>
    <xf numFmtId="49" fontId="14" fillId="5" borderId="18" xfId="23" applyNumberFormat="1" applyFont="1" applyFill="1" applyBorder="1" applyAlignment="1" applyProtection="1">
      <alignment horizontal="center" vertical="center"/>
      <protection locked="0"/>
    </xf>
    <xf numFmtId="49" fontId="14" fillId="5" borderId="19" xfId="23" applyNumberFormat="1" applyFont="1" applyFill="1" applyBorder="1" applyAlignment="1" applyProtection="1">
      <alignment horizontal="center" vertical="center"/>
      <protection locked="0"/>
    </xf>
    <xf numFmtId="49" fontId="14" fillId="5" borderId="14" xfId="23" applyNumberFormat="1" applyFont="1" applyFill="1" applyBorder="1" applyAlignment="1" applyProtection="1">
      <alignment horizontal="center" vertical="center"/>
      <protection locked="0"/>
    </xf>
    <xf numFmtId="0" fontId="14" fillId="0" borderId="0" xfId="43" applyFont="1" applyAlignment="1">
      <alignment vertical="center"/>
    </xf>
    <xf numFmtId="49" fontId="14" fillId="7" borderId="18" xfId="43" applyNumberFormat="1" applyFont="1" applyFill="1" applyBorder="1" applyAlignment="1" applyProtection="1">
      <alignment horizontal="left" vertical="center" indent="1"/>
      <protection locked="0"/>
    </xf>
    <xf numFmtId="49" fontId="14" fillId="7" borderId="19" xfId="43" applyNumberFormat="1" applyFont="1" applyFill="1" applyBorder="1" applyAlignment="1" applyProtection="1">
      <alignment horizontal="left" vertical="center" indent="1"/>
      <protection locked="0"/>
    </xf>
    <xf numFmtId="49" fontId="14" fillId="7" borderId="14" xfId="43" applyNumberFormat="1" applyFont="1" applyFill="1" applyBorder="1" applyAlignment="1" applyProtection="1">
      <alignment horizontal="left" vertical="center" indent="1"/>
      <protection locked="0"/>
    </xf>
    <xf numFmtId="0" fontId="14" fillId="7" borderId="8" xfId="43" applyFont="1" applyFill="1" applyBorder="1" applyAlignment="1" applyProtection="1">
      <alignment horizontal="left" vertical="center"/>
      <protection locked="0"/>
    </xf>
    <xf numFmtId="49" fontId="14" fillId="5" borderId="18" xfId="43" applyNumberFormat="1" applyFont="1" applyFill="1" applyBorder="1" applyAlignment="1" applyProtection="1">
      <alignment horizontal="center" vertical="center"/>
      <protection locked="0"/>
    </xf>
    <xf numFmtId="49" fontId="14" fillId="5" borderId="14" xfId="43" applyNumberFormat="1" applyFont="1" applyFill="1" applyBorder="1" applyAlignment="1" applyProtection="1">
      <alignment horizontal="center" vertical="center"/>
      <protection locked="0"/>
    </xf>
    <xf numFmtId="0" fontId="14" fillId="10" borderId="6" xfId="43" applyFont="1" applyFill="1" applyBorder="1" applyAlignment="1">
      <alignment horizontal="center" vertical="center"/>
    </xf>
    <xf numFmtId="0" fontId="14" fillId="10" borderId="0" xfId="43" applyFont="1" applyFill="1" applyAlignment="1">
      <alignment horizontal="center" vertical="center"/>
    </xf>
    <xf numFmtId="0" fontId="14" fillId="10" borderId="7" xfId="43" applyFont="1" applyFill="1" applyBorder="1" applyAlignment="1">
      <alignment horizontal="center" vertical="center"/>
    </xf>
    <xf numFmtId="0" fontId="106" fillId="0" borderId="9" xfId="43" applyFont="1" applyBorder="1" applyAlignment="1">
      <alignment horizontal="center" vertical="center"/>
    </xf>
    <xf numFmtId="0" fontId="14" fillId="5" borderId="18" xfId="0" applyFont="1" applyFill="1" applyBorder="1" applyAlignment="1" applyProtection="1">
      <alignment horizontal="center" vertical="center"/>
      <protection locked="0"/>
    </xf>
    <xf numFmtId="0" fontId="14" fillId="5" borderId="19" xfId="0" applyFont="1" applyFill="1" applyBorder="1" applyAlignment="1" applyProtection="1">
      <alignment horizontal="center" vertical="center"/>
      <protection locked="0"/>
    </xf>
    <xf numFmtId="0" fontId="14" fillId="5" borderId="14" xfId="0" applyFont="1" applyFill="1" applyBorder="1" applyAlignment="1" applyProtection="1">
      <alignment horizontal="center" vertical="center"/>
      <protection locked="0"/>
    </xf>
    <xf numFmtId="0" fontId="14" fillId="0" borderId="0" xfId="43" applyFont="1" applyAlignment="1">
      <alignment horizontal="center" vertical="center"/>
    </xf>
    <xf numFmtId="0" fontId="14" fillId="11" borderId="18" xfId="23" applyFont="1" applyFill="1" applyBorder="1" applyAlignment="1">
      <alignment horizontal="center" vertical="center" wrapText="1"/>
    </xf>
    <xf numFmtId="0" fontId="14" fillId="11" borderId="19" xfId="23" applyFont="1" applyFill="1" applyBorder="1" applyAlignment="1">
      <alignment horizontal="center" vertical="center" wrapText="1"/>
    </xf>
    <xf numFmtId="0" fontId="14" fillId="11" borderId="14" xfId="23" applyFont="1" applyFill="1" applyBorder="1" applyAlignment="1">
      <alignment horizontal="center" vertical="center" wrapText="1"/>
    </xf>
    <xf numFmtId="14" fontId="14" fillId="7" borderId="18" xfId="43" applyNumberFormat="1" applyFont="1" applyFill="1" applyBorder="1" applyAlignment="1" applyProtection="1">
      <alignment horizontal="center" vertical="center"/>
      <protection locked="0"/>
    </xf>
    <xf numFmtId="14" fontId="14" fillId="7" borderId="19" xfId="43" applyNumberFormat="1" applyFont="1" applyFill="1" applyBorder="1" applyAlignment="1" applyProtection="1">
      <alignment horizontal="center" vertical="center"/>
      <protection locked="0"/>
    </xf>
    <xf numFmtId="14" fontId="14" fillId="7" borderId="14" xfId="43" applyNumberFormat="1" applyFont="1" applyFill="1" applyBorder="1" applyAlignment="1" applyProtection="1">
      <alignment horizontal="center" vertical="center"/>
      <protection locked="0"/>
    </xf>
    <xf numFmtId="0" fontId="14" fillId="11" borderId="18" xfId="43" applyFont="1" applyFill="1" applyBorder="1" applyAlignment="1">
      <alignment horizontal="left" vertical="center"/>
    </xf>
    <xf numFmtId="0" fontId="14" fillId="11" borderId="19" xfId="43" applyFont="1" applyFill="1" applyBorder="1" applyAlignment="1">
      <alignment horizontal="left" vertical="center"/>
    </xf>
    <xf numFmtId="0" fontId="14" fillId="11" borderId="14" xfId="43" applyFont="1" applyFill="1" applyBorder="1" applyAlignment="1">
      <alignment horizontal="left" vertical="center"/>
    </xf>
    <xf numFmtId="0" fontId="16" fillId="0" borderId="0" xfId="43" applyFont="1" applyAlignment="1">
      <alignment horizontal="center" vertical="center"/>
    </xf>
    <xf numFmtId="0" fontId="16" fillId="0" borderId="7" xfId="43" applyFont="1" applyBorder="1" applyAlignment="1">
      <alignment horizontal="center" vertical="center"/>
    </xf>
    <xf numFmtId="165" fontId="14" fillId="5" borderId="3" xfId="43" applyNumberFormat="1" applyFont="1" applyFill="1" applyBorder="1" applyAlignment="1" applyProtection="1">
      <alignment horizontal="center" vertical="center"/>
      <protection locked="0"/>
    </xf>
    <xf numFmtId="165" fontId="14" fillId="5" borderId="5" xfId="43" applyNumberFormat="1" applyFont="1" applyFill="1" applyBorder="1" applyAlignment="1" applyProtection="1">
      <alignment horizontal="center" vertical="center"/>
      <protection locked="0"/>
    </xf>
    <xf numFmtId="2" fontId="14" fillId="7" borderId="8" xfId="43" applyNumberFormat="1" applyFont="1" applyFill="1" applyBorder="1" applyAlignment="1" applyProtection="1">
      <alignment horizontal="center" vertical="center"/>
      <protection locked="0"/>
    </xf>
    <xf numFmtId="0" fontId="14" fillId="11" borderId="19" xfId="43" applyFont="1" applyFill="1" applyBorder="1" applyAlignment="1">
      <alignment vertical="center"/>
    </xf>
    <xf numFmtId="0" fontId="12" fillId="11" borderId="19" xfId="43" applyFill="1" applyBorder="1" applyAlignment="1">
      <alignment vertical="center"/>
    </xf>
    <xf numFmtId="0" fontId="14" fillId="0" borderId="9" xfId="43" applyFont="1" applyBorder="1" applyAlignment="1">
      <alignment horizontal="center" vertical="center"/>
    </xf>
    <xf numFmtId="0" fontId="14" fillId="0" borderId="19" xfId="43" applyFont="1" applyBorder="1" applyAlignment="1">
      <alignment horizontal="center" vertical="center"/>
    </xf>
    <xf numFmtId="0" fontId="16" fillId="0" borderId="0" xfId="43" applyFont="1" applyAlignment="1">
      <alignment horizontal="right" vertical="center"/>
    </xf>
    <xf numFmtId="0" fontId="16" fillId="0" borderId="7" xfId="43" applyFont="1" applyBorder="1" applyAlignment="1">
      <alignment horizontal="right" vertical="center"/>
    </xf>
    <xf numFmtId="0" fontId="14" fillId="0" borderId="6" xfId="23" applyFont="1" applyBorder="1" applyAlignment="1">
      <alignment horizontal="center" vertical="center"/>
    </xf>
    <xf numFmtId="0" fontId="14" fillId="0" borderId="0" xfId="23" applyFont="1" applyAlignment="1">
      <alignment horizontal="center" vertical="center"/>
    </xf>
    <xf numFmtId="0" fontId="102" fillId="0" borderId="0" xfId="43" applyFont="1" applyAlignment="1">
      <alignment horizontal="center" vertical="center"/>
    </xf>
    <xf numFmtId="165" fontId="14" fillId="5" borderId="18" xfId="43" applyNumberFormat="1" applyFont="1" applyFill="1" applyBorder="1" applyAlignment="1" applyProtection="1">
      <alignment horizontal="center" vertical="center"/>
      <protection locked="0"/>
    </xf>
    <xf numFmtId="165" fontId="14" fillId="5" borderId="19" xfId="43" applyNumberFormat="1" applyFont="1" applyFill="1" applyBorder="1" applyAlignment="1" applyProtection="1">
      <alignment horizontal="center" vertical="center"/>
      <protection locked="0"/>
    </xf>
    <xf numFmtId="165" fontId="14" fillId="5" borderId="14" xfId="43" applyNumberFormat="1" applyFont="1" applyFill="1" applyBorder="1" applyAlignment="1" applyProtection="1">
      <alignment horizontal="center" vertical="center"/>
      <protection locked="0"/>
    </xf>
    <xf numFmtId="0" fontId="22" fillId="7" borderId="8" xfId="43" applyFont="1" applyFill="1" applyBorder="1" applyAlignment="1" applyProtection="1">
      <alignment horizontal="left" vertical="top" wrapText="1"/>
      <protection locked="0"/>
    </xf>
    <xf numFmtId="0" fontId="14" fillId="10" borderId="22" xfId="43" applyFont="1" applyFill="1" applyBorder="1" applyAlignment="1">
      <alignment horizontal="center" vertical="center"/>
    </xf>
    <xf numFmtId="1" fontId="14" fillId="5" borderId="8" xfId="43" applyNumberFormat="1" applyFont="1" applyFill="1" applyBorder="1" applyAlignment="1" applyProtection="1">
      <alignment horizontal="center" vertical="center"/>
      <protection locked="0"/>
    </xf>
    <xf numFmtId="0" fontId="14" fillId="7" borderId="18" xfId="43" applyFont="1" applyFill="1" applyBorder="1" applyAlignment="1" applyProtection="1">
      <alignment horizontal="left" vertical="top" wrapText="1" indent="1"/>
      <protection locked="0"/>
    </xf>
    <xf numFmtId="0" fontId="14" fillId="7" borderId="19" xfId="43" applyFont="1" applyFill="1" applyBorder="1" applyAlignment="1" applyProtection="1">
      <alignment horizontal="left" vertical="top" wrapText="1" indent="1"/>
      <protection locked="0"/>
    </xf>
    <xf numFmtId="0" fontId="14" fillId="7" borderId="14" xfId="43" applyFont="1" applyFill="1" applyBorder="1" applyAlignment="1" applyProtection="1">
      <alignment horizontal="left" vertical="top" wrapText="1" indent="1"/>
      <protection locked="0"/>
    </xf>
    <xf numFmtId="2" fontId="14" fillId="5" borderId="8" xfId="43" applyNumberFormat="1" applyFont="1" applyFill="1" applyBorder="1" applyAlignment="1" applyProtection="1">
      <alignment horizontal="center" vertical="center"/>
      <protection locked="0"/>
    </xf>
    <xf numFmtId="176" fontId="14" fillId="7" borderId="8" xfId="43" applyNumberFormat="1" applyFont="1" applyFill="1" applyBorder="1" applyAlignment="1" applyProtection="1">
      <alignment horizontal="center" vertical="center"/>
      <protection locked="0"/>
    </xf>
    <xf numFmtId="1" fontId="14" fillId="7" borderId="18" xfId="55" applyNumberFormat="1" applyFont="1" applyFill="1" applyBorder="1" applyAlignment="1" applyProtection="1">
      <alignment horizontal="center" vertical="center"/>
      <protection locked="0"/>
    </xf>
    <xf numFmtId="1" fontId="14" fillId="7" borderId="14" xfId="55" applyNumberFormat="1" applyFont="1" applyFill="1" applyBorder="1" applyAlignment="1" applyProtection="1">
      <alignment horizontal="center" vertical="center"/>
      <protection locked="0"/>
    </xf>
    <xf numFmtId="2" fontId="16" fillId="7" borderId="8" xfId="43" applyNumberFormat="1" applyFont="1" applyFill="1" applyBorder="1" applyAlignment="1" applyProtection="1">
      <alignment horizontal="center" vertical="center"/>
      <protection locked="0"/>
    </xf>
    <xf numFmtId="0" fontId="56" fillId="0" borderId="2" xfId="12" applyFont="1" applyBorder="1" applyAlignment="1">
      <alignment horizontal="center" vertical="center" wrapText="1"/>
    </xf>
    <xf numFmtId="0" fontId="37" fillId="0" borderId="0" xfId="12" applyFont="1" applyAlignment="1">
      <alignment horizontal="left" wrapText="1"/>
    </xf>
    <xf numFmtId="0" fontId="38" fillId="9" borderId="4" xfId="12" applyFont="1" applyFill="1" applyBorder="1" applyAlignment="1" applyProtection="1">
      <alignment horizontal="center" vertical="center"/>
      <protection locked="0"/>
    </xf>
    <xf numFmtId="0" fontId="37" fillId="0" borderId="0" xfId="12" applyFont="1" applyAlignment="1">
      <alignment horizontal="right" vertical="center"/>
    </xf>
    <xf numFmtId="0" fontId="37" fillId="0" borderId="20" xfId="12" applyFont="1" applyBorder="1" applyAlignment="1">
      <alignment horizontal="right" vertical="center"/>
    </xf>
    <xf numFmtId="0" fontId="37" fillId="9" borderId="33" xfId="12" applyFont="1" applyFill="1" applyBorder="1" applyAlignment="1" applyProtection="1">
      <alignment horizontal="center" vertical="center"/>
      <protection locked="0"/>
    </xf>
    <xf numFmtId="0" fontId="37" fillId="9" borderId="34" xfId="12" applyFont="1" applyFill="1" applyBorder="1" applyAlignment="1" applyProtection="1">
      <alignment horizontal="center" vertical="center"/>
      <protection locked="0"/>
    </xf>
    <xf numFmtId="0" fontId="37" fillId="5" borderId="19" xfId="12" applyFont="1" applyFill="1" applyBorder="1" applyAlignment="1" applyProtection="1">
      <alignment horizontal="center" vertical="center"/>
      <protection locked="0"/>
    </xf>
    <xf numFmtId="0" fontId="37" fillId="5" borderId="14" xfId="12" applyFont="1" applyFill="1" applyBorder="1" applyAlignment="1" applyProtection="1">
      <alignment horizontal="center" vertical="center"/>
      <protection locked="0"/>
    </xf>
    <xf numFmtId="0" fontId="37" fillId="0" borderId="18" xfId="12" applyFont="1" applyBorder="1" applyAlignment="1">
      <alignment horizontal="center" vertical="center"/>
    </xf>
    <xf numFmtId="0" fontId="37" fillId="0" borderId="19" xfId="12" applyFont="1" applyBorder="1" applyAlignment="1">
      <alignment horizontal="center" vertical="center"/>
    </xf>
    <xf numFmtId="0" fontId="37" fillId="0" borderId="4" xfId="12" applyFont="1" applyBorder="1" applyAlignment="1">
      <alignment horizontal="center" vertical="center" wrapText="1"/>
    </xf>
    <xf numFmtId="0" fontId="37" fillId="0" borderId="19" xfId="12" applyFont="1" applyBorder="1" applyAlignment="1">
      <alignment horizontal="center" vertical="center" wrapText="1"/>
    </xf>
    <xf numFmtId="0" fontId="37" fillId="0" borderId="0" xfId="12" applyFont="1" applyAlignment="1">
      <alignment horizontal="center" vertical="center"/>
    </xf>
    <xf numFmtId="0" fontId="37" fillId="0" borderId="26" xfId="12" applyFont="1" applyBorder="1" applyAlignment="1">
      <alignment horizontal="left" vertical="center"/>
    </xf>
    <xf numFmtId="0" fontId="37" fillId="0" borderId="19" xfId="12" applyFont="1" applyBorder="1" applyAlignment="1">
      <alignment horizontal="left" vertical="center"/>
    </xf>
    <xf numFmtId="0" fontId="37" fillId="7" borderId="19" xfId="12" applyFont="1" applyFill="1" applyBorder="1" applyAlignment="1" applyProtection="1">
      <alignment horizontal="left" vertical="center"/>
      <protection locked="0"/>
    </xf>
    <xf numFmtId="0" fontId="37" fillId="7" borderId="14" xfId="12" applyFont="1" applyFill="1" applyBorder="1" applyAlignment="1" applyProtection="1">
      <alignment horizontal="left" vertical="center"/>
      <protection locked="0"/>
    </xf>
    <xf numFmtId="0" fontId="37" fillId="0" borderId="0" xfId="12" applyFont="1" applyAlignment="1">
      <alignment horizontal="right" vertical="center" wrapText="1"/>
    </xf>
    <xf numFmtId="0" fontId="38" fillId="0" borderId="35" xfId="12" applyFont="1" applyBorder="1" applyAlignment="1">
      <alignment horizontal="right" vertical="center"/>
    </xf>
    <xf numFmtId="0" fontId="38" fillId="0" borderId="9" xfId="12" applyFont="1" applyBorder="1" applyAlignment="1">
      <alignment horizontal="right" vertical="center"/>
    </xf>
    <xf numFmtId="0" fontId="37" fillId="5" borderId="15" xfId="12" applyFont="1" applyFill="1" applyBorder="1" applyAlignment="1" applyProtection="1">
      <alignment horizontal="center" vertical="center" wrapText="1"/>
      <protection locked="0"/>
    </xf>
    <xf numFmtId="0" fontId="37" fillId="0" borderId="10" xfId="12" applyFont="1" applyBorder="1" applyAlignment="1">
      <alignment horizontal="center" vertical="center"/>
    </xf>
    <xf numFmtId="0" fontId="37" fillId="0" borderId="9" xfId="12" applyFont="1" applyBorder="1" applyAlignment="1">
      <alignment horizontal="center" vertical="center"/>
    </xf>
    <xf numFmtId="0" fontId="37" fillId="5" borderId="9" xfId="12" applyFont="1" applyFill="1" applyBorder="1" applyAlignment="1" applyProtection="1">
      <alignment horizontal="center" vertical="center" wrapText="1"/>
      <protection locked="0"/>
    </xf>
    <xf numFmtId="0" fontId="37" fillId="5" borderId="36" xfId="12" applyFont="1" applyFill="1" applyBorder="1" applyAlignment="1" applyProtection="1">
      <alignment horizontal="center" vertical="center" wrapText="1"/>
      <protection locked="0"/>
    </xf>
    <xf numFmtId="0" fontId="37" fillId="0" borderId="14" xfId="12" applyFont="1" applyBorder="1" applyAlignment="1">
      <alignment horizontal="left" vertical="center"/>
    </xf>
    <xf numFmtId="0" fontId="37" fillId="5" borderId="18" xfId="12" applyFont="1" applyFill="1" applyBorder="1" applyAlignment="1" applyProtection="1">
      <alignment horizontal="center" vertical="center"/>
      <protection locked="0"/>
    </xf>
    <xf numFmtId="0" fontId="37" fillId="2" borderId="58" xfId="12" applyFont="1" applyFill="1" applyBorder="1" applyAlignment="1">
      <alignment horizontal="center" vertical="center"/>
    </xf>
    <xf numFmtId="0" fontId="37" fillId="2" borderId="74" xfId="12" applyFont="1" applyFill="1" applyBorder="1" applyAlignment="1">
      <alignment horizontal="center" vertical="center"/>
    </xf>
    <xf numFmtId="0" fontId="38" fillId="2" borderId="58" xfId="12" applyFont="1" applyFill="1" applyBorder="1" applyAlignment="1">
      <alignment horizontal="center" vertical="center"/>
    </xf>
    <xf numFmtId="0" fontId="38" fillId="2" borderId="59" xfId="12" applyFont="1" applyFill="1" applyBorder="1" applyAlignment="1">
      <alignment horizontal="center" vertical="center"/>
    </xf>
    <xf numFmtId="0" fontId="37" fillId="2" borderId="77" xfId="12" applyFont="1" applyFill="1" applyBorder="1" applyAlignment="1">
      <alignment horizontal="center" vertical="center"/>
    </xf>
    <xf numFmtId="49" fontId="37" fillId="5" borderId="51" xfId="12" applyNumberFormat="1" applyFont="1" applyFill="1" applyBorder="1" applyAlignment="1" applyProtection="1">
      <alignment horizontal="center" vertical="center" wrapText="1"/>
      <protection locked="0"/>
    </xf>
    <xf numFmtId="49" fontId="37" fillId="5" borderId="52" xfId="12" applyNumberFormat="1" applyFont="1" applyFill="1" applyBorder="1" applyAlignment="1" applyProtection="1">
      <alignment horizontal="center" vertical="center" wrapText="1"/>
      <protection locked="0"/>
    </xf>
    <xf numFmtId="0" fontId="37" fillId="5" borderId="12" xfId="12" applyFont="1" applyFill="1" applyBorder="1" applyAlignment="1" applyProtection="1">
      <alignment horizontal="center" vertical="center" wrapText="1"/>
      <protection locked="0"/>
    </xf>
    <xf numFmtId="0" fontId="37" fillId="5" borderId="8" xfId="12" applyFont="1" applyFill="1" applyBorder="1" applyAlignment="1" applyProtection="1">
      <alignment horizontal="center" vertical="center" wrapText="1"/>
      <protection locked="0"/>
    </xf>
    <xf numFmtId="49" fontId="37" fillId="5" borderId="8" xfId="12" applyNumberFormat="1" applyFont="1" applyFill="1" applyBorder="1" applyAlignment="1" applyProtection="1">
      <alignment horizontal="center" vertical="center" wrapText="1"/>
      <protection locked="0"/>
    </xf>
    <xf numFmtId="0" fontId="37" fillId="5" borderId="12" xfId="12" applyFont="1" applyFill="1" applyBorder="1" applyAlignment="1" applyProtection="1">
      <alignment horizontal="center" vertical="center"/>
      <protection locked="0"/>
    </xf>
    <xf numFmtId="0" fontId="37" fillId="5" borderId="8" xfId="12" applyFont="1" applyFill="1" applyBorder="1" applyAlignment="1" applyProtection="1">
      <alignment horizontal="center" vertical="center"/>
      <protection locked="0"/>
    </xf>
    <xf numFmtId="0" fontId="37" fillId="5" borderId="53" xfId="12" applyFont="1" applyFill="1" applyBorder="1" applyAlignment="1" applyProtection="1">
      <alignment horizontal="center" vertical="center"/>
      <protection locked="0"/>
    </xf>
    <xf numFmtId="0" fontId="37" fillId="5" borderId="17" xfId="12" applyFont="1" applyFill="1" applyBorder="1" applyAlignment="1" applyProtection="1">
      <alignment horizontal="center" vertical="center"/>
      <protection locked="0"/>
    </xf>
    <xf numFmtId="0" fontId="37" fillId="2" borderId="57" xfId="12" applyFont="1" applyFill="1" applyBorder="1" applyAlignment="1">
      <alignment horizontal="center" vertical="center"/>
    </xf>
    <xf numFmtId="0" fontId="37" fillId="2" borderId="73" xfId="12" applyFont="1" applyFill="1" applyBorder="1" applyAlignment="1">
      <alignment horizontal="center" vertical="center"/>
    </xf>
    <xf numFmtId="0" fontId="112" fillId="2" borderId="58" xfId="12" applyFont="1" applyFill="1" applyBorder="1" applyAlignment="1">
      <alignment horizontal="center" vertical="center" wrapText="1"/>
    </xf>
    <xf numFmtId="0" fontId="35" fillId="2" borderId="74" xfId="43" applyFont="1" applyFill="1" applyBorder="1" applyAlignment="1">
      <alignment horizontal="center" vertical="center" wrapText="1"/>
    </xf>
    <xf numFmtId="0" fontId="37" fillId="2" borderId="43" xfId="12" applyFont="1" applyFill="1" applyBorder="1" applyAlignment="1">
      <alignment horizontal="center" vertical="center"/>
    </xf>
    <xf numFmtId="0" fontId="0" fillId="0" borderId="44" xfId="0" applyBorder="1"/>
    <xf numFmtId="0" fontId="0" fillId="0" borderId="75" xfId="0" applyBorder="1"/>
    <xf numFmtId="0" fontId="0" fillId="0" borderId="76" xfId="0" applyBorder="1"/>
    <xf numFmtId="0" fontId="37" fillId="2" borderId="44" xfId="12" applyFont="1" applyFill="1" applyBorder="1" applyAlignment="1">
      <alignment horizontal="center" vertical="center"/>
    </xf>
    <xf numFmtId="0" fontId="37" fillId="2" borderId="75" xfId="12" applyFont="1" applyFill="1" applyBorder="1" applyAlignment="1">
      <alignment horizontal="center" vertical="center"/>
    </xf>
    <xf numFmtId="0" fontId="37" fillId="2" borderId="76" xfId="12" applyFont="1" applyFill="1" applyBorder="1" applyAlignment="1">
      <alignment horizontal="center" vertical="center"/>
    </xf>
    <xf numFmtId="0" fontId="38" fillId="11" borderId="10" xfId="43" applyFont="1" applyFill="1" applyBorder="1" applyAlignment="1">
      <alignment horizontal="left"/>
    </xf>
    <xf numFmtId="0" fontId="38" fillId="11" borderId="9" xfId="43" applyFont="1" applyFill="1" applyBorder="1" applyAlignment="1">
      <alignment horizontal="left"/>
    </xf>
    <xf numFmtId="0" fontId="38" fillId="11" borderId="18" xfId="43" applyFont="1" applyFill="1" applyBorder="1" applyAlignment="1">
      <alignment horizontal="left"/>
    </xf>
    <xf numFmtId="0" fontId="38" fillId="11" borderId="19" xfId="43" applyFont="1" applyFill="1" applyBorder="1" applyAlignment="1">
      <alignment horizontal="left"/>
    </xf>
    <xf numFmtId="0" fontId="38" fillId="11" borderId="14" xfId="43" applyFont="1" applyFill="1" applyBorder="1" applyAlignment="1">
      <alignment horizontal="left"/>
    </xf>
    <xf numFmtId="0" fontId="37" fillId="3" borderId="10" xfId="43" applyFont="1" applyFill="1" applyBorder="1" applyAlignment="1">
      <alignment horizontal="left"/>
    </xf>
    <xf numFmtId="0" fontId="37" fillId="3" borderId="9" xfId="43" applyFont="1" applyFill="1" applyBorder="1" applyAlignment="1">
      <alignment horizontal="left"/>
    </xf>
    <xf numFmtId="0" fontId="37" fillId="3" borderId="11" xfId="43" applyFont="1" applyFill="1" applyBorder="1" applyAlignment="1">
      <alignment horizontal="left"/>
    </xf>
    <xf numFmtId="0" fontId="37" fillId="3" borderId="6" xfId="43" applyFont="1" applyFill="1" applyBorder="1" applyAlignment="1">
      <alignment horizontal="left"/>
    </xf>
    <xf numFmtId="0" fontId="37" fillId="3" borderId="0" xfId="43" applyFont="1" applyFill="1" applyAlignment="1">
      <alignment horizontal="left"/>
    </xf>
    <xf numFmtId="0" fontId="37" fillId="3" borderId="7" xfId="43" applyFont="1" applyFill="1" applyBorder="1" applyAlignment="1">
      <alignment horizontal="left"/>
    </xf>
    <xf numFmtId="0" fontId="14" fillId="3" borderId="3" xfId="43" applyFont="1" applyFill="1" applyBorder="1" applyAlignment="1">
      <alignment horizontal="left"/>
    </xf>
    <xf numFmtId="0" fontId="14" fillId="3" borderId="4" xfId="43" applyFont="1" applyFill="1" applyBorder="1" applyAlignment="1">
      <alignment horizontal="left"/>
    </xf>
    <xf numFmtId="0" fontId="14" fillId="3" borderId="5" xfId="43" applyFont="1" applyFill="1" applyBorder="1" applyAlignment="1">
      <alignment horizontal="left"/>
    </xf>
    <xf numFmtId="0" fontId="14" fillId="0" borderId="24" xfId="43" applyFont="1" applyBorder="1" applyAlignment="1">
      <alignment horizontal="center" vertical="center"/>
    </xf>
    <xf numFmtId="0" fontId="14" fillId="0" borderId="20" xfId="43" applyFont="1" applyBorder="1" applyAlignment="1">
      <alignment horizontal="center" vertical="center"/>
    </xf>
    <xf numFmtId="0" fontId="12" fillId="0" borderId="20" xfId="43" applyBorder="1" applyAlignment="1">
      <alignment horizontal="center" vertical="center"/>
    </xf>
    <xf numFmtId="0" fontId="12" fillId="0" borderId="1" xfId="43" applyBorder="1" applyAlignment="1">
      <alignment horizontal="center" vertical="center"/>
    </xf>
    <xf numFmtId="49" fontId="37" fillId="5" borderId="40" xfId="12" applyNumberFormat="1" applyFont="1" applyFill="1" applyBorder="1" applyAlignment="1" applyProtection="1">
      <alignment horizontal="center" vertical="center" wrapText="1"/>
      <protection locked="0"/>
    </xf>
    <xf numFmtId="0" fontId="37" fillId="5" borderId="45" xfId="12" applyFont="1" applyFill="1" applyBorder="1" applyAlignment="1" applyProtection="1">
      <alignment horizontal="center" vertical="center" wrapText="1"/>
      <protection locked="0"/>
    </xf>
    <xf numFmtId="0" fontId="37" fillId="5" borderId="45" xfId="12" applyFont="1" applyFill="1" applyBorder="1" applyAlignment="1" applyProtection="1">
      <alignment horizontal="center" vertical="center"/>
      <protection locked="0"/>
    </xf>
    <xf numFmtId="0" fontId="37" fillId="5" borderId="78" xfId="12" applyFont="1" applyFill="1" applyBorder="1" applyAlignment="1" applyProtection="1">
      <alignment horizontal="center" vertical="center"/>
      <protection locked="0"/>
    </xf>
    <xf numFmtId="0" fontId="14" fillId="0" borderId="24" xfId="12" applyFont="1" applyBorder="1" applyAlignment="1">
      <alignment horizontal="center" vertical="top"/>
    </xf>
    <xf numFmtId="0" fontId="14" fillId="0" borderId="21" xfId="12" applyFont="1" applyBorder="1" applyAlignment="1">
      <alignment horizontal="center" vertical="top"/>
    </xf>
    <xf numFmtId="0" fontId="14" fillId="5" borderId="20" xfId="12" applyFont="1" applyFill="1" applyBorder="1" applyAlignment="1" applyProtection="1">
      <alignment horizontal="left" vertical="top" wrapText="1"/>
      <protection locked="0"/>
    </xf>
    <xf numFmtId="0" fontId="14" fillId="5" borderId="25" xfId="12" applyFont="1" applyFill="1" applyBorder="1" applyAlignment="1" applyProtection="1">
      <alignment horizontal="left" vertical="top" wrapText="1"/>
      <protection locked="0"/>
    </xf>
    <xf numFmtId="0" fontId="14" fillId="5" borderId="2" xfId="12" applyFont="1" applyFill="1" applyBorder="1" applyAlignment="1" applyProtection="1">
      <alignment horizontal="left" vertical="top" wrapText="1"/>
      <protection locked="0"/>
    </xf>
    <xf numFmtId="0" fontId="14" fillId="5" borderId="23" xfId="12" applyFont="1" applyFill="1" applyBorder="1" applyAlignment="1" applyProtection="1">
      <alignment horizontal="left" vertical="top" wrapText="1"/>
      <protection locked="0"/>
    </xf>
    <xf numFmtId="0" fontId="14" fillId="7" borderId="22" xfId="43" applyFont="1" applyFill="1" applyBorder="1" applyAlignment="1" applyProtection="1">
      <alignment horizontal="center"/>
      <protection locked="0"/>
    </xf>
    <xf numFmtId="0" fontId="14" fillId="7" borderId="0" xfId="43" applyFont="1" applyFill="1" applyAlignment="1" applyProtection="1">
      <alignment horizontal="center"/>
      <protection locked="0"/>
    </xf>
    <xf numFmtId="0" fontId="12" fillId="7" borderId="0" xfId="43" applyFill="1" applyProtection="1">
      <protection locked="0"/>
    </xf>
    <xf numFmtId="0" fontId="12" fillId="7" borderId="2" xfId="43" applyFill="1" applyBorder="1" applyAlignment="1" applyProtection="1">
      <alignment horizontal="center"/>
      <protection locked="0"/>
    </xf>
    <xf numFmtId="0" fontId="12" fillId="7" borderId="23" xfId="43" applyFill="1" applyBorder="1" applyAlignment="1" applyProtection="1">
      <alignment horizontal="center"/>
      <protection locked="0"/>
    </xf>
    <xf numFmtId="0" fontId="37" fillId="3" borderId="9" xfId="43" applyFont="1" applyFill="1" applyBorder="1" applyAlignment="1">
      <alignment horizontal="left" vertical="center"/>
    </xf>
    <xf numFmtId="0" fontId="37" fillId="3" borderId="0" xfId="43" applyFont="1" applyFill="1" applyAlignment="1">
      <alignment horizontal="left" vertical="center"/>
    </xf>
    <xf numFmtId="0" fontId="90" fillId="3" borderId="0" xfId="43" applyFont="1" applyFill="1" applyAlignment="1">
      <alignment horizontal="right" vertical="top"/>
    </xf>
    <xf numFmtId="0" fontId="90" fillId="3" borderId="6" xfId="43" applyFont="1" applyFill="1" applyBorder="1" applyAlignment="1">
      <alignment horizontal="right" vertical="top"/>
    </xf>
    <xf numFmtId="0" fontId="37" fillId="3" borderId="0" xfId="43" applyFont="1" applyFill="1" applyAlignment="1">
      <alignment horizontal="left" vertical="center" wrapText="1"/>
    </xf>
    <xf numFmtId="0" fontId="37" fillId="3" borderId="7" xfId="43" applyFont="1" applyFill="1" applyBorder="1" applyAlignment="1">
      <alignment horizontal="left" vertical="center" wrapText="1"/>
    </xf>
    <xf numFmtId="0" fontId="90" fillId="3" borderId="3" xfId="43" applyFont="1" applyFill="1" applyBorder="1" applyAlignment="1">
      <alignment horizontal="right" vertical="top"/>
    </xf>
    <xf numFmtId="0" fontId="90" fillId="3" borderId="4" xfId="43" applyFont="1" applyFill="1" applyBorder="1" applyAlignment="1">
      <alignment horizontal="right" vertical="top"/>
    </xf>
    <xf numFmtId="0" fontId="37" fillId="3" borderId="4" xfId="43" applyFont="1" applyFill="1" applyBorder="1" applyAlignment="1">
      <alignment horizontal="left"/>
    </xf>
    <xf numFmtId="0" fontId="37" fillId="3" borderId="5" xfId="43" applyFont="1" applyFill="1" applyBorder="1" applyAlignment="1">
      <alignment horizontal="left"/>
    </xf>
    <xf numFmtId="0" fontId="37" fillId="3" borderId="0" xfId="43" applyFont="1" applyFill="1" applyAlignment="1">
      <alignment horizontal="left" wrapText="1"/>
    </xf>
    <xf numFmtId="0" fontId="37" fillId="3" borderId="7" xfId="43" applyFont="1" applyFill="1" applyBorder="1" applyAlignment="1">
      <alignment horizontal="left" wrapText="1"/>
    </xf>
    <xf numFmtId="0" fontId="90" fillId="3" borderId="3" xfId="43" applyFont="1" applyFill="1" applyBorder="1" applyAlignment="1">
      <alignment horizontal="right" vertical="center"/>
    </xf>
    <xf numFmtId="0" fontId="90" fillId="3" borderId="4" xfId="43" applyFont="1" applyFill="1" applyBorder="1" applyAlignment="1">
      <alignment horizontal="right" vertical="center"/>
    </xf>
    <xf numFmtId="0" fontId="37" fillId="3" borderId="4" xfId="43" applyFont="1" applyFill="1" applyBorder="1" applyAlignment="1">
      <alignment horizontal="left" vertical="center" wrapText="1"/>
    </xf>
    <xf numFmtId="0" fontId="37" fillId="3" borderId="5" xfId="43" applyFont="1" applyFill="1" applyBorder="1" applyAlignment="1">
      <alignment horizontal="left" vertical="center" wrapText="1"/>
    </xf>
    <xf numFmtId="0" fontId="37" fillId="3" borderId="0" xfId="43" applyFont="1" applyFill="1" applyAlignment="1">
      <alignment horizontal="left" vertical="top" wrapText="1"/>
    </xf>
    <xf numFmtId="0" fontId="37" fillId="3" borderId="7" xfId="43" applyFont="1" applyFill="1" applyBorder="1" applyAlignment="1">
      <alignment horizontal="left" vertical="top" wrapText="1"/>
    </xf>
    <xf numFmtId="0" fontId="132" fillId="3" borderId="9" xfId="43" applyFont="1" applyFill="1" applyBorder="1" applyAlignment="1">
      <alignment horizontal="right" vertical="center"/>
    </xf>
    <xf numFmtId="0" fontId="132" fillId="3" borderId="0" xfId="43" applyFont="1" applyFill="1" applyAlignment="1">
      <alignment horizontal="right" vertical="center"/>
    </xf>
    <xf numFmtId="0" fontId="37" fillId="0" borderId="41" xfId="12" applyFont="1" applyBorder="1" applyAlignment="1">
      <alignment horizontal="left" vertical="center"/>
    </xf>
    <xf numFmtId="0" fontId="38" fillId="0" borderId="27" xfId="12" applyFont="1" applyBorder="1" applyAlignment="1">
      <alignment horizontal="left" vertical="center"/>
    </xf>
    <xf numFmtId="0" fontId="38" fillId="0" borderId="41" xfId="12" applyFont="1" applyBorder="1" applyAlignment="1">
      <alignment horizontal="left" vertical="center"/>
    </xf>
    <xf numFmtId="0" fontId="37" fillId="0" borderId="19" xfId="12" applyFont="1" applyBorder="1" applyAlignment="1">
      <alignment horizontal="right" vertical="center"/>
    </xf>
    <xf numFmtId="0" fontId="37" fillId="0" borderId="4" xfId="12" applyFont="1" applyBorder="1" applyAlignment="1">
      <alignment horizontal="right" vertical="center" wrapText="1"/>
    </xf>
    <xf numFmtId="0" fontId="37" fillId="0" borderId="19" xfId="12" applyFont="1" applyBorder="1" applyAlignment="1">
      <alignment horizontal="right" vertical="center" wrapText="1"/>
    </xf>
    <xf numFmtId="0" fontId="37" fillId="11" borderId="19" xfId="12" applyFont="1" applyFill="1" applyBorder="1" applyAlignment="1">
      <alignment horizontal="center" vertical="center"/>
    </xf>
    <xf numFmtId="0" fontId="37" fillId="11" borderId="14" xfId="12" applyFont="1" applyFill="1" applyBorder="1" applyAlignment="1">
      <alignment horizontal="center" vertical="center"/>
    </xf>
    <xf numFmtId="0" fontId="38" fillId="9" borderId="4" xfId="12" applyFont="1" applyFill="1" applyBorder="1" applyAlignment="1">
      <alignment horizontal="center" vertical="center"/>
    </xf>
    <xf numFmtId="0" fontId="37" fillId="9" borderId="33" xfId="12" applyFont="1" applyFill="1" applyBorder="1" applyAlignment="1">
      <alignment horizontal="center" vertical="center"/>
    </xf>
    <xf numFmtId="0" fontId="37" fillId="9" borderId="34" xfId="12" applyFont="1" applyFill="1" applyBorder="1" applyAlignment="1">
      <alignment horizontal="center" vertical="center"/>
    </xf>
    <xf numFmtId="0" fontId="37" fillId="0" borderId="18" xfId="12" applyFont="1" applyBorder="1" applyAlignment="1">
      <alignment horizontal="right" vertical="center"/>
    </xf>
    <xf numFmtId="14" fontId="37" fillId="5" borderId="18" xfId="12" applyNumberFormat="1" applyFont="1" applyFill="1" applyBorder="1" applyAlignment="1" applyProtection="1">
      <alignment horizontal="center" vertical="center"/>
      <protection locked="0"/>
    </xf>
    <xf numFmtId="18" fontId="37" fillId="5" borderId="18" xfId="12" applyNumberFormat="1" applyFont="1" applyFill="1" applyBorder="1" applyAlignment="1" applyProtection="1">
      <alignment horizontal="center" vertical="center"/>
      <protection locked="0"/>
    </xf>
    <xf numFmtId="0" fontId="37" fillId="5" borderId="47" xfId="12" applyFont="1" applyFill="1" applyBorder="1" applyAlignment="1" applyProtection="1">
      <alignment horizontal="center" vertical="center" wrapText="1"/>
      <protection locked="0"/>
    </xf>
    <xf numFmtId="0" fontId="37" fillId="5" borderId="48" xfId="12" applyFont="1" applyFill="1" applyBorder="1" applyAlignment="1" applyProtection="1">
      <alignment horizontal="center" vertical="center" wrapText="1"/>
      <protection locked="0"/>
    </xf>
    <xf numFmtId="0" fontId="37" fillId="2" borderId="12" xfId="12" applyFont="1" applyFill="1" applyBorder="1" applyAlignment="1">
      <alignment horizontal="center" vertical="center"/>
    </xf>
    <xf numFmtId="0" fontId="38" fillId="2" borderId="12" xfId="12" applyFont="1" applyFill="1" applyBorder="1" applyAlignment="1">
      <alignment horizontal="center" vertical="center"/>
    </xf>
    <xf numFmtId="0" fontId="37" fillId="2" borderId="74" xfId="12" applyFont="1" applyFill="1" applyBorder="1" applyAlignment="1">
      <alignment horizontal="left" vertical="center"/>
    </xf>
    <xf numFmtId="0" fontId="37" fillId="2" borderId="77" xfId="12" applyFont="1" applyFill="1" applyBorder="1" applyAlignment="1">
      <alignment horizontal="left" vertical="center"/>
    </xf>
    <xf numFmtId="0" fontId="90" fillId="3" borderId="0" xfId="43" applyFont="1" applyFill="1" applyAlignment="1">
      <alignment horizontal="right" vertical="center"/>
    </xf>
    <xf numFmtId="0" fontId="14" fillId="0" borderId="21" xfId="43" applyFont="1" applyBorder="1" applyAlignment="1">
      <alignment horizontal="center" vertical="center"/>
    </xf>
    <xf numFmtId="0" fontId="14" fillId="0" borderId="2" xfId="43" applyFont="1" applyBorder="1" applyAlignment="1">
      <alignment horizontal="center" vertical="center"/>
    </xf>
    <xf numFmtId="0" fontId="12" fillId="0" borderId="2" xfId="43" applyBorder="1" applyAlignment="1">
      <alignment horizontal="center" vertical="center"/>
    </xf>
    <xf numFmtId="0" fontId="12" fillId="0" borderId="23" xfId="43" applyBorder="1" applyAlignment="1">
      <alignment horizontal="center" vertical="center"/>
    </xf>
    <xf numFmtId="14" fontId="12" fillId="7" borderId="2" xfId="43" applyNumberFormat="1" applyFill="1" applyBorder="1" applyAlignment="1" applyProtection="1">
      <alignment horizontal="center"/>
      <protection locked="0"/>
    </xf>
    <xf numFmtId="0" fontId="14" fillId="7" borderId="21" xfId="43" applyFont="1" applyFill="1" applyBorder="1" applyAlignment="1" applyProtection="1">
      <alignment horizontal="center"/>
      <protection locked="0"/>
    </xf>
    <xf numFmtId="0" fontId="14" fillId="7" borderId="2" xfId="43" applyFont="1" applyFill="1" applyBorder="1" applyAlignment="1" applyProtection="1">
      <alignment horizontal="center"/>
      <protection locked="0"/>
    </xf>
    <xf numFmtId="0" fontId="12" fillId="7" borderId="2" xfId="43" applyFill="1" applyBorder="1" applyProtection="1">
      <protection locked="0"/>
    </xf>
    <xf numFmtId="14" fontId="12" fillId="7" borderId="23" xfId="43" applyNumberFormat="1" applyFill="1" applyBorder="1" applyAlignment="1" applyProtection="1">
      <alignment horizontal="center"/>
      <protection locked="0"/>
    </xf>
    <xf numFmtId="0" fontId="22" fillId="0" borderId="22" xfId="43" applyFont="1" applyBorder="1" applyAlignment="1">
      <alignment horizontal="left" vertical="top" wrapText="1"/>
    </xf>
    <xf numFmtId="0" fontId="22" fillId="0" borderId="0" xfId="43" applyFont="1" applyAlignment="1">
      <alignment horizontal="left" vertical="top" wrapText="1"/>
    </xf>
    <xf numFmtId="0" fontId="22" fillId="0" borderId="1" xfId="43" applyFont="1" applyBorder="1" applyAlignment="1">
      <alignment horizontal="left" vertical="top" wrapText="1"/>
    </xf>
    <xf numFmtId="0" fontId="14" fillId="7" borderId="19" xfId="23" applyFont="1" applyFill="1" applyBorder="1" applyAlignment="1" applyProtection="1">
      <alignment horizontal="center"/>
      <protection locked="0"/>
    </xf>
    <xf numFmtId="0" fontId="22" fillId="7" borderId="8" xfId="23" applyFont="1" applyFill="1" applyBorder="1" applyAlignment="1" applyProtection="1">
      <alignment horizontal="center" vertical="top" wrapText="1"/>
      <protection locked="0"/>
    </xf>
    <xf numFmtId="0" fontId="14" fillId="7" borderId="4" xfId="23" applyFont="1" applyFill="1" applyBorder="1" applyAlignment="1" applyProtection="1">
      <alignment horizontal="left"/>
      <protection locked="0"/>
    </xf>
    <xf numFmtId="0" fontId="14" fillId="7" borderId="19" xfId="23" applyFont="1" applyFill="1" applyBorder="1" applyAlignment="1" applyProtection="1">
      <alignment horizontal="left"/>
      <protection locked="0"/>
    </xf>
    <xf numFmtId="0" fontId="14" fillId="0" borderId="0" xfId="23" applyFont="1" applyAlignment="1">
      <alignment horizontal="left"/>
    </xf>
    <xf numFmtId="0" fontId="14" fillId="7" borderId="4" xfId="23" applyFont="1" applyFill="1" applyBorder="1" applyAlignment="1" applyProtection="1">
      <alignment horizontal="center"/>
      <protection locked="0"/>
    </xf>
    <xf numFmtId="0" fontId="22" fillId="19" borderId="0" xfId="23" applyFont="1" applyFill="1" applyAlignment="1" applyProtection="1">
      <alignment horizontal="right"/>
      <protection locked="0"/>
    </xf>
    <xf numFmtId="165" fontId="22" fillId="5" borderId="8" xfId="23" applyNumberFormat="1" applyFont="1" applyFill="1" applyBorder="1" applyAlignment="1" applyProtection="1">
      <alignment horizontal="center"/>
      <protection locked="0"/>
    </xf>
    <xf numFmtId="0" fontId="22" fillId="21" borderId="0" xfId="23" applyFont="1" applyFill="1" applyAlignment="1">
      <alignment horizontal="center" wrapText="1"/>
    </xf>
    <xf numFmtId="0" fontId="22" fillId="21" borderId="0" xfId="23" applyFont="1" applyFill="1" applyAlignment="1">
      <alignment horizontal="right" wrapText="1"/>
    </xf>
    <xf numFmtId="0" fontId="22" fillId="0" borderId="0" xfId="23" quotePrefix="1" applyFont="1" applyAlignment="1">
      <alignment horizontal="center" wrapText="1"/>
    </xf>
    <xf numFmtId="0" fontId="22" fillId="0" borderId="0" xfId="23" applyFont="1" applyAlignment="1">
      <alignment horizontal="center" wrapText="1"/>
    </xf>
    <xf numFmtId="0" fontId="16" fillId="0" borderId="0" xfId="23" applyFont="1" applyAlignment="1">
      <alignment horizontal="center"/>
    </xf>
    <xf numFmtId="0" fontId="22" fillId="0" borderId="0" xfId="23" applyFont="1" applyAlignment="1" applyProtection="1">
      <alignment horizontal="left"/>
      <protection locked="0"/>
    </xf>
    <xf numFmtId="0" fontId="14" fillId="0" borderId="0" xfId="23" applyFont="1" applyAlignment="1">
      <alignment horizontal="center"/>
    </xf>
    <xf numFmtId="165" fontId="22" fillId="5" borderId="18" xfId="23" applyNumberFormat="1" applyFont="1" applyFill="1" applyBorder="1" applyAlignment="1" applyProtection="1">
      <alignment horizontal="center"/>
      <protection locked="0"/>
    </xf>
    <xf numFmtId="165" fontId="22" fillId="5" borderId="14" xfId="23" applyNumberFormat="1" applyFont="1" applyFill="1" applyBorder="1" applyAlignment="1" applyProtection="1">
      <alignment horizontal="center"/>
      <protection locked="0"/>
    </xf>
    <xf numFmtId="165" fontId="22" fillId="19" borderId="8" xfId="23" applyNumberFormat="1" applyFont="1" applyFill="1" applyBorder="1" applyAlignment="1">
      <alignment horizontal="center"/>
    </xf>
    <xf numFmtId="165" fontId="22" fillId="20" borderId="18" xfId="23" applyNumberFormat="1" applyFont="1" applyFill="1" applyBorder="1" applyAlignment="1">
      <alignment horizontal="center"/>
    </xf>
    <xf numFmtId="165" fontId="22" fillId="20" borderId="14" xfId="23" applyNumberFormat="1" applyFont="1" applyFill="1" applyBorder="1" applyAlignment="1">
      <alignment horizontal="center"/>
    </xf>
    <xf numFmtId="0" fontId="14" fillId="0" borderId="7" xfId="23" applyFont="1" applyBorder="1" applyAlignment="1">
      <alignment horizontal="center"/>
    </xf>
    <xf numFmtId="0" fontId="14" fillId="7" borderId="8" xfId="23" applyFont="1" applyFill="1" applyBorder="1" applyAlignment="1">
      <alignment horizontal="center"/>
    </xf>
    <xf numFmtId="165" fontId="22" fillId="19" borderId="18" xfId="23" applyNumberFormat="1" applyFont="1" applyFill="1" applyBorder="1" applyAlignment="1">
      <alignment horizontal="center"/>
    </xf>
    <xf numFmtId="165" fontId="22" fillId="19" borderId="14" xfId="23" applyNumberFormat="1" applyFont="1" applyFill="1" applyBorder="1" applyAlignment="1">
      <alignment horizontal="center"/>
    </xf>
    <xf numFmtId="0" fontId="22" fillId="0" borderId="6" xfId="23" applyFont="1" applyBorder="1" applyAlignment="1">
      <alignment horizontal="center"/>
    </xf>
    <xf numFmtId="0" fontId="22" fillId="0" borderId="0" xfId="23" applyFont="1" applyAlignment="1">
      <alignment horizontal="center"/>
    </xf>
    <xf numFmtId="0" fontId="14" fillId="19" borderId="8" xfId="23" applyFont="1" applyFill="1" applyBorder="1" applyAlignment="1">
      <alignment horizontal="center"/>
    </xf>
    <xf numFmtId="165" fontId="22" fillId="7" borderId="18" xfId="23" applyNumberFormat="1" applyFont="1" applyFill="1" applyBorder="1" applyAlignment="1">
      <alignment horizontal="center"/>
    </xf>
    <xf numFmtId="165" fontId="22" fillId="7" borderId="14" xfId="23" applyNumberFormat="1" applyFont="1" applyFill="1" applyBorder="1" applyAlignment="1">
      <alignment horizontal="center"/>
    </xf>
    <xf numFmtId="165" fontId="22" fillId="18" borderId="18" xfId="23" applyNumberFormat="1" applyFont="1" applyFill="1" applyBorder="1" applyAlignment="1">
      <alignment horizontal="center"/>
    </xf>
    <xf numFmtId="165" fontId="22" fillId="18" borderId="14" xfId="23" applyNumberFormat="1" applyFont="1" applyFill="1" applyBorder="1" applyAlignment="1">
      <alignment horizontal="center"/>
    </xf>
    <xf numFmtId="165" fontId="22" fillId="0" borderId="0" xfId="23" applyNumberFormat="1" applyFont="1" applyAlignment="1" applyProtection="1">
      <alignment horizontal="center"/>
      <protection locked="0"/>
    </xf>
    <xf numFmtId="165" fontId="22" fillId="19" borderId="8" xfId="23" applyNumberFormat="1" applyFont="1" applyFill="1" applyBorder="1" applyAlignment="1" applyProtection="1">
      <alignment horizontal="center"/>
      <protection locked="0"/>
    </xf>
    <xf numFmtId="0" fontId="14" fillId="0" borderId="0" xfId="23" applyFont="1" applyAlignment="1">
      <alignment horizontal="center" wrapText="1"/>
    </xf>
    <xf numFmtId="14" fontId="14" fillId="7" borderId="18" xfId="23" applyNumberFormat="1" applyFont="1" applyFill="1" applyBorder="1" applyAlignment="1" applyProtection="1">
      <alignment horizontal="left"/>
      <protection locked="0"/>
    </xf>
    <xf numFmtId="14" fontId="14" fillId="7" borderId="19" xfId="23" applyNumberFormat="1" applyFont="1" applyFill="1" applyBorder="1" applyAlignment="1" applyProtection="1">
      <alignment horizontal="left"/>
      <protection locked="0"/>
    </xf>
    <xf numFmtId="14" fontId="14" fillId="7" borderId="14" xfId="23" applyNumberFormat="1" applyFont="1" applyFill="1" applyBorder="1" applyAlignment="1" applyProtection="1">
      <alignment horizontal="left"/>
      <protection locked="0"/>
    </xf>
    <xf numFmtId="0" fontId="14" fillId="0" borderId="22" xfId="23" applyFont="1" applyBorder="1" applyAlignment="1">
      <alignment horizontal="center"/>
    </xf>
    <xf numFmtId="0" fontId="14" fillId="5" borderId="18" xfId="23" applyFont="1" applyFill="1" applyBorder="1" applyProtection="1">
      <protection locked="0"/>
    </xf>
    <xf numFmtId="0" fontId="14" fillId="5" borderId="19" xfId="23" applyFont="1" applyFill="1" applyBorder="1" applyProtection="1">
      <protection locked="0"/>
    </xf>
    <xf numFmtId="0" fontId="14" fillId="5" borderId="14" xfId="23" applyFont="1" applyFill="1" applyBorder="1" applyProtection="1">
      <protection locked="0"/>
    </xf>
    <xf numFmtId="0" fontId="14" fillId="19" borderId="18" xfId="23" applyFont="1" applyFill="1" applyBorder="1" applyAlignment="1">
      <alignment horizontal="left"/>
    </xf>
    <xf numFmtId="0" fontId="14" fillId="19" borderId="19" xfId="23" applyFont="1" applyFill="1" applyBorder="1" applyAlignment="1">
      <alignment horizontal="left"/>
    </xf>
    <xf numFmtId="0" fontId="14" fillId="19" borderId="14" xfId="23" applyFont="1" applyFill="1" applyBorder="1" applyAlignment="1">
      <alignment horizontal="left"/>
    </xf>
    <xf numFmtId="0" fontId="17" fillId="0" borderId="0" xfId="23" applyFont="1" applyAlignment="1" applyProtection="1">
      <alignment horizontal="center"/>
      <protection locked="0"/>
    </xf>
    <xf numFmtId="0" fontId="34" fillId="0" borderId="20" xfId="23" applyFont="1" applyBorder="1" applyAlignment="1">
      <alignment horizontal="center" vertical="center" wrapText="1"/>
    </xf>
    <xf numFmtId="0" fontId="14" fillId="2" borderId="28" xfId="23" applyFont="1" applyFill="1" applyBorder="1" applyAlignment="1">
      <alignment horizontal="center" vertical="center" wrapText="1"/>
    </xf>
    <xf numFmtId="0" fontId="14" fillId="2" borderId="28" xfId="23" applyFont="1" applyFill="1" applyBorder="1" applyAlignment="1">
      <alignment horizontal="right" vertical="center" wrapText="1"/>
    </xf>
    <xf numFmtId="0" fontId="14" fillId="2" borderId="28" xfId="23" applyFont="1" applyFill="1" applyBorder="1" applyAlignment="1">
      <alignment horizontal="left" vertical="center" wrapText="1"/>
    </xf>
    <xf numFmtId="0" fontId="12" fillId="2" borderId="28" xfId="23" applyFill="1" applyBorder="1" applyAlignment="1">
      <alignment horizontal="right" vertical="center" wrapText="1"/>
    </xf>
    <xf numFmtId="0" fontId="12" fillId="2" borderId="29" xfId="23" applyFill="1" applyBorder="1" applyAlignment="1">
      <alignment horizontal="right" vertical="center" wrapText="1"/>
    </xf>
    <xf numFmtId="0" fontId="16" fillId="0" borderId="0" xfId="23" applyFont="1" applyAlignment="1">
      <alignment horizontal="center" vertical="center" wrapText="1"/>
    </xf>
    <xf numFmtId="0" fontId="14" fillId="11" borderId="8" xfId="23" applyFont="1" applyFill="1" applyBorder="1" applyAlignment="1">
      <alignment horizontal="left" vertical="center"/>
    </xf>
    <xf numFmtId="0" fontId="16" fillId="0" borderId="22" xfId="23" applyFont="1" applyBorder="1" applyAlignment="1">
      <alignment horizontal="right" vertical="center" wrapText="1"/>
    </xf>
    <xf numFmtId="0" fontId="12" fillId="0" borderId="0" xfId="23" applyAlignment="1">
      <alignment horizontal="right" wrapText="1"/>
    </xf>
    <xf numFmtId="0" fontId="14" fillId="0" borderId="22" xfId="43" applyFont="1" applyBorder="1" applyAlignment="1">
      <alignment horizontal="center" vertical="center"/>
    </xf>
    <xf numFmtId="14" fontId="16" fillId="7" borderId="18" xfId="43" applyNumberFormat="1" applyFont="1" applyFill="1" applyBorder="1" applyAlignment="1" applyProtection="1">
      <alignment horizontal="center" vertical="center"/>
      <protection locked="0"/>
    </xf>
    <xf numFmtId="14" fontId="16" fillId="7" borderId="19" xfId="43" applyNumberFormat="1" applyFont="1" applyFill="1" applyBorder="1" applyAlignment="1" applyProtection="1">
      <alignment horizontal="center" vertical="center"/>
      <protection locked="0"/>
    </xf>
    <xf numFmtId="14" fontId="16" fillId="7" borderId="14" xfId="43" applyNumberFormat="1" applyFont="1" applyFill="1" applyBorder="1" applyAlignment="1" applyProtection="1">
      <alignment horizontal="center" vertical="center"/>
      <protection locked="0"/>
    </xf>
    <xf numFmtId="0" fontId="34" fillId="0" borderId="0" xfId="23" applyFont="1" applyAlignment="1">
      <alignment horizontal="center" vertical="center" wrapText="1"/>
    </xf>
    <xf numFmtId="0" fontId="12" fillId="2" borderId="28" xfId="23" applyFill="1" applyBorder="1" applyAlignment="1">
      <alignment horizontal="right" wrapText="1"/>
    </xf>
    <xf numFmtId="0" fontId="12" fillId="2" borderId="29" xfId="23" applyFill="1" applyBorder="1" applyAlignment="1">
      <alignment horizontal="right" wrapText="1"/>
    </xf>
    <xf numFmtId="0" fontId="38" fillId="9" borderId="71" xfId="12" applyFont="1" applyFill="1" applyBorder="1" applyAlignment="1" applyProtection="1">
      <alignment horizontal="center" vertical="center"/>
      <protection locked="0"/>
    </xf>
    <xf numFmtId="0" fontId="38" fillId="9" borderId="33" xfId="12" applyFont="1" applyFill="1" applyBorder="1" applyAlignment="1" applyProtection="1">
      <alignment horizontal="center" vertical="center"/>
      <protection locked="0"/>
    </xf>
    <xf numFmtId="0" fontId="38" fillId="9" borderId="72" xfId="12" applyFont="1" applyFill="1" applyBorder="1" applyAlignment="1" applyProtection="1">
      <alignment horizontal="center" vertical="center"/>
      <protection locked="0"/>
    </xf>
    <xf numFmtId="0" fontId="12" fillId="11" borderId="28" xfId="23" applyFill="1" applyBorder="1" applyAlignment="1">
      <alignment horizontal="left" vertical="center" wrapText="1"/>
    </xf>
    <xf numFmtId="0" fontId="38" fillId="11" borderId="18" xfId="13" applyFont="1" applyFill="1" applyBorder="1" applyAlignment="1">
      <alignment horizontal="left"/>
    </xf>
    <xf numFmtId="0" fontId="38" fillId="11" borderId="19" xfId="13" applyFont="1" applyFill="1" applyBorder="1" applyAlignment="1">
      <alignment horizontal="left"/>
    </xf>
    <xf numFmtId="0" fontId="38" fillId="11" borderId="14" xfId="13" applyFont="1" applyFill="1" applyBorder="1" applyAlignment="1">
      <alignment horizontal="left"/>
    </xf>
    <xf numFmtId="0" fontId="37" fillId="0" borderId="9" xfId="13" applyFont="1" applyBorder="1" applyAlignment="1">
      <alignment horizontal="left"/>
    </xf>
    <xf numFmtId="0" fontId="37" fillId="0" borderId="11" xfId="13" applyFont="1" applyBorder="1" applyAlignment="1">
      <alignment horizontal="left"/>
    </xf>
    <xf numFmtId="0" fontId="37" fillId="0" borderId="0" xfId="13" applyFont="1" applyAlignment="1">
      <alignment horizontal="left"/>
    </xf>
    <xf numFmtId="0" fontId="37" fillId="0" borderId="7" xfId="13" applyFont="1" applyBorder="1" applyAlignment="1">
      <alignment horizontal="left"/>
    </xf>
    <xf numFmtId="0" fontId="37" fillId="0" borderId="4" xfId="13" applyFont="1" applyBorder="1" applyAlignment="1">
      <alignment horizontal="left"/>
    </xf>
    <xf numFmtId="0" fontId="37" fillId="0" borderId="5" xfId="13" applyFont="1" applyBorder="1" applyAlignment="1">
      <alignment horizontal="left"/>
    </xf>
    <xf numFmtId="0" fontId="90" fillId="3" borderId="10" xfId="43" applyFont="1" applyFill="1" applyBorder="1" applyAlignment="1">
      <alignment horizontal="right" vertical="top"/>
    </xf>
    <xf numFmtId="0" fontId="90" fillId="3" borderId="9" xfId="43" applyFont="1" applyFill="1" applyBorder="1" applyAlignment="1">
      <alignment horizontal="right" vertical="top"/>
    </xf>
    <xf numFmtId="0" fontId="37" fillId="3" borderId="10" xfId="43" applyFont="1" applyFill="1" applyBorder="1" applyAlignment="1">
      <alignment horizontal="left" vertical="top" wrapText="1"/>
    </xf>
    <xf numFmtId="0" fontId="37" fillId="3" borderId="9" xfId="43" applyFont="1" applyFill="1" applyBorder="1" applyAlignment="1">
      <alignment horizontal="left" vertical="top" wrapText="1"/>
    </xf>
    <xf numFmtId="0" fontId="37" fillId="3" borderId="11" xfId="43" applyFont="1" applyFill="1" applyBorder="1" applyAlignment="1">
      <alignment horizontal="left" vertical="top" wrapText="1"/>
    </xf>
    <xf numFmtId="0" fontId="37" fillId="3" borderId="6" xfId="43" applyFont="1" applyFill="1" applyBorder="1" applyAlignment="1">
      <alignment horizontal="left" vertical="top" wrapText="1"/>
    </xf>
    <xf numFmtId="0" fontId="37" fillId="3" borderId="3" xfId="43" applyFont="1" applyFill="1" applyBorder="1" applyAlignment="1">
      <alignment horizontal="left" vertical="top" wrapText="1"/>
    </xf>
    <xf numFmtId="0" fontId="37" fillId="3" borderId="4" xfId="43" applyFont="1" applyFill="1" applyBorder="1" applyAlignment="1">
      <alignment horizontal="left" vertical="top" wrapText="1"/>
    </xf>
    <xf numFmtId="0" fontId="37" fillId="3" borderId="5" xfId="43" applyFont="1" applyFill="1" applyBorder="1" applyAlignment="1">
      <alignment horizontal="left" vertical="top" wrapText="1"/>
    </xf>
    <xf numFmtId="0" fontId="90" fillId="0" borderId="3" xfId="43" applyFont="1" applyBorder="1" applyAlignment="1">
      <alignment horizontal="right" vertical="top"/>
    </xf>
    <xf numFmtId="0" fontId="90" fillId="0" borderId="4" xfId="43" applyFont="1" applyBorder="1" applyAlignment="1">
      <alignment horizontal="right" vertical="top"/>
    </xf>
    <xf numFmtId="0" fontId="109" fillId="0" borderId="3" xfId="13" applyFont="1" applyBorder="1" applyAlignment="1">
      <alignment horizontal="right"/>
    </xf>
    <xf numFmtId="0" fontId="109" fillId="0" borderId="4" xfId="13" applyFont="1" applyBorder="1" applyAlignment="1">
      <alignment horizontal="right"/>
    </xf>
    <xf numFmtId="0" fontId="90" fillId="0" borderId="6" xfId="43" applyFont="1" applyBorder="1" applyAlignment="1">
      <alignment horizontal="right" vertical="top"/>
    </xf>
    <xf numFmtId="0" fontId="90" fillId="0" borderId="0" xfId="43" applyFont="1" applyAlignment="1">
      <alignment horizontal="right" vertical="top"/>
    </xf>
    <xf numFmtId="0" fontId="14" fillId="2" borderId="8" xfId="43" applyFont="1" applyFill="1" applyBorder="1" applyAlignment="1">
      <alignment horizontal="center" vertical="center" wrapText="1" shrinkToFit="1"/>
    </xf>
    <xf numFmtId="0" fontId="14" fillId="2" borderId="17" xfId="43" applyFont="1" applyFill="1" applyBorder="1" applyAlignment="1">
      <alignment horizontal="center" vertical="center" wrapText="1" shrinkToFit="1"/>
    </xf>
    <xf numFmtId="0" fontId="15" fillId="0" borderId="0" xfId="43" applyFont="1" applyAlignment="1">
      <alignment horizontal="center" vertical="center" wrapText="1"/>
    </xf>
    <xf numFmtId="2" fontId="14" fillId="0" borderId="22" xfId="43" applyNumberFormat="1" applyFont="1" applyBorder="1" applyAlignment="1">
      <alignment horizontal="center" vertical="center"/>
    </xf>
    <xf numFmtId="2" fontId="14" fillId="0" borderId="0" xfId="43" applyNumberFormat="1" applyFont="1" applyAlignment="1">
      <alignment horizontal="center" vertical="center"/>
    </xf>
    <xf numFmtId="2" fontId="14" fillId="0" borderId="7" xfId="43" applyNumberFormat="1" applyFont="1" applyBorder="1" applyAlignment="1">
      <alignment horizontal="center" vertical="center"/>
    </xf>
    <xf numFmtId="2" fontId="14" fillId="0" borderId="21" xfId="43" applyNumberFormat="1" applyFont="1" applyBorder="1" applyAlignment="1">
      <alignment horizontal="center" vertical="center"/>
    </xf>
    <xf numFmtId="2" fontId="14" fillId="0" borderId="2" xfId="43" applyNumberFormat="1" applyFont="1" applyBorder="1" applyAlignment="1">
      <alignment horizontal="center" vertical="center"/>
    </xf>
    <xf numFmtId="2" fontId="14" fillId="0" borderId="46" xfId="43" applyNumberFormat="1" applyFont="1" applyBorder="1" applyAlignment="1">
      <alignment horizontal="center" vertical="center"/>
    </xf>
    <xf numFmtId="0" fontId="12" fillId="5" borderId="8" xfId="43" applyFill="1" applyBorder="1" applyAlignment="1" applyProtection="1">
      <alignment horizontal="center" vertical="center"/>
      <protection locked="0"/>
    </xf>
    <xf numFmtId="0" fontId="14" fillId="2" borderId="8" xfId="43" applyFont="1" applyFill="1" applyBorder="1" applyAlignment="1">
      <alignment horizontal="center" vertical="center" wrapText="1"/>
    </xf>
    <xf numFmtId="0" fontId="14" fillId="2" borderId="8" xfId="43" applyFont="1" applyFill="1" applyBorder="1" applyAlignment="1">
      <alignment horizontal="center" vertical="center"/>
    </xf>
    <xf numFmtId="0" fontId="14" fillId="2" borderId="52" xfId="43" applyFont="1" applyFill="1" applyBorder="1" applyAlignment="1">
      <alignment horizontal="center" vertical="center"/>
    </xf>
    <xf numFmtId="0" fontId="16" fillId="0" borderId="22" xfId="43" applyFont="1" applyBorder="1" applyAlignment="1">
      <alignment horizontal="right" vertical="center"/>
    </xf>
    <xf numFmtId="49" fontId="14" fillId="5" borderId="8" xfId="43" applyNumberFormat="1" applyFont="1" applyFill="1" applyBorder="1" applyAlignment="1" applyProtection="1">
      <alignment horizontal="center" vertical="center"/>
      <protection locked="0"/>
    </xf>
    <xf numFmtId="0" fontId="12" fillId="5" borderId="18" xfId="43" applyFill="1" applyBorder="1" applyAlignment="1" applyProtection="1">
      <alignment horizontal="center" vertical="center"/>
      <protection locked="0"/>
    </xf>
    <xf numFmtId="0" fontId="12" fillId="5" borderId="14" xfId="43" applyFill="1" applyBorder="1" applyAlignment="1" applyProtection="1">
      <alignment horizontal="center" vertical="center"/>
      <protection locked="0"/>
    </xf>
    <xf numFmtId="2" fontId="14" fillId="0" borderId="21" xfId="43" applyNumberFormat="1" applyFont="1" applyBorder="1" applyAlignment="1">
      <alignment horizontal="right" vertical="center"/>
    </xf>
    <xf numFmtId="2" fontId="14" fillId="0" borderId="2" xfId="43" applyNumberFormat="1" applyFont="1" applyBorder="1" applyAlignment="1">
      <alignment horizontal="right" vertical="center"/>
    </xf>
    <xf numFmtId="49" fontId="14" fillId="2" borderId="8" xfId="43" applyNumberFormat="1" applyFont="1" applyFill="1" applyBorder="1" applyAlignment="1">
      <alignment horizontal="center" vertical="center" wrapText="1"/>
    </xf>
    <xf numFmtId="0" fontId="12" fillId="0" borderId="0" xfId="43" applyAlignment="1">
      <alignment vertical="center"/>
    </xf>
    <xf numFmtId="177" fontId="14" fillId="5" borderId="8" xfId="43" applyNumberFormat="1" applyFont="1" applyFill="1" applyBorder="1" applyAlignment="1" applyProtection="1">
      <alignment horizontal="center" vertical="center"/>
      <protection locked="0"/>
    </xf>
    <xf numFmtId="0" fontId="14" fillId="0" borderId="22" xfId="43" applyFont="1" applyBorder="1" applyAlignment="1">
      <alignment horizontal="left" vertical="center"/>
    </xf>
    <xf numFmtId="0" fontId="14" fillId="0" borderId="0" xfId="43" applyFont="1" applyAlignment="1">
      <alignment horizontal="left" vertical="center"/>
    </xf>
    <xf numFmtId="0" fontId="14" fillId="0" borderId="1" xfId="43" applyFont="1" applyBorder="1" applyAlignment="1">
      <alignment horizontal="left" vertical="center"/>
    </xf>
    <xf numFmtId="1" fontId="14" fillId="0" borderId="24" xfId="43" applyNumberFormat="1" applyFont="1" applyBorder="1" applyAlignment="1">
      <alignment horizontal="center" vertical="center"/>
    </xf>
    <xf numFmtId="1" fontId="14" fillId="0" borderId="20" xfId="43" applyNumberFormat="1" applyFont="1" applyBorder="1" applyAlignment="1">
      <alignment horizontal="center" vertical="center"/>
    </xf>
    <xf numFmtId="1" fontId="14" fillId="0" borderId="25" xfId="43" applyNumberFormat="1" applyFont="1" applyBorder="1" applyAlignment="1">
      <alignment horizontal="center" vertical="center"/>
    </xf>
    <xf numFmtId="0" fontId="12" fillId="7" borderId="8" xfId="43" applyFill="1" applyBorder="1" applyAlignment="1" applyProtection="1">
      <alignment horizontal="center" vertical="center"/>
      <protection locked="0"/>
    </xf>
    <xf numFmtId="0" fontId="44" fillId="0" borderId="20" xfId="43" applyFont="1" applyBorder="1" applyAlignment="1">
      <alignment horizontal="center" vertical="center" wrapText="1"/>
    </xf>
    <xf numFmtId="0" fontId="14" fillId="9" borderId="18" xfId="43" applyFont="1" applyFill="1" applyBorder="1" applyAlignment="1">
      <alignment horizontal="center" vertical="center"/>
    </xf>
    <xf numFmtId="0" fontId="14" fillId="9" borderId="19" xfId="43" applyFont="1" applyFill="1" applyBorder="1" applyAlignment="1">
      <alignment horizontal="center" vertical="center"/>
    </xf>
    <xf numFmtId="0" fontId="14" fillId="9" borderId="14" xfId="43" applyFont="1" applyFill="1" applyBorder="1" applyAlignment="1">
      <alignment horizontal="center" vertical="center"/>
    </xf>
    <xf numFmtId="0" fontId="44" fillId="0" borderId="28" xfId="43" applyFont="1" applyBorder="1" applyAlignment="1">
      <alignment horizontal="center" vertical="center" wrapText="1"/>
    </xf>
    <xf numFmtId="0" fontId="34" fillId="0" borderId="20" xfId="43" applyFont="1" applyBorder="1" applyAlignment="1">
      <alignment horizontal="center" vertical="center" wrapText="1"/>
    </xf>
    <xf numFmtId="0" fontId="14" fillId="0" borderId="22" xfId="43" applyFont="1" applyBorder="1" applyAlignment="1">
      <alignment horizontal="left" vertical="center" wrapText="1"/>
    </xf>
    <xf numFmtId="0" fontId="14" fillId="0" borderId="0" xfId="43" applyFont="1" applyAlignment="1">
      <alignment vertical="center" wrapText="1"/>
    </xf>
    <xf numFmtId="0" fontId="14" fillId="0" borderId="1" xfId="43" applyFont="1" applyBorder="1" applyAlignment="1">
      <alignment vertical="center" wrapText="1"/>
    </xf>
    <xf numFmtId="0" fontId="16" fillId="0" borderId="22" xfId="43" applyFont="1" applyBorder="1" applyAlignment="1">
      <alignment horizontal="center" vertical="center"/>
    </xf>
    <xf numFmtId="0" fontId="14" fillId="0" borderId="24" xfId="43" applyFont="1" applyBorder="1" applyAlignment="1">
      <alignment horizontal="right" vertical="center"/>
    </xf>
    <xf numFmtId="0" fontId="14" fillId="0" borderId="20" xfId="43" applyFont="1" applyBorder="1" applyAlignment="1">
      <alignment horizontal="right" vertical="center"/>
    </xf>
    <xf numFmtId="0" fontId="12" fillId="2" borderId="28" xfId="23" applyFill="1" applyBorder="1" applyAlignment="1">
      <alignment horizontal="left" vertical="center" wrapText="1"/>
    </xf>
    <xf numFmtId="0" fontId="12" fillId="2" borderId="33" xfId="23" applyFill="1" applyBorder="1" applyAlignment="1">
      <alignment horizontal="left" vertical="center" wrapText="1"/>
    </xf>
    <xf numFmtId="0" fontId="16" fillId="2" borderId="30" xfId="43" applyFont="1" applyFill="1" applyBorder="1" applyAlignment="1">
      <alignment vertical="center"/>
    </xf>
    <xf numFmtId="0" fontId="12" fillId="2" borderId="28" xfId="43" applyFill="1" applyBorder="1" applyAlignment="1">
      <alignment vertical="center"/>
    </xf>
    <xf numFmtId="0" fontId="12" fillId="2" borderId="29" xfId="43" applyFill="1" applyBorder="1" applyAlignment="1">
      <alignment vertical="center"/>
    </xf>
    <xf numFmtId="0" fontId="14" fillId="0" borderId="6" xfId="43" applyFont="1" applyBorder="1" applyAlignment="1">
      <alignment horizontal="center" vertical="center"/>
    </xf>
    <xf numFmtId="0" fontId="14" fillId="0" borderId="7" xfId="43" applyFont="1" applyBorder="1" applyAlignment="1">
      <alignment horizontal="center" vertical="center"/>
    </xf>
    <xf numFmtId="0" fontId="14" fillId="0" borderId="22" xfId="43" applyFont="1" applyBorder="1" applyAlignment="1">
      <alignment horizontal="right" vertical="center"/>
    </xf>
    <xf numFmtId="0" fontId="12" fillId="0" borderId="0" xfId="43" applyAlignment="1">
      <alignment horizontal="right" vertical="center"/>
    </xf>
    <xf numFmtId="0" fontId="14" fillId="0" borderId="22" xfId="43" applyFont="1" applyBorder="1" applyAlignment="1">
      <alignment horizontal="right"/>
    </xf>
    <xf numFmtId="0" fontId="14" fillId="0" borderId="0" xfId="43" applyFont="1" applyAlignment="1">
      <alignment horizontal="right"/>
    </xf>
    <xf numFmtId="0" fontId="14" fillId="0" borderId="0" xfId="43" applyFont="1" applyAlignment="1">
      <alignment horizontal="right" wrapText="1"/>
    </xf>
    <xf numFmtId="0" fontId="12" fillId="0" borderId="0" xfId="43"/>
    <xf numFmtId="0" fontId="14" fillId="2" borderId="18" xfId="43" applyFont="1" applyFill="1" applyBorder="1" applyAlignment="1">
      <alignment horizontal="center" vertical="center"/>
    </xf>
    <xf numFmtId="0" fontId="14" fillId="2" borderId="14" xfId="43" applyFont="1" applyFill="1" applyBorder="1" applyAlignment="1">
      <alignment horizontal="center" vertical="center"/>
    </xf>
    <xf numFmtId="1" fontId="14" fillId="0" borderId="22" xfId="43" applyNumberFormat="1" applyFont="1" applyBorder="1" applyAlignment="1">
      <alignment horizontal="left" vertical="center" wrapText="1"/>
    </xf>
    <xf numFmtId="0" fontId="12" fillId="0" borderId="0" xfId="43" applyAlignment="1">
      <alignment horizontal="left" vertical="center"/>
    </xf>
    <xf numFmtId="0" fontId="14" fillId="0" borderId="22" xfId="43" applyFont="1" applyBorder="1" applyAlignment="1">
      <alignment horizontal="right" vertical="center" indent="1"/>
    </xf>
    <xf numFmtId="0" fontId="14" fillId="0" borderId="0" xfId="43" applyFont="1" applyAlignment="1">
      <alignment horizontal="right" vertical="center" indent="1"/>
    </xf>
    <xf numFmtId="0" fontId="16" fillId="2" borderId="26" xfId="43" applyFont="1" applyFill="1" applyBorder="1" applyAlignment="1">
      <alignment vertical="center"/>
    </xf>
    <xf numFmtId="0" fontId="12" fillId="2" borderId="19" xfId="43" applyFill="1" applyBorder="1" applyAlignment="1">
      <alignment vertical="center"/>
    </xf>
    <xf numFmtId="0" fontId="12" fillId="2" borderId="39" xfId="43" applyFill="1" applyBorder="1" applyAlignment="1">
      <alignment vertical="center"/>
    </xf>
    <xf numFmtId="14" fontId="12" fillId="7" borderId="8" xfId="43" applyNumberFormat="1" applyFill="1" applyBorder="1" applyAlignment="1" applyProtection="1">
      <alignment horizontal="center" vertical="center"/>
      <protection locked="0"/>
    </xf>
    <xf numFmtId="0" fontId="12" fillId="7" borderId="8" xfId="43" applyFill="1" applyBorder="1" applyAlignment="1">
      <alignment horizontal="center" vertical="center"/>
    </xf>
    <xf numFmtId="0" fontId="34" fillId="0" borderId="2" xfId="23" applyFont="1" applyBorder="1" applyAlignment="1">
      <alignment horizontal="center" vertical="center" wrapText="1"/>
    </xf>
    <xf numFmtId="0" fontId="14" fillId="0" borderId="30" xfId="23" applyFont="1" applyBorder="1" applyAlignment="1" applyProtection="1">
      <alignment horizontal="left" vertical="top"/>
      <protection locked="0"/>
    </xf>
    <xf numFmtId="0" fontId="14" fillId="0" borderId="28" xfId="23" applyFont="1" applyBorder="1" applyAlignment="1" applyProtection="1">
      <alignment horizontal="left" vertical="top"/>
      <protection locked="0"/>
    </xf>
    <xf numFmtId="0" fontId="14" fillId="0" borderId="29" xfId="23" applyFont="1" applyBorder="1" applyAlignment="1" applyProtection="1">
      <alignment horizontal="left" vertical="top"/>
      <protection locked="0"/>
    </xf>
    <xf numFmtId="0" fontId="14" fillId="2" borderId="28" xfId="23" applyFont="1" applyFill="1" applyBorder="1" applyAlignment="1">
      <alignment horizontal="center" wrapText="1"/>
    </xf>
    <xf numFmtId="0" fontId="16" fillId="0" borderId="22" xfId="23" applyFont="1" applyBorder="1" applyAlignment="1">
      <alignment horizontal="center" vertical="center" wrapText="1"/>
    </xf>
    <xf numFmtId="0" fontId="14" fillId="9" borderId="0" xfId="23" applyFont="1" applyFill="1" applyAlignment="1" applyProtection="1">
      <alignment horizontal="center" vertical="center"/>
      <protection locked="0"/>
    </xf>
    <xf numFmtId="0" fontId="14" fillId="9" borderId="1" xfId="23" applyFont="1" applyFill="1" applyBorder="1" applyAlignment="1" applyProtection="1">
      <alignment horizontal="center" vertical="center"/>
      <protection locked="0"/>
    </xf>
    <xf numFmtId="0" fontId="14" fillId="9" borderId="0" xfId="23" applyFont="1" applyFill="1" applyAlignment="1">
      <alignment horizontal="left" vertical="center"/>
    </xf>
    <xf numFmtId="0" fontId="109" fillId="7" borderId="19" xfId="23" applyFont="1" applyFill="1" applyBorder="1" applyAlignment="1" applyProtection="1">
      <alignment horizontal="center"/>
      <protection locked="0"/>
    </xf>
    <xf numFmtId="0" fontId="14" fillId="5" borderId="18" xfId="23" applyFont="1" applyFill="1" applyBorder="1" applyAlignment="1" applyProtection="1">
      <alignment horizontal="center"/>
      <protection locked="0"/>
    </xf>
    <xf numFmtId="0" fontId="14" fillId="5" borderId="19" xfId="23" applyFont="1" applyFill="1" applyBorder="1" applyAlignment="1" applyProtection="1">
      <alignment horizontal="center"/>
      <protection locked="0"/>
    </xf>
    <xf numFmtId="0" fontId="14" fillId="5" borderId="14" xfId="23" applyFont="1" applyFill="1" applyBorder="1" applyAlignment="1" applyProtection="1">
      <alignment horizontal="center"/>
      <protection locked="0"/>
    </xf>
    <xf numFmtId="0" fontId="16" fillId="0" borderId="30" xfId="23" applyFont="1" applyBorder="1" applyAlignment="1">
      <alignment horizontal="center" vertical="center" wrapText="1"/>
    </xf>
    <xf numFmtId="0" fontId="16" fillId="0" borderId="28" xfId="23" applyFont="1" applyBorder="1" applyAlignment="1">
      <alignment horizontal="center" vertical="center" wrapText="1"/>
    </xf>
    <xf numFmtId="0" fontId="14" fillId="5" borderId="8" xfId="23" applyFont="1" applyFill="1" applyBorder="1" applyAlignment="1" applyProtection="1">
      <alignment horizontal="center"/>
      <protection locked="0"/>
    </xf>
    <xf numFmtId="0" fontId="109" fillId="7" borderId="4" xfId="23" applyFont="1" applyFill="1" applyBorder="1" applyAlignment="1" applyProtection="1">
      <alignment horizontal="center"/>
      <protection locked="0"/>
    </xf>
    <xf numFmtId="0" fontId="34" fillId="0" borderId="28" xfId="23" applyFont="1" applyBorder="1" applyAlignment="1">
      <alignment horizontal="center" vertical="center" wrapText="1"/>
    </xf>
    <xf numFmtId="0" fontId="14" fillId="7" borderId="30" xfId="23" applyFont="1" applyFill="1" applyBorder="1" applyAlignment="1" applyProtection="1">
      <alignment horizontal="left" vertical="top"/>
      <protection locked="0"/>
    </xf>
    <xf numFmtId="0" fontId="14" fillId="7" borderId="28" xfId="23" applyFont="1" applyFill="1" applyBorder="1" applyAlignment="1" applyProtection="1">
      <alignment horizontal="left" vertical="top"/>
      <protection locked="0"/>
    </xf>
    <xf numFmtId="0" fontId="14" fillId="7" borderId="29" xfId="23" applyFont="1" applyFill="1" applyBorder="1" applyAlignment="1" applyProtection="1">
      <alignment horizontal="left" vertical="top"/>
      <protection locked="0"/>
    </xf>
    <xf numFmtId="0" fontId="14" fillId="9" borderId="28" xfId="23" applyFont="1" applyFill="1" applyBorder="1" applyAlignment="1">
      <alignment horizontal="left" vertical="center"/>
    </xf>
    <xf numFmtId="0" fontId="22" fillId="0" borderId="0" xfId="23" applyFont="1" applyAlignment="1">
      <alignment horizontal="left"/>
    </xf>
    <xf numFmtId="0" fontId="22" fillId="0" borderId="7" xfId="23" applyFont="1" applyBorder="1" applyAlignment="1">
      <alignment horizontal="left"/>
    </xf>
    <xf numFmtId="165" fontId="22" fillId="11" borderId="18" xfId="23" applyNumberFormat="1" applyFont="1" applyFill="1" applyBorder="1" applyAlignment="1">
      <alignment horizontal="center"/>
    </xf>
    <xf numFmtId="165" fontId="22" fillId="11" borderId="14" xfId="23" applyNumberFormat="1" applyFont="1" applyFill="1" applyBorder="1" applyAlignment="1">
      <alignment horizontal="center"/>
    </xf>
    <xf numFmtId="165" fontId="14" fillId="11" borderId="8" xfId="23" applyNumberFormat="1" applyFont="1" applyFill="1" applyBorder="1" applyAlignment="1">
      <alignment horizontal="center"/>
    </xf>
    <xf numFmtId="0" fontId="14" fillId="11" borderId="18" xfId="23" applyFont="1" applyFill="1" applyBorder="1" applyAlignment="1">
      <alignment horizontal="left"/>
    </xf>
    <xf numFmtId="0" fontId="14" fillId="11" borderId="19" xfId="23" applyFont="1" applyFill="1" applyBorder="1" applyAlignment="1">
      <alignment horizontal="left"/>
    </xf>
    <xf numFmtId="0" fontId="14" fillId="11" borderId="14" xfId="23" applyFont="1" applyFill="1" applyBorder="1" applyAlignment="1">
      <alignment horizontal="left"/>
    </xf>
    <xf numFmtId="165" fontId="22" fillId="11" borderId="8" xfId="23" applyNumberFormat="1" applyFont="1" applyFill="1" applyBorder="1" applyAlignment="1">
      <alignment horizontal="center"/>
    </xf>
    <xf numFmtId="0" fontId="17" fillId="0" borderId="0" xfId="23" applyFont="1" applyAlignment="1">
      <alignment horizontal="center"/>
    </xf>
    <xf numFmtId="165" fontId="22" fillId="0" borderId="9" xfId="23" applyNumberFormat="1" applyFont="1" applyBorder="1" applyAlignment="1">
      <alignment horizontal="center"/>
    </xf>
    <xf numFmtId="0" fontId="22" fillId="0" borderId="7" xfId="23" applyFont="1" applyBorder="1" applyAlignment="1">
      <alignment horizontal="center"/>
    </xf>
    <xf numFmtId="165" fontId="22" fillId="7" borderId="18" xfId="23" applyNumberFormat="1" applyFont="1" applyFill="1" applyBorder="1" applyAlignment="1" applyProtection="1">
      <alignment horizontal="center"/>
      <protection locked="0"/>
    </xf>
    <xf numFmtId="165" fontId="22" fillId="7" borderId="14" xfId="23" applyNumberFormat="1" applyFont="1" applyFill="1" applyBorder="1" applyAlignment="1" applyProtection="1">
      <alignment horizontal="center"/>
      <protection locked="0"/>
    </xf>
    <xf numFmtId="165" fontId="14" fillId="7" borderId="8" xfId="23" applyNumberFormat="1" applyFont="1" applyFill="1" applyBorder="1" applyAlignment="1" applyProtection="1">
      <alignment horizontal="center"/>
      <protection locked="0"/>
    </xf>
    <xf numFmtId="0" fontId="14" fillId="11" borderId="8" xfId="23" applyFont="1" applyFill="1" applyBorder="1" applyAlignment="1">
      <alignment horizontal="center"/>
    </xf>
    <xf numFmtId="0" fontId="14" fillId="7" borderId="8" xfId="23" applyFont="1" applyFill="1" applyBorder="1" applyAlignment="1" applyProtection="1">
      <alignment horizontal="center"/>
      <protection locked="0"/>
    </xf>
    <xf numFmtId="0" fontId="22" fillId="7" borderId="10" xfId="23" applyFont="1" applyFill="1" applyBorder="1" applyAlignment="1" applyProtection="1">
      <alignment horizontal="right" vertical="center"/>
      <protection locked="0"/>
    </xf>
    <xf numFmtId="0" fontId="22" fillId="7" borderId="6" xfId="23" applyFont="1" applyFill="1" applyBorder="1" applyAlignment="1" applyProtection="1">
      <alignment horizontal="right" vertical="center"/>
      <protection locked="0"/>
    </xf>
    <xf numFmtId="0" fontId="22" fillId="7" borderId="3" xfId="23" applyFont="1" applyFill="1" applyBorder="1" applyAlignment="1" applyProtection="1">
      <alignment horizontal="right" vertical="center"/>
      <protection locked="0"/>
    </xf>
    <xf numFmtId="0" fontId="22" fillId="0" borderId="10" xfId="23" applyFont="1" applyBorder="1" applyAlignment="1">
      <alignment horizontal="center" vertical="center"/>
    </xf>
    <xf numFmtId="0" fontId="22" fillId="0" borderId="11" xfId="23" applyFont="1" applyBorder="1" applyAlignment="1">
      <alignment horizontal="center" vertical="center"/>
    </xf>
    <xf numFmtId="0" fontId="22" fillId="0" borderId="3" xfId="23" applyFont="1" applyBorder="1" applyAlignment="1">
      <alignment horizontal="center" vertical="center"/>
    </xf>
    <xf numFmtId="0" fontId="22" fillId="0" borderId="5" xfId="23" applyFont="1" applyBorder="1" applyAlignment="1">
      <alignment horizontal="center" vertical="center"/>
    </xf>
    <xf numFmtId="0" fontId="22" fillId="7" borderId="8" xfId="23" applyFont="1" applyFill="1" applyBorder="1" applyAlignment="1">
      <alignment horizontal="center" wrapText="1"/>
    </xf>
    <xf numFmtId="165" fontId="14" fillId="11" borderId="18" xfId="23" applyNumberFormat="1" applyFont="1" applyFill="1" applyBorder="1" applyAlignment="1">
      <alignment horizontal="center"/>
    </xf>
    <xf numFmtId="0" fontId="14" fillId="11" borderId="14" xfId="23" applyFont="1" applyFill="1" applyBorder="1" applyAlignment="1">
      <alignment horizontal="center"/>
    </xf>
    <xf numFmtId="0" fontId="14" fillId="0" borderId="0" xfId="23" applyFont="1" applyAlignment="1">
      <alignment horizontal="right"/>
    </xf>
    <xf numFmtId="0" fontId="16" fillId="0" borderId="0" xfId="23" applyFont="1" applyAlignment="1">
      <alignment horizontal="left"/>
    </xf>
    <xf numFmtId="165" fontId="14" fillId="11" borderId="14" xfId="23" applyNumberFormat="1" applyFont="1" applyFill="1" applyBorder="1" applyAlignment="1">
      <alignment horizontal="center"/>
    </xf>
    <xf numFmtId="0" fontId="22" fillId="21" borderId="0" xfId="23" applyFont="1" applyFill="1" applyAlignment="1">
      <alignment horizontal="left" vertical="top" wrapText="1"/>
    </xf>
    <xf numFmtId="0" fontId="22" fillId="0" borderId="11" xfId="23" applyFont="1" applyBorder="1" applyAlignment="1">
      <alignment horizontal="left" vertical="center"/>
    </xf>
    <xf numFmtId="0" fontId="22" fillId="0" borderId="7" xfId="23" applyFont="1" applyBorder="1" applyAlignment="1">
      <alignment horizontal="left" vertical="center"/>
    </xf>
    <xf numFmtId="0" fontId="22" fillId="0" borderId="5" xfId="23" applyFont="1" applyBorder="1" applyAlignment="1">
      <alignment horizontal="left" vertical="center"/>
    </xf>
    <xf numFmtId="0" fontId="14" fillId="7" borderId="18" xfId="23" applyFont="1" applyFill="1" applyBorder="1" applyAlignment="1" applyProtection="1">
      <alignment horizontal="center"/>
      <protection locked="0"/>
    </xf>
    <xf numFmtId="0" fontId="14" fillId="7" borderId="14" xfId="23" applyFont="1" applyFill="1" applyBorder="1" applyAlignment="1" applyProtection="1">
      <alignment horizontal="center"/>
      <protection locked="0"/>
    </xf>
    <xf numFmtId="165" fontId="22" fillId="0" borderId="0" xfId="23" applyNumberFormat="1" applyFont="1" applyAlignment="1">
      <alignment horizontal="center"/>
    </xf>
    <xf numFmtId="0" fontId="22" fillId="0" borderId="0" xfId="23" applyFont="1" applyAlignment="1">
      <alignment horizontal="left" vertical="center"/>
    </xf>
    <xf numFmtId="0" fontId="22" fillId="0" borderId="0" xfId="23" quotePrefix="1" applyFont="1" applyAlignment="1">
      <alignment horizontal="left"/>
    </xf>
    <xf numFmtId="0" fontId="22" fillId="0" borderId="7" xfId="23" quotePrefix="1" applyFont="1" applyBorder="1" applyAlignment="1">
      <alignment horizontal="left"/>
    </xf>
    <xf numFmtId="0" fontId="22" fillId="21" borderId="0" xfId="23" applyFont="1" applyFill="1" applyAlignment="1">
      <alignment horizontal="left" vertical="center" wrapText="1"/>
    </xf>
    <xf numFmtId="0" fontId="14" fillId="0" borderId="7" xfId="23" applyFont="1" applyBorder="1" applyAlignment="1">
      <alignment horizontal="right"/>
    </xf>
    <xf numFmtId="0" fontId="22" fillId="0" borderId="0" xfId="23" applyFont="1"/>
    <xf numFmtId="0" fontId="22" fillId="0" borderId="7" xfId="23" applyFont="1" applyBorder="1"/>
    <xf numFmtId="176" fontId="14" fillId="11" borderId="18" xfId="0" applyNumberFormat="1" applyFont="1" applyFill="1" applyBorder="1" applyAlignment="1">
      <alignment horizontal="center" vertical="center"/>
    </xf>
    <xf numFmtId="176" fontId="14" fillId="11" borderId="14" xfId="0" applyNumberFormat="1" applyFont="1" applyFill="1" applyBorder="1" applyAlignment="1">
      <alignment horizontal="center" vertical="center"/>
    </xf>
    <xf numFmtId="0" fontId="14" fillId="0" borderId="6" xfId="0" applyFont="1" applyBorder="1" applyAlignment="1">
      <alignment horizontal="left"/>
    </xf>
    <xf numFmtId="0" fontId="14" fillId="0" borderId="0" xfId="0" applyFont="1" applyAlignment="1">
      <alignment horizontal="left"/>
    </xf>
    <xf numFmtId="0" fontId="14" fillId="0" borderId="7" xfId="0" applyFont="1" applyBorder="1" applyAlignment="1">
      <alignment horizontal="left"/>
    </xf>
    <xf numFmtId="0" fontId="14" fillId="0" borderId="0" xfId="0" applyFont="1" applyAlignment="1">
      <alignment horizontal="center" vertical="center"/>
    </xf>
    <xf numFmtId="0" fontId="14" fillId="0" borderId="7" xfId="0" applyFont="1" applyBorder="1" applyAlignment="1">
      <alignment horizontal="center" vertical="center"/>
    </xf>
    <xf numFmtId="165" fontId="14" fillId="11" borderId="18" xfId="0" applyNumberFormat="1" applyFont="1" applyFill="1" applyBorder="1" applyAlignment="1">
      <alignment horizontal="center" vertical="center"/>
    </xf>
    <xf numFmtId="165" fontId="14" fillId="11" borderId="14" xfId="0" applyNumberFormat="1" applyFont="1" applyFill="1" applyBorder="1" applyAlignment="1">
      <alignment horizontal="center" vertical="center"/>
    </xf>
    <xf numFmtId="0" fontId="14" fillId="7" borderId="18" xfId="0" applyFont="1" applyFill="1" applyBorder="1" applyAlignment="1" applyProtection="1">
      <alignment horizontal="center" vertical="center"/>
      <protection locked="0"/>
    </xf>
    <xf numFmtId="0" fontId="14" fillId="7" borderId="19" xfId="0" applyFont="1" applyFill="1" applyBorder="1" applyAlignment="1" applyProtection="1">
      <alignment horizontal="center" vertical="center"/>
      <protection locked="0"/>
    </xf>
    <xf numFmtId="0" fontId="14" fillId="7" borderId="14" xfId="0" applyFont="1" applyFill="1" applyBorder="1" applyAlignment="1" applyProtection="1">
      <alignment horizontal="center" vertical="center"/>
      <protection locked="0"/>
    </xf>
    <xf numFmtId="49" fontId="14" fillId="7" borderId="18" xfId="0" applyNumberFormat="1" applyFont="1" applyFill="1" applyBorder="1" applyAlignment="1" applyProtection="1">
      <alignment horizontal="center" vertical="center"/>
      <protection locked="0"/>
    </xf>
    <xf numFmtId="49" fontId="14" fillId="7" borderId="19" xfId="0" applyNumberFormat="1" applyFont="1" applyFill="1" applyBorder="1" applyAlignment="1" applyProtection="1">
      <alignment horizontal="center" vertical="center"/>
      <protection locked="0"/>
    </xf>
    <xf numFmtId="49" fontId="14" fillId="7" borderId="14" xfId="0" applyNumberFormat="1" applyFont="1" applyFill="1" applyBorder="1" applyAlignment="1" applyProtection="1">
      <alignment horizontal="center" vertical="center"/>
      <protection locked="0"/>
    </xf>
    <xf numFmtId="0" fontId="14" fillId="7" borderId="8" xfId="23" applyFont="1" applyFill="1" applyBorder="1" applyAlignment="1" applyProtection="1">
      <alignment horizontal="center" vertical="center"/>
      <protection locked="0"/>
    </xf>
    <xf numFmtId="165" fontId="14" fillId="0" borderId="0" xfId="0" applyNumberFormat="1" applyFont="1" applyAlignment="1">
      <alignment horizontal="left" wrapText="1"/>
    </xf>
    <xf numFmtId="165" fontId="14" fillId="0" borderId="7" xfId="0" applyNumberFormat="1" applyFont="1" applyBorder="1" applyAlignment="1">
      <alignment horizontal="left" wrapText="1"/>
    </xf>
    <xf numFmtId="0" fontId="14" fillId="0" borderId="6" xfId="0" applyFont="1" applyBorder="1" applyAlignment="1">
      <alignment horizontal="right" vertical="center"/>
    </xf>
    <xf numFmtId="0" fontId="14" fillId="0" borderId="0" xfId="0" applyFont="1" applyAlignment="1">
      <alignment horizontal="right" vertical="center"/>
    </xf>
    <xf numFmtId="0" fontId="14" fillId="0" borderId="8" xfId="0" applyFont="1" applyBorder="1" applyAlignment="1">
      <alignment horizontal="center" vertical="center" wrapText="1"/>
    </xf>
    <xf numFmtId="49" fontId="14" fillId="0" borderId="0" xfId="0" applyNumberFormat="1" applyFont="1" applyAlignment="1">
      <alignment horizontal="center" vertical="center"/>
    </xf>
    <xf numFmtId="49" fontId="14" fillId="0" borderId="7" xfId="0" applyNumberFormat="1" applyFont="1" applyBorder="1" applyAlignment="1">
      <alignment horizontal="center" vertical="center"/>
    </xf>
    <xf numFmtId="49" fontId="14" fillId="0" borderId="6" xfId="0" applyNumberFormat="1" applyFont="1" applyBorder="1" applyAlignment="1">
      <alignment horizontal="right" vertical="center"/>
    </xf>
    <xf numFmtId="49" fontId="14" fillId="0" borderId="0" xfId="0" applyNumberFormat="1" applyFont="1" applyAlignment="1">
      <alignment horizontal="right" vertical="center"/>
    </xf>
    <xf numFmtId="49" fontId="14" fillId="0" borderId="7" xfId="0" applyNumberFormat="1" applyFont="1" applyBorder="1" applyAlignment="1">
      <alignment horizontal="right" vertical="center"/>
    </xf>
    <xf numFmtId="1" fontId="14" fillId="11" borderId="18" xfId="0" applyNumberFormat="1" applyFont="1" applyFill="1" applyBorder="1" applyAlignment="1">
      <alignment horizontal="center" vertical="center"/>
    </xf>
    <xf numFmtId="1" fontId="14" fillId="11" borderId="14" xfId="0" applyNumberFormat="1" applyFont="1" applyFill="1" applyBorder="1" applyAlignment="1">
      <alignment horizontal="center" vertical="center"/>
    </xf>
    <xf numFmtId="2" fontId="14" fillId="11" borderId="18" xfId="55" applyNumberFormat="1" applyFont="1" applyFill="1" applyBorder="1" applyAlignment="1">
      <alignment horizontal="center" vertical="center"/>
    </xf>
    <xf numFmtId="2" fontId="14" fillId="11" borderId="14" xfId="55" applyNumberFormat="1" applyFont="1" applyFill="1" applyBorder="1" applyAlignment="1">
      <alignment horizontal="center" vertical="center"/>
    </xf>
    <xf numFmtId="0" fontId="16" fillId="11" borderId="19" xfId="0" applyFont="1" applyFill="1" applyBorder="1" applyAlignment="1">
      <alignment vertical="center"/>
    </xf>
    <xf numFmtId="0" fontId="14" fillId="7" borderId="18" xfId="0" applyFont="1" applyFill="1" applyBorder="1" applyAlignment="1" applyProtection="1">
      <alignment horizontal="left" vertical="center" indent="1"/>
      <protection locked="0"/>
    </xf>
    <xf numFmtId="0" fontId="14" fillId="7" borderId="19" xfId="0" applyFont="1" applyFill="1" applyBorder="1" applyAlignment="1" applyProtection="1">
      <alignment horizontal="left" vertical="center" indent="1"/>
      <protection locked="0"/>
    </xf>
    <xf numFmtId="0" fontId="14" fillId="7" borderId="14" xfId="0" applyFont="1" applyFill="1" applyBorder="1" applyAlignment="1" applyProtection="1">
      <alignment horizontal="left" vertical="center" indent="1"/>
      <protection locked="0"/>
    </xf>
    <xf numFmtId="0" fontId="14" fillId="0" borderId="0" xfId="0" applyFont="1" applyAlignment="1">
      <alignment horizontal="center"/>
    </xf>
    <xf numFmtId="0" fontId="94" fillId="0" borderId="0" xfId="0" applyFont="1" applyAlignment="1">
      <alignment horizontal="left" vertical="center" wrapText="1"/>
    </xf>
    <xf numFmtId="165" fontId="14" fillId="7" borderId="8" xfId="55" applyNumberFormat="1" applyFont="1" applyFill="1" applyBorder="1" applyAlignment="1" applyProtection="1">
      <alignment horizontal="left" vertical="center" indent="1"/>
      <protection locked="0"/>
    </xf>
    <xf numFmtId="0" fontId="14" fillId="11" borderId="14" xfId="0" applyFont="1" applyFill="1" applyBorder="1" applyAlignment="1">
      <alignment horizontal="center" vertical="center"/>
    </xf>
    <xf numFmtId="0" fontId="14" fillId="11" borderId="18" xfId="0" applyFont="1" applyFill="1" applyBorder="1" applyAlignment="1">
      <alignment horizontal="left" vertical="center" indent="1"/>
    </xf>
    <xf numFmtId="0" fontId="14" fillId="11" borderId="19" xfId="0" applyFont="1" applyFill="1" applyBorder="1" applyAlignment="1">
      <alignment horizontal="left" vertical="center" indent="1"/>
    </xf>
    <xf numFmtId="0" fontId="14" fillId="11" borderId="14" xfId="0" applyFont="1" applyFill="1" applyBorder="1" applyAlignment="1">
      <alignment horizontal="left" vertical="center" indent="1"/>
    </xf>
    <xf numFmtId="2" fontId="14" fillId="7" borderId="8" xfId="43" applyNumberFormat="1" applyFont="1" applyFill="1" applyBorder="1" applyAlignment="1" applyProtection="1">
      <alignment horizontal="center"/>
      <protection locked="0"/>
    </xf>
    <xf numFmtId="0" fontId="108" fillId="0" borderId="9" xfId="0" applyFont="1" applyBorder="1" applyAlignment="1">
      <alignment horizontal="center" vertical="center" wrapText="1"/>
    </xf>
    <xf numFmtId="0" fontId="108" fillId="0" borderId="0" xfId="0" applyFont="1" applyAlignment="1">
      <alignment horizontal="center" vertical="center" wrapText="1"/>
    </xf>
    <xf numFmtId="165" fontId="14" fillId="11" borderId="8" xfId="43" applyNumberFormat="1" applyFont="1" applyFill="1" applyBorder="1" applyAlignment="1">
      <alignment horizontal="center"/>
    </xf>
    <xf numFmtId="0" fontId="14" fillId="2" borderId="33" xfId="23" applyFont="1" applyFill="1" applyBorder="1" applyAlignment="1">
      <alignment horizontal="center" vertical="center" wrapText="1"/>
    </xf>
    <xf numFmtId="1" fontId="14" fillId="11" borderId="8" xfId="43" applyNumberFormat="1" applyFont="1" applyFill="1" applyBorder="1" applyAlignment="1">
      <alignment horizontal="center"/>
    </xf>
    <xf numFmtId="165" fontId="14" fillId="11" borderId="8" xfId="0" applyNumberFormat="1" applyFont="1" applyFill="1" applyBorder="1" applyAlignment="1">
      <alignment horizontal="center"/>
    </xf>
    <xf numFmtId="0" fontId="14" fillId="11" borderId="18" xfId="55" applyFont="1" applyFill="1" applyBorder="1" applyAlignment="1">
      <alignment horizontal="center" vertical="center"/>
    </xf>
    <xf numFmtId="0" fontId="14" fillId="11" borderId="19" xfId="55" applyFont="1" applyFill="1" applyBorder="1" applyAlignment="1">
      <alignment horizontal="center" vertical="center"/>
    </xf>
    <xf numFmtId="0" fontId="14" fillId="11" borderId="14" xfId="55" applyFont="1" applyFill="1" applyBorder="1" applyAlignment="1">
      <alignment horizontal="center" vertical="center"/>
    </xf>
    <xf numFmtId="0" fontId="94" fillId="0" borderId="6" xfId="0" applyFont="1" applyBorder="1" applyAlignment="1">
      <alignment vertical="center"/>
    </xf>
    <xf numFmtId="0" fontId="94" fillId="0" borderId="0" xfId="0" applyFont="1" applyAlignment="1">
      <alignment vertical="center"/>
    </xf>
    <xf numFmtId="0" fontId="14" fillId="0" borderId="0" xfId="43" applyFont="1" applyAlignment="1">
      <alignment horizontal="center"/>
    </xf>
    <xf numFmtId="165" fontId="14" fillId="11" borderId="8" xfId="55" applyNumberFormat="1" applyFont="1" applyFill="1" applyBorder="1" applyAlignment="1">
      <alignment horizontal="center" vertical="center"/>
    </xf>
    <xf numFmtId="2" fontId="14" fillId="11" borderId="8" xfId="43" applyNumberFormat="1" applyFont="1" applyFill="1" applyBorder="1" applyAlignment="1">
      <alignment horizontal="center" vertical="center"/>
    </xf>
    <xf numFmtId="1" fontId="14" fillId="5" borderId="8" xfId="55" applyNumberFormat="1" applyFont="1" applyFill="1" applyBorder="1" applyAlignment="1" applyProtection="1">
      <alignment horizontal="center" vertical="center"/>
      <protection locked="0"/>
    </xf>
    <xf numFmtId="165" fontId="14" fillId="11" borderId="18" xfId="55" applyNumberFormat="1" applyFont="1" applyFill="1" applyBorder="1" applyAlignment="1">
      <alignment horizontal="center" vertical="center"/>
    </xf>
    <xf numFmtId="165" fontId="14" fillId="11" borderId="14" xfId="55" applyNumberFormat="1" applyFont="1" applyFill="1" applyBorder="1" applyAlignment="1">
      <alignment horizontal="center" vertical="center"/>
    </xf>
    <xf numFmtId="165" fontId="14" fillId="11" borderId="8" xfId="0" applyNumberFormat="1" applyFont="1" applyFill="1" applyBorder="1" applyAlignment="1">
      <alignment horizontal="center" vertical="center"/>
    </xf>
    <xf numFmtId="2" fontId="14" fillId="11" borderId="18" xfId="0" applyNumberFormat="1" applyFont="1" applyFill="1" applyBorder="1" applyAlignment="1">
      <alignment horizontal="center" vertical="center"/>
    </xf>
    <xf numFmtId="2" fontId="14" fillId="11" borderId="14" xfId="0" applyNumberFormat="1" applyFont="1" applyFill="1" applyBorder="1" applyAlignment="1">
      <alignment horizontal="center" vertical="center"/>
    </xf>
    <xf numFmtId="164" fontId="14" fillId="11" borderId="8" xfId="0" applyNumberFormat="1" applyFont="1" applyFill="1" applyBorder="1" applyAlignment="1">
      <alignment horizontal="center" vertical="center"/>
    </xf>
    <xf numFmtId="0" fontId="14" fillId="0" borderId="6" xfId="0" applyFont="1" applyBorder="1" applyAlignment="1">
      <alignment horizontal="left" vertical="center"/>
    </xf>
    <xf numFmtId="0" fontId="14" fillId="0" borderId="0" xfId="0" applyFont="1" applyAlignment="1">
      <alignment horizontal="left" vertical="center"/>
    </xf>
    <xf numFmtId="0" fontId="14" fillId="0" borderId="7" xfId="0" applyFont="1" applyBorder="1" applyAlignment="1">
      <alignment horizontal="left" vertical="center"/>
    </xf>
    <xf numFmtId="0" fontId="14" fillId="11" borderId="18" xfId="0" applyFont="1" applyFill="1" applyBorder="1" applyAlignment="1">
      <alignment horizontal="center" vertical="center"/>
    </xf>
    <xf numFmtId="1" fontId="14" fillId="11" borderId="18" xfId="0" applyNumberFormat="1" applyFont="1" applyFill="1" applyBorder="1" applyAlignment="1" applyProtection="1">
      <alignment horizontal="center" vertical="center"/>
      <protection hidden="1"/>
    </xf>
    <xf numFmtId="1" fontId="14" fillId="11" borderId="14" xfId="0" applyNumberFormat="1" applyFont="1" applyFill="1" applyBorder="1" applyAlignment="1" applyProtection="1">
      <alignment horizontal="center" vertical="center"/>
      <protection hidden="1"/>
    </xf>
    <xf numFmtId="0" fontId="14" fillId="11" borderId="18" xfId="43" applyFont="1" applyFill="1" applyBorder="1" applyAlignment="1">
      <alignment horizontal="center" vertical="center"/>
    </xf>
    <xf numFmtId="0" fontId="14" fillId="11" borderId="14" xfId="43" applyFont="1" applyFill="1" applyBorder="1" applyAlignment="1">
      <alignment horizontal="center" vertical="center"/>
    </xf>
    <xf numFmtId="0" fontId="14" fillId="7" borderId="8" xfId="0" applyFont="1" applyFill="1" applyBorder="1" applyAlignment="1" applyProtection="1">
      <alignment horizontal="center" vertical="center"/>
      <protection locked="0"/>
    </xf>
    <xf numFmtId="0" fontId="14" fillId="0" borderId="6" xfId="0" applyFont="1" applyBorder="1" applyAlignment="1">
      <alignment horizontal="center" vertical="center"/>
    </xf>
    <xf numFmtId="1" fontId="14" fillId="11" borderId="18" xfId="0" applyNumberFormat="1" applyFont="1" applyFill="1" applyBorder="1" applyAlignment="1">
      <alignment horizontal="center" vertical="center" wrapText="1"/>
    </xf>
    <xf numFmtId="0" fontId="14" fillId="11" borderId="14" xfId="0" applyFont="1" applyFill="1" applyBorder="1" applyAlignment="1">
      <alignment horizontal="center" vertical="center" wrapText="1"/>
    </xf>
    <xf numFmtId="1" fontId="14" fillId="7" borderId="18" xfId="0" applyNumberFormat="1" applyFont="1" applyFill="1" applyBorder="1" applyAlignment="1" applyProtection="1">
      <alignment horizontal="center" vertical="center"/>
      <protection locked="0"/>
    </xf>
    <xf numFmtId="1" fontId="14" fillId="7" borderId="14" xfId="0" applyNumberFormat="1" applyFont="1" applyFill="1" applyBorder="1" applyAlignment="1" applyProtection="1">
      <alignment horizontal="center" vertical="center"/>
      <protection locked="0"/>
    </xf>
    <xf numFmtId="1" fontId="14" fillId="5" borderId="18" xfId="0" applyNumberFormat="1" applyFont="1" applyFill="1" applyBorder="1" applyAlignment="1" applyProtection="1">
      <alignment horizontal="center" vertical="center"/>
      <protection locked="0"/>
    </xf>
    <xf numFmtId="1" fontId="14" fillId="5" borderId="14" xfId="0" applyNumberFormat="1" applyFont="1" applyFill="1" applyBorder="1" applyAlignment="1" applyProtection="1">
      <alignment horizontal="center" vertical="center"/>
      <protection locked="0"/>
    </xf>
    <xf numFmtId="0" fontId="14" fillId="7" borderId="18" xfId="23" applyFont="1" applyFill="1" applyBorder="1" applyAlignment="1" applyProtection="1">
      <alignment horizontal="center" vertical="center" wrapText="1"/>
      <protection locked="0"/>
    </xf>
    <xf numFmtId="0" fontId="14" fillId="7" borderId="19" xfId="23" applyFont="1" applyFill="1" applyBorder="1" applyAlignment="1" applyProtection="1">
      <alignment horizontal="center" vertical="center" wrapText="1"/>
      <protection locked="0"/>
    </xf>
    <xf numFmtId="0" fontId="14" fillId="7" borderId="14" xfId="23" applyFont="1" applyFill="1" applyBorder="1" applyAlignment="1" applyProtection="1">
      <alignment horizontal="center" vertical="center" wrapText="1"/>
      <protection locked="0"/>
    </xf>
    <xf numFmtId="0" fontId="14" fillId="11" borderId="8" xfId="0" applyFont="1" applyFill="1" applyBorder="1" applyAlignment="1">
      <alignment horizontal="center" vertical="center"/>
    </xf>
    <xf numFmtId="0" fontId="14" fillId="0" borderId="0" xfId="0" applyFont="1" applyAlignment="1">
      <alignment horizontal="left" vertical="center" wrapText="1"/>
    </xf>
    <xf numFmtId="0" fontId="14" fillId="0" borderId="7" xfId="0" applyFont="1" applyBorder="1" applyAlignment="1">
      <alignment horizontal="left" vertical="center" wrapText="1"/>
    </xf>
    <xf numFmtId="0" fontId="14" fillId="0" borderId="2" xfId="0" applyFont="1" applyBorder="1" applyAlignment="1">
      <alignment horizontal="center" vertical="center"/>
    </xf>
    <xf numFmtId="0" fontId="14" fillId="0" borderId="41" xfId="0" applyFont="1" applyBorder="1" applyAlignment="1">
      <alignment horizontal="center" vertical="center"/>
    </xf>
    <xf numFmtId="0" fontId="14" fillId="7" borderId="10" xfId="0" applyFont="1" applyFill="1" applyBorder="1" applyAlignment="1" applyProtection="1">
      <alignment horizontal="center" wrapText="1"/>
      <protection locked="0" hidden="1"/>
    </xf>
    <xf numFmtId="0" fontId="14" fillId="7" borderId="9" xfId="0" applyFont="1" applyFill="1" applyBorder="1" applyAlignment="1" applyProtection="1">
      <alignment horizontal="center" wrapText="1"/>
      <protection locked="0" hidden="1"/>
    </xf>
    <xf numFmtId="0" fontId="14" fillId="7" borderId="11" xfId="0" applyFont="1" applyFill="1" applyBorder="1" applyAlignment="1" applyProtection="1">
      <alignment horizontal="center" wrapText="1"/>
      <protection locked="0" hidden="1"/>
    </xf>
    <xf numFmtId="0" fontId="14" fillId="7" borderId="3" xfId="0" applyFont="1" applyFill="1" applyBorder="1" applyAlignment="1" applyProtection="1">
      <alignment horizontal="center" wrapText="1"/>
      <protection locked="0" hidden="1"/>
    </xf>
    <xf numFmtId="0" fontId="14" fillId="7" borderId="4" xfId="0" applyFont="1" applyFill="1" applyBorder="1" applyAlignment="1" applyProtection="1">
      <alignment horizontal="center" wrapText="1"/>
      <protection locked="0" hidden="1"/>
    </xf>
    <xf numFmtId="0" fontId="14" fillId="7" borderId="5" xfId="0" applyFont="1" applyFill="1" applyBorder="1" applyAlignment="1" applyProtection="1">
      <alignment horizontal="center" wrapText="1"/>
      <protection locked="0" hidden="1"/>
    </xf>
    <xf numFmtId="0" fontId="14" fillId="7" borderId="8" xfId="0" applyFont="1" applyFill="1" applyBorder="1" applyAlignment="1" applyProtection="1">
      <alignment horizontal="left" vertical="top" wrapText="1"/>
      <protection locked="0"/>
    </xf>
    <xf numFmtId="0" fontId="14" fillId="11" borderId="8" xfId="23" applyFont="1" applyFill="1" applyBorder="1" applyAlignment="1">
      <alignment horizontal="center" vertical="center"/>
    </xf>
    <xf numFmtId="0" fontId="14" fillId="11" borderId="18" xfId="23" applyFont="1" applyFill="1" applyBorder="1" applyAlignment="1">
      <alignment horizontal="center" vertical="center"/>
    </xf>
    <xf numFmtId="0" fontId="14" fillId="11" borderId="14" xfId="23" applyFont="1" applyFill="1" applyBorder="1" applyAlignment="1">
      <alignment horizontal="center" vertical="center"/>
    </xf>
    <xf numFmtId="0" fontId="14" fillId="11" borderId="19" xfId="0" applyFont="1" applyFill="1" applyBorder="1" applyAlignment="1">
      <alignment horizontal="center" vertical="center"/>
    </xf>
    <xf numFmtId="0" fontId="14" fillId="11" borderId="18" xfId="0" applyFont="1" applyFill="1" applyBorder="1" applyAlignment="1">
      <alignment horizontal="left" vertical="center" wrapText="1" indent="1"/>
    </xf>
    <xf numFmtId="0" fontId="14" fillId="11" borderId="19" xfId="0" applyFont="1" applyFill="1" applyBorder="1" applyAlignment="1">
      <alignment horizontal="left" vertical="center" wrapText="1" indent="1"/>
    </xf>
    <xf numFmtId="0" fontId="14" fillId="11" borderId="14" xfId="0" applyFont="1" applyFill="1" applyBorder="1" applyAlignment="1">
      <alignment horizontal="left" vertical="center" wrapText="1" indent="1"/>
    </xf>
    <xf numFmtId="0" fontId="14" fillId="7" borderId="18" xfId="0" applyFont="1" applyFill="1" applyBorder="1" applyAlignment="1" applyProtection="1">
      <alignment horizontal="center" vertical="center" wrapText="1"/>
      <protection locked="0"/>
    </xf>
    <xf numFmtId="0" fontId="14" fillId="7" borderId="19" xfId="0" applyFont="1" applyFill="1" applyBorder="1" applyAlignment="1" applyProtection="1">
      <alignment horizontal="center" vertical="center" wrapText="1"/>
      <protection locked="0"/>
    </xf>
    <xf numFmtId="0" fontId="14" fillId="7" borderId="14" xfId="0" applyFont="1" applyFill="1" applyBorder="1" applyAlignment="1" applyProtection="1">
      <alignment horizontal="center" vertical="center" wrapText="1"/>
      <protection locked="0"/>
    </xf>
    <xf numFmtId="2" fontId="14" fillId="11" borderId="19" xfId="0" applyNumberFormat="1" applyFont="1" applyFill="1" applyBorder="1" applyAlignment="1">
      <alignment horizontal="center" vertical="center"/>
    </xf>
    <xf numFmtId="0" fontId="14" fillId="7" borderId="8" xfId="23" applyFont="1" applyFill="1" applyBorder="1" applyAlignment="1" applyProtection="1">
      <alignment horizontal="center" vertical="center" wrapText="1"/>
      <protection locked="0"/>
    </xf>
    <xf numFmtId="0" fontId="170" fillId="0" borderId="0" xfId="0" applyFont="1" applyAlignment="1">
      <alignment horizontal="center" vertical="center"/>
    </xf>
    <xf numFmtId="0" fontId="170" fillId="0" borderId="4" xfId="0" applyFont="1" applyBorder="1" applyAlignment="1">
      <alignment horizontal="center" vertical="center"/>
    </xf>
    <xf numFmtId="0" fontId="126" fillId="0" borderId="2" xfId="0" applyFont="1" applyBorder="1" applyAlignment="1">
      <alignment horizontal="center" vertical="center"/>
    </xf>
    <xf numFmtId="0" fontId="14" fillId="7" borderId="8" xfId="0" applyFont="1" applyFill="1" applyBorder="1" applyAlignment="1" applyProtection="1">
      <alignment horizontal="center" vertical="center" wrapText="1"/>
      <protection locked="0"/>
    </xf>
    <xf numFmtId="167" fontId="14" fillId="11" borderId="8" xfId="0" applyNumberFormat="1" applyFont="1" applyFill="1" applyBorder="1" applyAlignment="1">
      <alignment horizontal="center" vertical="center"/>
    </xf>
    <xf numFmtId="173" fontId="14" fillId="5" borderId="18" xfId="0" applyNumberFormat="1" applyFont="1" applyFill="1" applyBorder="1" applyAlignment="1" applyProtection="1">
      <alignment horizontal="center" vertical="center"/>
      <protection locked="0"/>
    </xf>
    <xf numFmtId="173" fontId="14" fillId="5" borderId="19" xfId="0" applyNumberFormat="1" applyFont="1" applyFill="1" applyBorder="1" applyAlignment="1" applyProtection="1">
      <alignment horizontal="center" vertical="center"/>
      <protection locked="0"/>
    </xf>
    <xf numFmtId="173" fontId="14" fillId="5" borderId="14" xfId="0" applyNumberFormat="1" applyFont="1" applyFill="1" applyBorder="1" applyAlignment="1" applyProtection="1">
      <alignment horizontal="center" vertical="center"/>
      <protection locked="0"/>
    </xf>
    <xf numFmtId="0" fontId="114" fillId="0" borderId="22" xfId="0" applyFont="1" applyBorder="1" applyAlignment="1">
      <alignment horizontal="center" vertical="center"/>
    </xf>
    <xf numFmtId="0" fontId="114" fillId="0" borderId="0" xfId="0" applyFont="1" applyAlignment="1">
      <alignment horizontal="center" vertical="center"/>
    </xf>
    <xf numFmtId="0" fontId="114" fillId="0" borderId="64" xfId="0" applyFont="1" applyBorder="1" applyAlignment="1">
      <alignment horizontal="center" vertical="center"/>
    </xf>
    <xf numFmtId="0" fontId="114" fillId="0" borderId="63" xfId="0" applyFont="1" applyBorder="1" applyAlignment="1">
      <alignment horizontal="center" vertical="center"/>
    </xf>
    <xf numFmtId="0" fontId="114" fillId="0" borderId="1" xfId="0" applyFont="1" applyBorder="1" applyAlignment="1">
      <alignment horizontal="center" vertical="center"/>
    </xf>
    <xf numFmtId="49" fontId="126" fillId="0" borderId="63" xfId="0" applyNumberFormat="1" applyFont="1" applyBorder="1" applyAlignment="1">
      <alignment horizontal="center" vertical="center"/>
    </xf>
    <xf numFmtId="49" fontId="126" fillId="0" borderId="0" xfId="0" applyNumberFormat="1" applyFont="1" applyAlignment="1">
      <alignment horizontal="center" vertical="center"/>
    </xf>
    <xf numFmtId="49" fontId="126" fillId="0" borderId="64" xfId="0" applyNumberFormat="1" applyFont="1" applyBorder="1" applyAlignment="1">
      <alignment horizontal="center" vertical="center"/>
    </xf>
    <xf numFmtId="0" fontId="22" fillId="11" borderId="18" xfId="0" applyFont="1" applyFill="1" applyBorder="1" applyAlignment="1">
      <alignment horizontal="center" vertical="center"/>
    </xf>
    <xf numFmtId="0" fontId="22" fillId="11" borderId="19" xfId="0" applyFont="1" applyFill="1" applyBorder="1" applyAlignment="1">
      <alignment horizontal="center" vertical="center"/>
    </xf>
    <xf numFmtId="0" fontId="22" fillId="11" borderId="14" xfId="0" applyFont="1" applyFill="1" applyBorder="1" applyAlignment="1">
      <alignment horizontal="center" vertical="center"/>
    </xf>
    <xf numFmtId="165" fontId="14" fillId="11" borderId="18" xfId="43" applyNumberFormat="1" applyFont="1" applyFill="1" applyBorder="1" applyAlignment="1">
      <alignment horizontal="center" vertical="center"/>
    </xf>
    <xf numFmtId="165" fontId="14" fillId="11" borderId="14" xfId="43" applyNumberFormat="1" applyFont="1" applyFill="1" applyBorder="1" applyAlignment="1">
      <alignment horizontal="center" vertical="center"/>
    </xf>
    <xf numFmtId="0" fontId="97" fillId="0" borderId="0" xfId="0" applyFont="1" applyAlignment="1">
      <alignment horizontal="center"/>
    </xf>
    <xf numFmtId="1" fontId="14" fillId="11" borderId="19" xfId="0" applyNumberFormat="1" applyFont="1" applyFill="1" applyBorder="1" applyAlignment="1">
      <alignment horizontal="center" vertical="center"/>
    </xf>
    <xf numFmtId="0" fontId="14" fillId="0" borderId="0" xfId="0" applyFont="1" applyAlignment="1">
      <alignment horizontal="center" vertical="center" wrapText="1"/>
    </xf>
    <xf numFmtId="0" fontId="16" fillId="0" borderId="0" xfId="0" applyFont="1" applyAlignment="1">
      <alignment horizontal="left" vertical="center"/>
    </xf>
    <xf numFmtId="0" fontId="16" fillId="0" borderId="9" xfId="0" applyFont="1" applyBorder="1" applyAlignment="1">
      <alignment horizontal="left" vertical="center"/>
    </xf>
    <xf numFmtId="0" fontId="14" fillId="0" borderId="0" xfId="0" applyFont="1" applyAlignment="1">
      <alignment horizontal="center" vertical="top"/>
    </xf>
    <xf numFmtId="0" fontId="14" fillId="11" borderId="8" xfId="0" quotePrefix="1" applyFont="1" applyFill="1" applyBorder="1" applyAlignment="1">
      <alignment horizontal="center" vertical="center"/>
    </xf>
    <xf numFmtId="0" fontId="16" fillId="11" borderId="19" xfId="0" applyFont="1" applyFill="1" applyBorder="1" applyAlignment="1">
      <alignment horizontal="left" vertical="center"/>
    </xf>
    <xf numFmtId="0" fontId="14" fillId="0" borderId="0" xfId="23" applyFont="1" applyAlignment="1">
      <alignment horizontal="center" vertical="center" wrapText="1"/>
    </xf>
    <xf numFmtId="1" fontId="14" fillId="9" borderId="18" xfId="23" applyNumberFormat="1" applyFont="1" applyFill="1" applyBorder="1" applyAlignment="1">
      <alignment horizontal="center" vertical="center"/>
    </xf>
    <xf numFmtId="1" fontId="14" fillId="9" borderId="14" xfId="23" applyNumberFormat="1" applyFont="1" applyFill="1" applyBorder="1" applyAlignment="1">
      <alignment horizontal="center" vertical="center"/>
    </xf>
    <xf numFmtId="165" fontId="14" fillId="11" borderId="8" xfId="23" applyNumberFormat="1" applyFont="1" applyFill="1" applyBorder="1" applyAlignment="1">
      <alignment horizontal="center" vertical="center"/>
    </xf>
    <xf numFmtId="165" fontId="14" fillId="2" borderId="18" xfId="23" applyNumberFormat="1" applyFont="1" applyFill="1" applyBorder="1" applyAlignment="1">
      <alignment horizontal="center" vertical="center"/>
    </xf>
    <xf numFmtId="165" fontId="14" fillId="2" borderId="14" xfId="23" applyNumberFormat="1" applyFont="1" applyFill="1" applyBorder="1" applyAlignment="1">
      <alignment horizontal="center" vertical="center"/>
    </xf>
    <xf numFmtId="0" fontId="14" fillId="0" borderId="11" xfId="23" applyFont="1" applyBorder="1" applyAlignment="1">
      <alignment horizontal="center" vertical="center"/>
    </xf>
    <xf numFmtId="0" fontId="14" fillId="0" borderId="5" xfId="23" applyFont="1" applyBorder="1" applyAlignment="1">
      <alignment horizontal="center" vertical="center"/>
    </xf>
    <xf numFmtId="0" fontId="14" fillId="0" borderId="6" xfId="23" applyFont="1" applyBorder="1" applyAlignment="1">
      <alignment horizontal="left" vertical="center"/>
    </xf>
    <xf numFmtId="0" fontId="14" fillId="0" borderId="7" xfId="23" applyFont="1" applyBorder="1" applyAlignment="1">
      <alignment horizontal="left" vertical="center"/>
    </xf>
    <xf numFmtId="165" fontId="14" fillId="7" borderId="18" xfId="23" applyNumberFormat="1" applyFont="1" applyFill="1" applyBorder="1" applyAlignment="1" applyProtection="1">
      <alignment horizontal="center" vertical="center"/>
      <protection locked="0"/>
    </xf>
    <xf numFmtId="165" fontId="14" fillId="7" borderId="14" xfId="23" applyNumberFormat="1" applyFont="1" applyFill="1" applyBorder="1" applyAlignment="1" applyProtection="1">
      <alignment horizontal="center" vertical="center"/>
      <protection locked="0"/>
    </xf>
    <xf numFmtId="0" fontId="14" fillId="0" borderId="0" xfId="23" applyFont="1" applyAlignment="1">
      <alignment horizontal="left" vertical="center"/>
    </xf>
    <xf numFmtId="0" fontId="14" fillId="0" borderId="18" xfId="23" applyFont="1" applyBorder="1" applyAlignment="1">
      <alignment horizontal="center" vertical="center"/>
    </xf>
    <xf numFmtId="0" fontId="14" fillId="0" borderId="19" xfId="23" applyFont="1" applyBorder="1" applyAlignment="1">
      <alignment horizontal="center" vertical="center"/>
    </xf>
    <xf numFmtId="0" fontId="14" fillId="0" borderId="14" xfId="23" applyFont="1" applyBorder="1" applyAlignment="1">
      <alignment horizontal="center" vertical="center"/>
    </xf>
    <xf numFmtId="0" fontId="14" fillId="0" borderId="10" xfId="23" applyFont="1" applyBorder="1" applyAlignment="1">
      <alignment horizontal="center" vertical="center"/>
    </xf>
    <xf numFmtId="0" fontId="14" fillId="0" borderId="9" xfId="23" applyFont="1" applyBorder="1" applyAlignment="1">
      <alignment horizontal="center" vertical="center"/>
    </xf>
    <xf numFmtId="0" fontId="14" fillId="0" borderId="10" xfId="23" applyFont="1" applyBorder="1" applyAlignment="1">
      <alignment horizontal="center"/>
    </xf>
    <xf numFmtId="0" fontId="14" fillId="0" borderId="9" xfId="23" applyFont="1" applyBorder="1" applyAlignment="1">
      <alignment horizontal="center"/>
    </xf>
    <xf numFmtId="0" fontId="14" fillId="0" borderId="11" xfId="23" applyFont="1" applyBorder="1" applyAlignment="1">
      <alignment horizontal="center"/>
    </xf>
    <xf numFmtId="0" fontId="14" fillId="0" borderId="3" xfId="23" applyFont="1" applyBorder="1" applyAlignment="1">
      <alignment horizontal="center" vertical="top"/>
    </xf>
    <xf numFmtId="0" fontId="14" fillId="0" borderId="4" xfId="23" applyFont="1" applyBorder="1" applyAlignment="1">
      <alignment horizontal="center" vertical="top"/>
    </xf>
    <xf numFmtId="0" fontId="14" fillId="0" borderId="5" xfId="23" applyFont="1" applyBorder="1" applyAlignment="1">
      <alignment horizontal="center" vertical="top"/>
    </xf>
    <xf numFmtId="167" fontId="14" fillId="2" borderId="18" xfId="23" applyNumberFormat="1" applyFont="1" applyFill="1" applyBorder="1" applyAlignment="1">
      <alignment horizontal="center" vertical="center" wrapText="1"/>
    </xf>
    <xf numFmtId="167" fontId="14" fillId="2" borderId="14" xfId="23" applyNumberFormat="1" applyFont="1" applyFill="1" applyBorder="1" applyAlignment="1">
      <alignment horizontal="center" vertical="center" wrapText="1"/>
    </xf>
    <xf numFmtId="0" fontId="14" fillId="0" borderId="8" xfId="23" applyFont="1" applyBorder="1" applyAlignment="1">
      <alignment horizontal="center" vertical="center"/>
    </xf>
    <xf numFmtId="165" fontId="14" fillId="9" borderId="18" xfId="23" applyNumberFormat="1" applyFont="1" applyFill="1" applyBorder="1" applyAlignment="1">
      <alignment horizontal="center" vertical="center"/>
    </xf>
    <xf numFmtId="165" fontId="14" fillId="9" borderId="14" xfId="23" applyNumberFormat="1" applyFont="1" applyFill="1" applyBorder="1" applyAlignment="1">
      <alignment horizontal="center" vertical="center"/>
    </xf>
    <xf numFmtId="165" fontId="12" fillId="2" borderId="14" xfId="23" applyNumberFormat="1" applyFill="1" applyBorder="1" applyAlignment="1">
      <alignment vertical="center"/>
    </xf>
    <xf numFmtId="0" fontId="14" fillId="11" borderId="19" xfId="23" applyFont="1" applyFill="1" applyBorder="1" applyAlignment="1">
      <alignment horizontal="center" vertical="center"/>
    </xf>
    <xf numFmtId="0" fontId="14" fillId="0" borderId="0" xfId="23" applyFont="1" applyAlignment="1">
      <alignment horizontal="right" vertical="center"/>
    </xf>
    <xf numFmtId="0" fontId="15" fillId="0" borderId="0" xfId="23" applyFont="1" applyAlignment="1">
      <alignment horizontal="center" vertical="center" wrapText="1"/>
    </xf>
    <xf numFmtId="165" fontId="14" fillId="3" borderId="0" xfId="23" applyNumberFormat="1" applyFont="1" applyFill="1" applyAlignment="1">
      <alignment horizontal="center" vertical="center"/>
    </xf>
    <xf numFmtId="49" fontId="34" fillId="0" borderId="0" xfId="23" applyNumberFormat="1" applyFont="1" applyAlignment="1">
      <alignment horizontal="center" vertical="center" wrapText="1"/>
    </xf>
    <xf numFmtId="0" fontId="14" fillId="2" borderId="8" xfId="23" applyFont="1" applyFill="1" applyBorder="1" applyAlignment="1">
      <alignment horizontal="center" vertical="center" wrapText="1"/>
    </xf>
    <xf numFmtId="167" fontId="14" fillId="2" borderId="8" xfId="23" applyNumberFormat="1" applyFont="1" applyFill="1" applyBorder="1" applyAlignment="1">
      <alignment horizontal="center" vertical="center"/>
    </xf>
    <xf numFmtId="0" fontId="14" fillId="2" borderId="28" xfId="23" applyFont="1" applyFill="1" applyBorder="1" applyAlignment="1">
      <alignment horizontal="right" vertical="center"/>
    </xf>
    <xf numFmtId="0" fontId="12" fillId="2" borderId="14" xfId="23" applyFill="1" applyBorder="1" applyAlignment="1">
      <alignment horizontal="center" vertical="center"/>
    </xf>
    <xf numFmtId="0" fontId="14" fillId="5" borderId="8" xfId="23" applyFont="1" applyFill="1" applyBorder="1" applyAlignment="1" applyProtection="1">
      <alignment horizontal="center" vertical="center"/>
      <protection locked="0"/>
    </xf>
    <xf numFmtId="0" fontId="14" fillId="2" borderId="28" xfId="23" applyFont="1" applyFill="1" applyBorder="1" applyAlignment="1">
      <alignment horizontal="left" vertical="center"/>
    </xf>
    <xf numFmtId="0" fontId="14" fillId="2" borderId="29" xfId="23" applyFont="1" applyFill="1" applyBorder="1" applyAlignment="1">
      <alignment horizontal="right" vertical="center"/>
    </xf>
    <xf numFmtId="165" fontId="37" fillId="5" borderId="18" xfId="23" applyNumberFormat="1" applyFont="1" applyFill="1" applyBorder="1" applyAlignment="1" applyProtection="1">
      <alignment horizontal="center" vertical="center"/>
      <protection locked="0"/>
    </xf>
    <xf numFmtId="165" fontId="37" fillId="5" borderId="14" xfId="23" applyNumberFormat="1" applyFont="1" applyFill="1" applyBorder="1" applyAlignment="1" applyProtection="1">
      <alignment horizontal="center" vertical="center"/>
      <protection locked="0"/>
    </xf>
    <xf numFmtId="0" fontId="14" fillId="9" borderId="18" xfId="23" applyFont="1" applyFill="1" applyBorder="1" applyAlignment="1">
      <alignment horizontal="center" vertical="center"/>
    </xf>
    <xf numFmtId="9" fontId="14" fillId="0" borderId="8" xfId="23" quotePrefix="1" applyNumberFormat="1" applyFont="1" applyBorder="1" applyAlignment="1">
      <alignment horizontal="center" vertical="center"/>
    </xf>
    <xf numFmtId="9" fontId="14" fillId="0" borderId="8" xfId="23" applyNumberFormat="1" applyFont="1" applyBorder="1" applyAlignment="1">
      <alignment horizontal="center" vertical="center"/>
    </xf>
    <xf numFmtId="1" fontId="37" fillId="11" borderId="18" xfId="23" applyNumberFormat="1" applyFont="1" applyFill="1" applyBorder="1" applyAlignment="1" applyProtection="1">
      <alignment horizontal="center" vertical="center"/>
      <protection locked="0"/>
    </xf>
    <xf numFmtId="1" fontId="37" fillId="11" borderId="14" xfId="23" applyNumberFormat="1" applyFont="1" applyFill="1" applyBorder="1" applyAlignment="1" applyProtection="1">
      <alignment horizontal="center" vertical="center"/>
      <protection locked="0"/>
    </xf>
    <xf numFmtId="168" fontId="14" fillId="0" borderId="0" xfId="23" applyNumberFormat="1" applyFont="1" applyAlignment="1">
      <alignment horizontal="center" vertical="center"/>
    </xf>
    <xf numFmtId="0" fontId="14" fillId="9" borderId="14" xfId="23" applyFont="1" applyFill="1" applyBorder="1" applyAlignment="1">
      <alignment horizontal="center" vertical="center"/>
    </xf>
    <xf numFmtId="0" fontId="14" fillId="0" borderId="18" xfId="23" applyFont="1" applyBorder="1" applyAlignment="1">
      <alignment horizontal="center" vertical="top"/>
    </xf>
    <xf numFmtId="0" fontId="14" fillId="0" borderId="19" xfId="23" applyFont="1" applyBorder="1" applyAlignment="1">
      <alignment horizontal="center" vertical="top"/>
    </xf>
    <xf numFmtId="0" fontId="14" fillId="0" borderId="3" xfId="23" applyFont="1" applyBorder="1" applyAlignment="1">
      <alignment horizontal="center" vertical="center"/>
    </xf>
    <xf numFmtId="0" fontId="14" fillId="0" borderId="4" xfId="23" applyFont="1" applyBorder="1" applyAlignment="1">
      <alignment horizontal="center" vertical="center"/>
    </xf>
    <xf numFmtId="185" fontId="14" fillId="2" borderId="18" xfId="23" applyNumberFormat="1" applyFont="1" applyFill="1" applyBorder="1" applyAlignment="1">
      <alignment horizontal="center" vertical="center"/>
    </xf>
    <xf numFmtId="185" fontId="14" fillId="2" borderId="14" xfId="23" applyNumberFormat="1" applyFont="1" applyFill="1" applyBorder="1" applyAlignment="1">
      <alignment horizontal="center" vertical="center"/>
    </xf>
    <xf numFmtId="0" fontId="14" fillId="0" borderId="18" xfId="23" applyFont="1" applyBorder="1" applyAlignment="1">
      <alignment horizontal="center"/>
    </xf>
    <xf numFmtId="0" fontId="14" fillId="0" borderId="19" xfId="23" applyFont="1" applyBorder="1" applyAlignment="1">
      <alignment horizontal="center"/>
    </xf>
    <xf numFmtId="0" fontId="14" fillId="0" borderId="0" xfId="0" applyFont="1" applyAlignment="1">
      <alignment horizontal="right"/>
    </xf>
    <xf numFmtId="2" fontId="14" fillId="11" borderId="18" xfId="23" applyNumberFormat="1" applyFont="1" applyFill="1" applyBorder="1" applyAlignment="1">
      <alignment horizontal="center" vertical="center"/>
    </xf>
    <xf numFmtId="2" fontId="14" fillId="11" borderId="14" xfId="23" applyNumberFormat="1" applyFont="1" applyFill="1" applyBorder="1" applyAlignment="1">
      <alignment horizontal="center" vertical="center"/>
    </xf>
    <xf numFmtId="186" fontId="14" fillId="2" borderId="18" xfId="23" applyNumberFormat="1" applyFont="1" applyFill="1" applyBorder="1" applyAlignment="1">
      <alignment horizontal="center" vertical="center"/>
    </xf>
    <xf numFmtId="186" fontId="14" fillId="2" borderId="14" xfId="23" applyNumberFormat="1" applyFont="1" applyFill="1" applyBorder="1" applyAlignment="1">
      <alignment horizontal="center" vertical="center"/>
    </xf>
    <xf numFmtId="1" fontId="14" fillId="11" borderId="18" xfId="23" applyNumberFormat="1" applyFont="1" applyFill="1" applyBorder="1" applyAlignment="1">
      <alignment horizontal="center" vertical="center"/>
    </xf>
    <xf numFmtId="1" fontId="14" fillId="11" borderId="14" xfId="23" applyNumberFormat="1" applyFont="1" applyFill="1" applyBorder="1" applyAlignment="1">
      <alignment horizontal="center" vertical="center"/>
    </xf>
    <xf numFmtId="0" fontId="14" fillId="0" borderId="0" xfId="23" applyFont="1" applyAlignment="1">
      <alignment horizontal="center" vertical="top" wrapText="1"/>
    </xf>
    <xf numFmtId="165" fontId="14" fillId="11" borderId="18" xfId="23" applyNumberFormat="1" applyFont="1" applyFill="1" applyBorder="1" applyAlignment="1">
      <alignment horizontal="center" vertical="center"/>
    </xf>
    <xf numFmtId="165" fontId="14" fillId="11" borderId="14" xfId="23" applyNumberFormat="1" applyFont="1" applyFill="1" applyBorder="1" applyAlignment="1">
      <alignment horizontal="center" vertical="center"/>
    </xf>
    <xf numFmtId="165" fontId="12" fillId="2" borderId="14" xfId="23" applyNumberFormat="1" applyFill="1" applyBorder="1" applyAlignment="1">
      <alignment horizontal="center" vertical="center"/>
    </xf>
    <xf numFmtId="0" fontId="14" fillId="9" borderId="8" xfId="23" applyFont="1" applyFill="1" applyBorder="1" applyAlignment="1">
      <alignment horizontal="center" vertical="center"/>
    </xf>
    <xf numFmtId="182" fontId="14" fillId="2" borderId="18" xfId="23" applyNumberFormat="1" applyFont="1" applyFill="1" applyBorder="1" applyAlignment="1">
      <alignment horizontal="center" vertical="center"/>
    </xf>
    <xf numFmtId="182" fontId="14" fillId="2" borderId="14" xfId="23" applyNumberFormat="1" applyFont="1" applyFill="1" applyBorder="1" applyAlignment="1">
      <alignment horizontal="center" vertical="center"/>
    </xf>
    <xf numFmtId="49" fontId="14" fillId="7" borderId="10" xfId="23" applyNumberFormat="1" applyFont="1" applyFill="1" applyBorder="1" applyAlignment="1" applyProtection="1">
      <alignment horizontal="left" vertical="top" wrapText="1"/>
      <protection locked="0"/>
    </xf>
    <xf numFmtId="49" fontId="14" fillId="7" borderId="9" xfId="23" applyNumberFormat="1" applyFont="1" applyFill="1" applyBorder="1" applyAlignment="1" applyProtection="1">
      <alignment horizontal="left" vertical="top" wrapText="1"/>
      <protection locked="0"/>
    </xf>
    <xf numFmtId="49" fontId="14" fillId="7" borderId="11" xfId="23" applyNumberFormat="1" applyFont="1" applyFill="1" applyBorder="1" applyAlignment="1" applyProtection="1">
      <alignment horizontal="left" vertical="top" wrapText="1"/>
      <protection locked="0"/>
    </xf>
    <xf numFmtId="49" fontId="14" fillId="7" borderId="3" xfId="23" applyNumberFormat="1" applyFont="1" applyFill="1" applyBorder="1" applyAlignment="1" applyProtection="1">
      <alignment horizontal="left" vertical="top" wrapText="1"/>
      <protection locked="0"/>
    </xf>
    <xf numFmtId="49" fontId="14" fillId="7" borderId="4" xfId="23" applyNumberFormat="1" applyFont="1" applyFill="1" applyBorder="1" applyAlignment="1" applyProtection="1">
      <alignment horizontal="left" vertical="top" wrapText="1"/>
      <protection locked="0"/>
    </xf>
    <xf numFmtId="49" fontId="14" fillId="7" borderId="5" xfId="23" applyNumberFormat="1" applyFont="1" applyFill="1" applyBorder="1" applyAlignment="1" applyProtection="1">
      <alignment horizontal="left" vertical="top" wrapText="1"/>
      <protection locked="0"/>
    </xf>
    <xf numFmtId="0" fontId="12" fillId="0" borderId="7" xfId="23" applyBorder="1" applyAlignment="1">
      <alignment horizontal="left" vertical="center"/>
    </xf>
    <xf numFmtId="0" fontId="14" fillId="5" borderId="18" xfId="23" applyFont="1" applyFill="1" applyBorder="1" applyAlignment="1" applyProtection="1">
      <alignment horizontal="center" vertical="center"/>
      <protection locked="0"/>
    </xf>
    <xf numFmtId="0" fontId="14" fillId="5" borderId="14" xfId="23" applyFont="1" applyFill="1" applyBorder="1" applyAlignment="1" applyProtection="1">
      <alignment horizontal="center" vertical="center"/>
      <protection locked="0"/>
    </xf>
    <xf numFmtId="167" fontId="14" fillId="7" borderId="18" xfId="23" applyNumberFormat="1" applyFont="1" applyFill="1" applyBorder="1" applyAlignment="1" applyProtection="1">
      <alignment horizontal="center" vertical="center"/>
      <protection locked="0"/>
    </xf>
    <xf numFmtId="167" fontId="14" fillId="7" borderId="19" xfId="23" applyNumberFormat="1" applyFont="1" applyFill="1" applyBorder="1" applyAlignment="1" applyProtection="1">
      <alignment horizontal="center" vertical="center"/>
      <protection locked="0"/>
    </xf>
    <xf numFmtId="167" fontId="14" fillId="7" borderId="14" xfId="23" applyNumberFormat="1" applyFont="1" applyFill="1" applyBorder="1" applyAlignment="1" applyProtection="1">
      <alignment horizontal="center" vertical="center"/>
      <protection locked="0"/>
    </xf>
    <xf numFmtId="0" fontId="14" fillId="11" borderId="2" xfId="23" applyFont="1" applyFill="1" applyBorder="1" applyAlignment="1">
      <alignment horizontal="right" vertical="center"/>
    </xf>
    <xf numFmtId="0" fontId="14" fillId="11" borderId="2" xfId="23" applyFont="1" applyFill="1" applyBorder="1" applyAlignment="1">
      <alignment horizontal="center" vertical="center"/>
    </xf>
    <xf numFmtId="1" fontId="14" fillId="9" borderId="8" xfId="23" applyNumberFormat="1" applyFont="1" applyFill="1" applyBorder="1" applyAlignment="1">
      <alignment horizontal="center" vertical="center"/>
    </xf>
    <xf numFmtId="165" fontId="14" fillId="0" borderId="6" xfId="23" applyNumberFormat="1" applyFont="1" applyBorder="1" applyAlignment="1">
      <alignment horizontal="left" vertical="center"/>
    </xf>
    <xf numFmtId="165" fontId="14" fillId="0" borderId="0" xfId="23" applyNumberFormat="1" applyFont="1" applyAlignment="1">
      <alignment horizontal="left" vertical="center"/>
    </xf>
    <xf numFmtId="165" fontId="14" fillId="5" borderId="18" xfId="23" applyNumberFormat="1" applyFont="1" applyFill="1" applyBorder="1" applyAlignment="1" applyProtection="1">
      <alignment horizontal="center" vertical="center"/>
      <protection locked="0"/>
    </xf>
    <xf numFmtId="165" fontId="14" fillId="5" borderId="14" xfId="23" applyNumberFormat="1" applyFont="1" applyFill="1" applyBorder="1" applyAlignment="1" applyProtection="1">
      <alignment horizontal="center" vertical="center"/>
      <protection locked="0"/>
    </xf>
    <xf numFmtId="0" fontId="14" fillId="5" borderId="19" xfId="23" applyFont="1" applyFill="1" applyBorder="1" applyAlignment="1" applyProtection="1">
      <alignment horizontal="center" vertical="center"/>
      <protection locked="0"/>
    </xf>
    <xf numFmtId="0" fontId="12" fillId="0" borderId="0" xfId="23" applyAlignment="1">
      <alignment vertical="center"/>
    </xf>
    <xf numFmtId="0" fontId="14" fillId="2" borderId="10" xfId="23" applyFont="1" applyFill="1" applyBorder="1" applyAlignment="1">
      <alignment horizontal="center" vertical="center" wrapText="1"/>
    </xf>
    <xf numFmtId="0" fontId="14" fillId="2" borderId="11" xfId="23" applyFont="1" applyFill="1" applyBorder="1" applyAlignment="1">
      <alignment horizontal="center" vertical="center" wrapText="1"/>
    </xf>
    <xf numFmtId="0" fontId="14" fillId="2" borderId="3" xfId="23" applyFont="1" applyFill="1" applyBorder="1" applyAlignment="1">
      <alignment horizontal="center" vertical="center" wrapText="1"/>
    </xf>
    <xf numFmtId="0" fontId="14" fillId="2" borderId="5" xfId="23" applyFont="1" applyFill="1" applyBorder="1" applyAlignment="1">
      <alignment horizontal="center" vertical="center" wrapText="1"/>
    </xf>
    <xf numFmtId="0" fontId="22" fillId="0" borderId="6" xfId="23" applyFont="1" applyBorder="1" applyAlignment="1">
      <alignment horizontal="left" vertical="center"/>
    </xf>
    <xf numFmtId="167" fontId="14" fillId="2" borderId="18" xfId="23" applyNumberFormat="1" applyFont="1" applyFill="1" applyBorder="1" applyAlignment="1">
      <alignment horizontal="center" vertical="center"/>
    </xf>
    <xf numFmtId="167" fontId="14" fillId="2" borderId="14" xfId="23" applyNumberFormat="1" applyFont="1" applyFill="1" applyBorder="1" applyAlignment="1">
      <alignment horizontal="center" vertical="center"/>
    </xf>
    <xf numFmtId="169" fontId="14" fillId="2" borderId="18" xfId="23" applyNumberFormat="1" applyFont="1" applyFill="1" applyBorder="1" applyAlignment="1">
      <alignment horizontal="center" vertical="center"/>
    </xf>
    <xf numFmtId="169" fontId="14" fillId="2" borderId="14" xfId="23" applyNumberFormat="1" applyFont="1" applyFill="1" applyBorder="1" applyAlignment="1">
      <alignment horizontal="center" vertical="center"/>
    </xf>
    <xf numFmtId="0" fontId="14" fillId="0" borderId="85" xfId="23" applyFont="1" applyBorder="1" applyAlignment="1">
      <alignment horizontal="center" vertical="top" wrapText="1"/>
    </xf>
    <xf numFmtId="0" fontId="14" fillId="0" borderId="9" xfId="23" applyFont="1" applyBorder="1" applyAlignment="1">
      <alignment horizontal="center" vertical="top"/>
    </xf>
    <xf numFmtId="2" fontId="14" fillId="9" borderId="18" xfId="23" applyNumberFormat="1" applyFont="1" applyFill="1" applyBorder="1" applyAlignment="1">
      <alignment horizontal="center" vertical="center"/>
    </xf>
    <xf numFmtId="2" fontId="14" fillId="9" borderId="14" xfId="23" applyNumberFormat="1" applyFont="1" applyFill="1" applyBorder="1" applyAlignment="1">
      <alignment horizontal="center" vertical="center"/>
    </xf>
    <xf numFmtId="186" fontId="14" fillId="5" borderId="18" xfId="23" applyNumberFormat="1" applyFont="1" applyFill="1" applyBorder="1" applyAlignment="1" applyProtection="1">
      <alignment horizontal="center" vertical="center"/>
      <protection locked="0"/>
    </xf>
    <xf numFmtId="186" fontId="14" fillId="5" borderId="14" xfId="23" applyNumberFormat="1" applyFont="1" applyFill="1" applyBorder="1" applyAlignment="1" applyProtection="1">
      <alignment horizontal="center" vertical="center"/>
      <protection locked="0"/>
    </xf>
    <xf numFmtId="2" fontId="14" fillId="5" borderId="18" xfId="23" applyNumberFormat="1" applyFont="1" applyFill="1" applyBorder="1" applyAlignment="1" applyProtection="1">
      <alignment horizontal="center" vertical="center"/>
      <protection locked="0"/>
    </xf>
    <xf numFmtId="2" fontId="14" fillId="5" borderId="14" xfId="23" applyNumberFormat="1" applyFont="1" applyFill="1" applyBorder="1" applyAlignment="1" applyProtection="1">
      <alignment horizontal="center" vertical="center"/>
      <protection locked="0"/>
    </xf>
    <xf numFmtId="3" fontId="14" fillId="9" borderId="18" xfId="23" applyNumberFormat="1" applyFont="1" applyFill="1" applyBorder="1" applyAlignment="1">
      <alignment horizontal="center" vertical="center"/>
    </xf>
    <xf numFmtId="3" fontId="14" fillId="9" borderId="14" xfId="23" applyNumberFormat="1" applyFont="1" applyFill="1" applyBorder="1" applyAlignment="1">
      <alignment horizontal="center" vertical="center"/>
    </xf>
    <xf numFmtId="0" fontId="14" fillId="0" borderId="0" xfId="23" applyFont="1" applyAlignment="1">
      <alignment horizontal="left" vertical="top" wrapText="1"/>
    </xf>
    <xf numFmtId="2" fontId="14" fillId="5" borderId="8" xfId="23" applyNumberFormat="1" applyFont="1" applyFill="1" applyBorder="1" applyAlignment="1" applyProtection="1">
      <alignment horizontal="center" vertical="center"/>
      <protection locked="0"/>
    </xf>
    <xf numFmtId="0" fontId="14" fillId="0" borderId="1" xfId="23" applyFont="1" applyBorder="1" applyAlignment="1">
      <alignment horizontal="center" vertical="center" wrapText="1"/>
    </xf>
    <xf numFmtId="0" fontId="97" fillId="0" borderId="0" xfId="23" applyFont="1" applyAlignment="1">
      <alignment horizontal="center" vertical="center" wrapText="1"/>
    </xf>
    <xf numFmtId="0" fontId="97" fillId="0" borderId="1" xfId="23" applyFont="1" applyBorder="1" applyAlignment="1">
      <alignment horizontal="center" vertical="center" wrapText="1"/>
    </xf>
    <xf numFmtId="0" fontId="97" fillId="0" borderId="2" xfId="23" applyFont="1" applyBorder="1" applyAlignment="1">
      <alignment horizontal="center" vertical="center" wrapText="1"/>
    </xf>
    <xf numFmtId="0" fontId="97" fillId="0" borderId="23" xfId="23" applyFont="1" applyBorder="1" applyAlignment="1">
      <alignment horizontal="center" vertical="center" wrapText="1"/>
    </xf>
    <xf numFmtId="0" fontId="117" fillId="0" borderId="0" xfId="23" applyFont="1" applyAlignment="1">
      <alignment horizontal="center" vertical="center"/>
    </xf>
    <xf numFmtId="0" fontId="117" fillId="0" borderId="1" xfId="23" applyFont="1" applyBorder="1" applyAlignment="1">
      <alignment horizontal="center" vertical="center"/>
    </xf>
    <xf numFmtId="0" fontId="109" fillId="0" borderId="0" xfId="23" applyFont="1" applyAlignment="1">
      <alignment horizontal="center" vertical="center"/>
    </xf>
    <xf numFmtId="0" fontId="109" fillId="0" borderId="1" xfId="23" applyFont="1" applyBorder="1" applyAlignment="1">
      <alignment horizontal="center" vertical="center"/>
    </xf>
    <xf numFmtId="165" fontId="14" fillId="0" borderId="0" xfId="23" applyNumberFormat="1" applyFont="1" applyAlignment="1">
      <alignment horizontal="center" vertical="center"/>
    </xf>
    <xf numFmtId="1" fontId="12" fillId="2" borderId="14" xfId="23" applyNumberFormat="1" applyFill="1" applyBorder="1" applyAlignment="1">
      <alignment horizontal="center" vertical="center"/>
    </xf>
    <xf numFmtId="0" fontId="14" fillId="5" borderId="18" xfId="23" applyFont="1" applyFill="1" applyBorder="1" applyAlignment="1" applyProtection="1">
      <alignment horizontal="left" vertical="center"/>
      <protection locked="0"/>
    </xf>
    <xf numFmtId="0" fontId="14" fillId="5" borderId="19" xfId="23" applyFont="1" applyFill="1" applyBorder="1" applyAlignment="1" applyProtection="1">
      <alignment horizontal="left" vertical="center"/>
      <protection locked="0"/>
    </xf>
    <xf numFmtId="0" fontId="14" fillId="5" borderId="39" xfId="23" applyFont="1" applyFill="1" applyBorder="1" applyAlignment="1" applyProtection="1">
      <alignment horizontal="left" vertical="center"/>
      <protection locked="0"/>
    </xf>
    <xf numFmtId="49" fontId="14" fillId="7" borderId="8" xfId="23" applyNumberFormat="1" applyFont="1" applyFill="1" applyBorder="1" applyAlignment="1" applyProtection="1">
      <alignment horizontal="left" vertical="top" wrapText="1"/>
      <protection locked="0"/>
    </xf>
    <xf numFmtId="165" fontId="16" fillId="11" borderId="8" xfId="23" applyNumberFormat="1" applyFont="1" applyFill="1" applyBorder="1" applyAlignment="1">
      <alignment horizontal="center" vertical="center"/>
    </xf>
    <xf numFmtId="0" fontId="14" fillId="2" borderId="29" xfId="23" applyFont="1" applyFill="1" applyBorder="1" applyAlignment="1">
      <alignment horizontal="left" vertical="center"/>
    </xf>
    <xf numFmtId="0" fontId="14" fillId="0" borderId="0" xfId="23" applyFont="1" applyAlignment="1">
      <alignment horizontal="left" vertical="center" wrapText="1"/>
    </xf>
    <xf numFmtId="168" fontId="14" fillId="0" borderId="0" xfId="23" applyNumberFormat="1" applyFont="1" applyAlignment="1">
      <alignment horizontal="center"/>
    </xf>
    <xf numFmtId="167" fontId="14" fillId="0" borderId="0" xfId="23" applyNumberFormat="1" applyFont="1" applyAlignment="1">
      <alignment horizontal="right" vertical="center"/>
    </xf>
    <xf numFmtId="167" fontId="14" fillId="0" borderId="7" xfId="23" applyNumberFormat="1" applyFont="1" applyBorder="1" applyAlignment="1">
      <alignment horizontal="right" vertical="center"/>
    </xf>
    <xf numFmtId="0" fontId="14" fillId="9" borderId="0" xfId="23" applyFont="1" applyFill="1" applyAlignment="1">
      <alignment horizontal="center" vertical="center"/>
    </xf>
    <xf numFmtId="168" fontId="14" fillId="0" borderId="0" xfId="10" applyNumberFormat="1" applyFont="1" applyAlignment="1">
      <alignment horizontal="center" vertical="center"/>
    </xf>
    <xf numFmtId="168" fontId="14" fillId="0" borderId="7" xfId="10" applyNumberFormat="1" applyFont="1" applyBorder="1" applyAlignment="1">
      <alignment horizontal="center" vertical="center"/>
    </xf>
    <xf numFmtId="1" fontId="14" fillId="0" borderId="0" xfId="23" applyNumberFormat="1" applyFont="1" applyAlignment="1">
      <alignment horizontal="center" vertical="center"/>
    </xf>
    <xf numFmtId="168" fontId="14" fillId="11" borderId="0" xfId="10" applyNumberFormat="1" applyFont="1" applyFill="1" applyAlignment="1">
      <alignment horizontal="center" vertical="center"/>
    </xf>
    <xf numFmtId="0" fontId="12" fillId="0" borderId="0" xfId="23" applyAlignment="1">
      <alignment horizontal="left" vertical="center"/>
    </xf>
    <xf numFmtId="182" fontId="14" fillId="11" borderId="18" xfId="23" applyNumberFormat="1" applyFont="1" applyFill="1" applyBorder="1" applyAlignment="1">
      <alignment horizontal="center" vertical="center"/>
    </xf>
    <xf numFmtId="182" fontId="14" fillId="11" borderId="14" xfId="23" applyNumberFormat="1" applyFont="1" applyFill="1" applyBorder="1" applyAlignment="1">
      <alignment horizontal="center" vertical="center"/>
    </xf>
    <xf numFmtId="0" fontId="14" fillId="0" borderId="6" xfId="23" applyFont="1" applyBorder="1" applyAlignment="1">
      <alignment horizontal="left" vertical="center" wrapText="1"/>
    </xf>
    <xf numFmtId="0" fontId="12" fillId="0" borderId="0" xfId="23" applyAlignment="1">
      <alignment vertical="center" wrapText="1"/>
    </xf>
    <xf numFmtId="0" fontId="12" fillId="0" borderId="7" xfId="23" applyBorder="1" applyAlignment="1">
      <alignment vertical="center" wrapText="1"/>
    </xf>
    <xf numFmtId="0" fontId="14" fillId="0" borderId="7" xfId="23" applyFont="1" applyBorder="1" applyAlignment="1">
      <alignment horizontal="left" vertical="center" wrapText="1"/>
    </xf>
    <xf numFmtId="165" fontId="97" fillId="13" borderId="0" xfId="23" applyNumberFormat="1" applyFont="1" applyFill="1" applyAlignment="1">
      <alignment horizontal="center" vertical="center"/>
    </xf>
    <xf numFmtId="0" fontId="117" fillId="0" borderId="0" xfId="23" applyFont="1" applyAlignment="1">
      <alignment horizontal="left" vertical="center" wrapText="1"/>
    </xf>
    <xf numFmtId="0" fontId="97" fillId="0" borderId="20" xfId="23" applyFont="1" applyBorder="1" applyAlignment="1">
      <alignment horizontal="center" vertical="center"/>
    </xf>
    <xf numFmtId="1" fontId="14" fillId="5" borderId="18" xfId="23" applyNumberFormat="1" applyFont="1" applyFill="1" applyBorder="1" applyAlignment="1" applyProtection="1">
      <alignment horizontal="center" vertical="center"/>
      <protection locked="0"/>
    </xf>
    <xf numFmtId="1" fontId="14" fillId="5" borderId="14" xfId="23" applyNumberFormat="1" applyFont="1" applyFill="1" applyBorder="1" applyAlignment="1" applyProtection="1">
      <alignment horizontal="center" vertical="center"/>
      <protection locked="0"/>
    </xf>
    <xf numFmtId="165" fontId="14" fillId="7" borderId="8" xfId="23" applyNumberFormat="1" applyFont="1" applyFill="1" applyBorder="1" applyAlignment="1" applyProtection="1">
      <alignment horizontal="center" vertical="center"/>
      <protection locked="0"/>
    </xf>
    <xf numFmtId="165" fontId="14" fillId="5" borderId="8" xfId="23" applyNumberFormat="1" applyFont="1" applyFill="1" applyBorder="1" applyAlignment="1" applyProtection="1">
      <alignment horizontal="center" vertical="center"/>
      <protection locked="0"/>
    </xf>
    <xf numFmtId="0" fontId="16" fillId="11" borderId="18" xfId="23" applyFont="1" applyFill="1" applyBorder="1" applyAlignment="1">
      <alignment horizontal="center" vertical="center"/>
    </xf>
    <xf numFmtId="0" fontId="16" fillId="11" borderId="19" xfId="23" applyFont="1" applyFill="1" applyBorder="1" applyAlignment="1">
      <alignment horizontal="center" vertical="center"/>
    </xf>
    <xf numFmtId="0" fontId="16" fillId="11" borderId="14" xfId="23" applyFont="1" applyFill="1" applyBorder="1" applyAlignment="1">
      <alignment horizontal="center" vertical="center"/>
    </xf>
    <xf numFmtId="0" fontId="97" fillId="0" borderId="0" xfId="23" applyFont="1" applyAlignment="1">
      <alignment horizontal="right" vertical="center" wrapText="1"/>
    </xf>
    <xf numFmtId="1" fontId="14" fillId="7" borderId="18" xfId="23" applyNumberFormat="1" applyFont="1" applyFill="1" applyBorder="1" applyAlignment="1" applyProtection="1">
      <alignment horizontal="center" vertical="center"/>
      <protection locked="0"/>
    </xf>
    <xf numFmtId="1" fontId="14" fillId="7" borderId="14" xfId="23" applyNumberFormat="1" applyFont="1" applyFill="1" applyBorder="1" applyAlignment="1" applyProtection="1">
      <alignment horizontal="center" vertical="center"/>
      <protection locked="0"/>
    </xf>
    <xf numFmtId="2" fontId="14" fillId="2" borderId="18" xfId="23" applyNumberFormat="1" applyFont="1" applyFill="1" applyBorder="1" applyAlignment="1">
      <alignment horizontal="center" vertical="center"/>
    </xf>
    <xf numFmtId="2" fontId="12" fillId="2" borderId="14" xfId="23" applyNumberFormat="1" applyFill="1" applyBorder="1" applyAlignment="1">
      <alignment horizontal="center" vertical="center"/>
    </xf>
    <xf numFmtId="0" fontId="14" fillId="7" borderId="18" xfId="10" applyFont="1" applyFill="1" applyBorder="1" applyAlignment="1">
      <alignment horizontal="center" wrapText="1"/>
    </xf>
    <xf numFmtId="0" fontId="14" fillId="7" borderId="14" xfId="10" applyFont="1" applyFill="1" applyBorder="1" applyAlignment="1">
      <alignment horizontal="center" wrapText="1"/>
    </xf>
    <xf numFmtId="0" fontId="15" fillId="0" borderId="0" xfId="0" applyFont="1" applyAlignment="1">
      <alignment horizontal="left" vertical="center"/>
    </xf>
    <xf numFmtId="1" fontId="14" fillId="0" borderId="0" xfId="0" applyNumberFormat="1" applyFont="1" applyAlignment="1">
      <alignment horizontal="center" vertical="center"/>
    </xf>
    <xf numFmtId="1" fontId="14" fillId="2" borderId="18" xfId="0" applyNumberFormat="1" applyFont="1" applyFill="1" applyBorder="1" applyAlignment="1">
      <alignment horizontal="center" vertical="center"/>
    </xf>
    <xf numFmtId="1" fontId="14" fillId="2" borderId="14" xfId="0" applyNumberFormat="1" applyFont="1" applyFill="1" applyBorder="1" applyAlignment="1">
      <alignment horizontal="center" vertical="center"/>
    </xf>
    <xf numFmtId="0" fontId="14" fillId="0" borderId="0" xfId="0" applyFont="1" applyAlignment="1">
      <alignment horizontal="left" vertical="top" wrapText="1"/>
    </xf>
    <xf numFmtId="0" fontId="12" fillId="0" borderId="0" xfId="0" applyFont="1" applyAlignment="1">
      <alignment horizontal="left"/>
    </xf>
    <xf numFmtId="2" fontId="14" fillId="2" borderId="18" xfId="0" applyNumberFormat="1" applyFont="1" applyFill="1" applyBorder="1" applyAlignment="1">
      <alignment horizontal="center" vertical="center"/>
    </xf>
    <xf numFmtId="2" fontId="14" fillId="2" borderId="14" xfId="0" applyNumberFormat="1" applyFont="1" applyFill="1" applyBorder="1" applyAlignment="1">
      <alignment horizontal="center" vertical="center"/>
    </xf>
    <xf numFmtId="2" fontId="14" fillId="8" borderId="14" xfId="0" applyNumberFormat="1" applyFont="1" applyFill="1" applyBorder="1" applyAlignment="1">
      <alignment horizontal="center" vertical="center"/>
    </xf>
    <xf numFmtId="165" fontId="14" fillId="5" borderId="18" xfId="0" applyNumberFormat="1" applyFont="1" applyFill="1" applyBorder="1" applyAlignment="1" applyProtection="1">
      <alignment horizontal="center" vertical="center"/>
      <protection locked="0"/>
    </xf>
    <xf numFmtId="165" fontId="14" fillId="5" borderId="14" xfId="0" applyNumberFormat="1" applyFont="1" applyFill="1" applyBorder="1" applyAlignment="1" applyProtection="1">
      <alignment horizontal="center" vertical="center"/>
      <protection locked="0"/>
    </xf>
    <xf numFmtId="165" fontId="14" fillId="2" borderId="18" xfId="0" applyNumberFormat="1" applyFont="1" applyFill="1" applyBorder="1" applyAlignment="1">
      <alignment horizontal="center" vertical="center"/>
    </xf>
    <xf numFmtId="165" fontId="14" fillId="2" borderId="14" xfId="0" applyNumberFormat="1" applyFont="1" applyFill="1" applyBorder="1" applyAlignment="1">
      <alignment horizontal="center" vertical="center"/>
    </xf>
    <xf numFmtId="49" fontId="34" fillId="0" borderId="0" xfId="0" applyNumberFormat="1" applyFont="1" applyAlignment="1">
      <alignment horizontal="center" vertical="center" wrapText="1"/>
    </xf>
    <xf numFmtId="0" fontId="14" fillId="2" borderId="28" xfId="0" applyFont="1" applyFill="1" applyBorder="1" applyAlignment="1">
      <alignment horizontal="right"/>
    </xf>
    <xf numFmtId="0" fontId="14" fillId="2" borderId="28" xfId="0" applyFont="1" applyFill="1" applyBorder="1" applyAlignment="1">
      <alignment horizontal="left"/>
    </xf>
    <xf numFmtId="2" fontId="14" fillId="8" borderId="18" xfId="0" applyNumberFormat="1" applyFont="1" applyFill="1" applyBorder="1" applyAlignment="1">
      <alignment horizontal="center" vertical="center"/>
    </xf>
    <xf numFmtId="0" fontId="14" fillId="0" borderId="0" xfId="0" applyFont="1" applyAlignment="1">
      <alignment vertical="center"/>
    </xf>
    <xf numFmtId="1" fontId="14" fillId="2" borderId="8" xfId="0" applyNumberFormat="1" applyFont="1" applyFill="1" applyBorder="1" applyAlignment="1">
      <alignment horizontal="center" vertical="center"/>
    </xf>
    <xf numFmtId="165" fontId="14" fillId="2" borderId="80" xfId="0" applyNumberFormat="1" applyFont="1" applyFill="1" applyBorder="1" applyAlignment="1">
      <alignment horizontal="center" vertical="center"/>
    </xf>
    <xf numFmtId="165" fontId="14" fillId="2" borderId="81" xfId="0" applyNumberFormat="1" applyFont="1" applyFill="1" applyBorder="1" applyAlignment="1">
      <alignment horizontal="center" vertical="center"/>
    </xf>
    <xf numFmtId="1" fontId="14" fillId="7" borderId="8" xfId="23" applyNumberFormat="1" applyFont="1" applyFill="1" applyBorder="1" applyAlignment="1" applyProtection="1">
      <alignment horizontal="center" vertical="center"/>
      <protection locked="0"/>
    </xf>
    <xf numFmtId="0" fontId="21" fillId="0" borderId="0" xfId="10" applyFont="1" applyAlignment="1">
      <alignment horizontal="right" wrapText="1"/>
    </xf>
    <xf numFmtId="0" fontId="21" fillId="0" borderId="7" xfId="10" applyFont="1" applyBorder="1" applyAlignment="1">
      <alignment horizontal="right" wrapText="1"/>
    </xf>
    <xf numFmtId="2" fontId="14" fillId="0" borderId="0" xfId="0" applyNumberFormat="1" applyFont="1" applyAlignment="1">
      <alignment horizontal="center" vertical="center"/>
    </xf>
    <xf numFmtId="2" fontId="14" fillId="0" borderId="0" xfId="0" applyNumberFormat="1" applyFont="1" applyAlignment="1">
      <alignment horizontal="center"/>
    </xf>
    <xf numFmtId="1" fontId="14" fillId="0" borderId="0" xfId="0" applyNumberFormat="1" applyFont="1" applyAlignment="1">
      <alignment horizontal="center"/>
    </xf>
    <xf numFmtId="168" fontId="14" fillId="0" borderId="0" xfId="23" applyNumberFormat="1" applyFont="1" applyAlignment="1">
      <alignment horizontal="right" vertical="center"/>
    </xf>
    <xf numFmtId="168" fontId="14" fillId="0" borderId="7" xfId="23" applyNumberFormat="1" applyFont="1" applyBorder="1" applyAlignment="1">
      <alignment horizontal="right" vertical="center"/>
    </xf>
    <xf numFmtId="0" fontId="14" fillId="16" borderId="0" xfId="0" applyFont="1" applyFill="1" applyAlignment="1">
      <alignment horizontal="center"/>
    </xf>
    <xf numFmtId="168" fontId="14" fillId="0" borderId="0" xfId="23" applyNumberFormat="1" applyFont="1" applyAlignment="1">
      <alignment horizontal="center" vertical="center" wrapText="1"/>
    </xf>
    <xf numFmtId="165" fontId="16" fillId="2" borderId="18" xfId="0" applyNumberFormat="1" applyFont="1" applyFill="1" applyBorder="1" applyAlignment="1">
      <alignment horizontal="center" vertical="center"/>
    </xf>
    <xf numFmtId="165" fontId="16" fillId="2" borderId="14" xfId="0" applyNumberFormat="1" applyFont="1" applyFill="1" applyBorder="1" applyAlignment="1">
      <alignment horizontal="center" vertical="center"/>
    </xf>
    <xf numFmtId="165" fontId="14" fillId="7" borderId="18" xfId="0" applyNumberFormat="1" applyFont="1" applyFill="1" applyBorder="1" applyAlignment="1" applyProtection="1">
      <alignment horizontal="center" vertical="center"/>
      <protection locked="0"/>
    </xf>
    <xf numFmtId="165" fontId="14" fillId="7" borderId="14" xfId="0" applyNumberFormat="1" applyFont="1" applyFill="1" applyBorder="1" applyAlignment="1" applyProtection="1">
      <alignment horizontal="center" vertical="center"/>
      <protection locked="0"/>
    </xf>
    <xf numFmtId="2" fontId="14" fillId="9" borderId="18" xfId="0" applyNumberFormat="1" applyFont="1" applyFill="1" applyBorder="1" applyAlignment="1">
      <alignment horizontal="center"/>
    </xf>
    <xf numFmtId="2" fontId="14" fillId="9" borderId="14" xfId="0" applyNumberFormat="1" applyFont="1" applyFill="1" applyBorder="1" applyAlignment="1">
      <alignment horizontal="center"/>
    </xf>
    <xf numFmtId="0" fontId="14" fillId="0" borderId="0" xfId="0" applyFont="1" applyAlignment="1">
      <alignment horizontal="center" wrapText="1"/>
    </xf>
    <xf numFmtId="0" fontId="14" fillId="7" borderId="18" xfId="0" applyFont="1" applyFill="1" applyBorder="1" applyAlignment="1">
      <alignment horizontal="center" vertical="top" wrapText="1"/>
    </xf>
    <xf numFmtId="0" fontId="14" fillId="7" borderId="19" xfId="0" applyFont="1" applyFill="1" applyBorder="1" applyAlignment="1">
      <alignment horizontal="center" vertical="top" wrapText="1"/>
    </xf>
    <xf numFmtId="0" fontId="14" fillId="7" borderId="14" xfId="0" applyFont="1" applyFill="1" applyBorder="1" applyAlignment="1">
      <alignment horizontal="center" vertical="top" wrapText="1"/>
    </xf>
    <xf numFmtId="165" fontId="14" fillId="2" borderId="39" xfId="0" applyNumberFormat="1" applyFont="1" applyFill="1" applyBorder="1" applyAlignment="1">
      <alignment horizontal="center" vertical="center"/>
    </xf>
    <xf numFmtId="49" fontId="97" fillId="0" borderId="21" xfId="0" applyNumberFormat="1" applyFont="1" applyBorder="1" applyAlignment="1">
      <alignment horizontal="center" vertical="center" wrapText="1"/>
    </xf>
    <xf numFmtId="49" fontId="97" fillId="0" borderId="2" xfId="0" applyNumberFormat="1" applyFont="1" applyBorder="1" applyAlignment="1">
      <alignment horizontal="center" vertical="center" wrapText="1"/>
    </xf>
    <xf numFmtId="49" fontId="97" fillId="0" borderId="23" xfId="0" applyNumberFormat="1" applyFont="1" applyBorder="1" applyAlignment="1">
      <alignment horizontal="center" vertical="center" wrapText="1"/>
    </xf>
    <xf numFmtId="164" fontId="14" fillId="0" borderId="0" xfId="0" applyNumberFormat="1" applyFont="1" applyAlignment="1">
      <alignment horizontal="center" vertical="center"/>
    </xf>
    <xf numFmtId="0" fontId="14" fillId="0" borderId="7" xfId="0" applyFont="1" applyBorder="1" applyAlignment="1">
      <alignment horizontal="right"/>
    </xf>
    <xf numFmtId="2" fontId="14" fillId="11" borderId="8" xfId="0" applyNumberFormat="1" applyFont="1" applyFill="1" applyBorder="1" applyAlignment="1">
      <alignment horizontal="center"/>
    </xf>
    <xf numFmtId="2" fontId="14" fillId="0" borderId="6" xfId="0" applyNumberFormat="1" applyFont="1" applyBorder="1" applyAlignment="1">
      <alignment horizontal="left" vertical="center"/>
    </xf>
    <xf numFmtId="0" fontId="12" fillId="0" borderId="0" xfId="0" applyFont="1" applyAlignment="1">
      <alignment vertical="center"/>
    </xf>
    <xf numFmtId="4" fontId="14" fillId="2" borderId="18" xfId="0" applyNumberFormat="1" applyFont="1" applyFill="1" applyBorder="1" applyAlignment="1">
      <alignment horizontal="center" vertical="center"/>
    </xf>
    <xf numFmtId="4" fontId="14" fillId="8" borderId="14" xfId="0" applyNumberFormat="1" applyFont="1" applyFill="1" applyBorder="1" applyAlignment="1">
      <alignment horizontal="center" vertical="center"/>
    </xf>
    <xf numFmtId="165" fontId="14" fillId="3" borderId="0" xfId="0" applyNumberFormat="1" applyFont="1" applyFill="1" applyAlignment="1">
      <alignment horizontal="center" vertical="center"/>
    </xf>
    <xf numFmtId="165" fontId="14" fillId="3" borderId="1" xfId="0" applyNumberFormat="1" applyFont="1" applyFill="1" applyBorder="1" applyAlignment="1">
      <alignment horizontal="center" vertical="center"/>
    </xf>
    <xf numFmtId="0" fontId="111" fillId="0" borderId="0" xfId="23" applyFont="1" applyAlignment="1">
      <alignment horizontal="center" wrapText="1"/>
    </xf>
    <xf numFmtId="2" fontId="14" fillId="2" borderId="14" xfId="0" applyNumberFormat="1" applyFont="1" applyFill="1" applyBorder="1" applyAlignment="1">
      <alignment horizontal="center"/>
    </xf>
    <xf numFmtId="165" fontId="14" fillId="0" borderId="6" xfId="0" applyNumberFormat="1" applyFont="1" applyBorder="1" applyAlignment="1">
      <alignment horizontal="left" vertical="center"/>
    </xf>
    <xf numFmtId="165" fontId="14" fillId="0" borderId="7" xfId="0" applyNumberFormat="1" applyFont="1" applyBorder="1" applyAlignment="1">
      <alignment horizontal="left" vertical="center"/>
    </xf>
    <xf numFmtId="186" fontId="14" fillId="11" borderId="8" xfId="23" applyNumberFormat="1" applyFont="1" applyFill="1" applyBorder="1" applyAlignment="1">
      <alignment horizontal="center" vertical="center"/>
    </xf>
    <xf numFmtId="167" fontId="15" fillId="0" borderId="0" xfId="23" applyNumberFormat="1" applyFont="1" applyAlignment="1">
      <alignment horizontal="center" vertical="center"/>
    </xf>
    <xf numFmtId="168" fontId="14" fillId="0" borderId="0" xfId="23" applyNumberFormat="1" applyFont="1" applyAlignment="1">
      <alignment horizontal="right"/>
    </xf>
    <xf numFmtId="2" fontId="14" fillId="5" borderId="18" xfId="0" applyNumberFormat="1" applyFont="1" applyFill="1" applyBorder="1" applyAlignment="1" applyProtection="1">
      <alignment horizontal="center" vertical="center"/>
      <protection locked="0"/>
    </xf>
    <xf numFmtId="2" fontId="14" fillId="5" borderId="14" xfId="0" applyNumberFormat="1" applyFont="1" applyFill="1" applyBorder="1" applyAlignment="1" applyProtection="1">
      <alignment horizontal="center" vertical="center"/>
      <protection locked="0"/>
    </xf>
    <xf numFmtId="0" fontId="14" fillId="0" borderId="0" xfId="0" quotePrefix="1" applyFont="1" applyAlignment="1">
      <alignment horizontal="left" vertical="top"/>
    </xf>
    <xf numFmtId="2" fontId="14" fillId="2" borderId="18" xfId="0" applyNumberFormat="1" applyFont="1" applyFill="1" applyBorder="1" applyAlignment="1">
      <alignment horizontal="center"/>
    </xf>
    <xf numFmtId="2" fontId="14" fillId="11" borderId="8" xfId="23" applyNumberFormat="1" applyFont="1" applyFill="1" applyBorder="1" applyAlignment="1">
      <alignment horizontal="center" vertical="center"/>
    </xf>
    <xf numFmtId="2" fontId="14" fillId="7" borderId="18" xfId="0" applyNumberFormat="1" applyFont="1" applyFill="1" applyBorder="1" applyAlignment="1" applyProtection="1">
      <alignment horizontal="center"/>
      <protection locked="0"/>
    </xf>
    <xf numFmtId="2" fontId="14" fillId="7" borderId="14" xfId="0" applyNumberFormat="1" applyFont="1" applyFill="1" applyBorder="1" applyAlignment="1" applyProtection="1">
      <alignment horizontal="center"/>
      <protection locked="0"/>
    </xf>
    <xf numFmtId="0" fontId="14" fillId="0" borderId="0" xfId="0" applyFont="1" applyAlignment="1">
      <alignment horizontal="left" vertical="top"/>
    </xf>
    <xf numFmtId="0" fontId="117" fillId="0" borderId="1" xfId="23" applyFont="1" applyBorder="1" applyAlignment="1">
      <alignment horizontal="left" vertical="center" wrapText="1"/>
    </xf>
    <xf numFmtId="0" fontId="14" fillId="7" borderId="18" xfId="10" applyFont="1" applyFill="1" applyBorder="1" applyAlignment="1" applyProtection="1">
      <alignment horizontal="center" vertical="top" wrapText="1"/>
      <protection locked="0"/>
    </xf>
    <xf numFmtId="0" fontId="14" fillId="7" borderId="19" xfId="10" applyFont="1" applyFill="1" applyBorder="1" applyAlignment="1" applyProtection="1">
      <alignment horizontal="center" vertical="top" wrapText="1"/>
      <protection locked="0"/>
    </xf>
    <xf numFmtId="0" fontId="14" fillId="7" borderId="14" xfId="10" applyFont="1" applyFill="1" applyBorder="1" applyAlignment="1" applyProtection="1">
      <alignment horizontal="center" vertical="top" wrapText="1"/>
      <protection locked="0"/>
    </xf>
    <xf numFmtId="186" fontId="14" fillId="11" borderId="8" xfId="10" applyNumberFormat="1" applyFont="1" applyFill="1" applyBorder="1" applyAlignment="1">
      <alignment horizontal="center" vertical="center"/>
    </xf>
    <xf numFmtId="167" fontId="14" fillId="0" borderId="0" xfId="23" applyNumberFormat="1" applyFont="1" applyAlignment="1">
      <alignment horizontal="center" vertical="center"/>
    </xf>
    <xf numFmtId="167" fontId="14" fillId="0" borderId="7" xfId="23" applyNumberFormat="1" applyFont="1" applyBorder="1" applyAlignment="1">
      <alignment horizontal="center" vertical="center"/>
    </xf>
    <xf numFmtId="167" fontId="14" fillId="0" borderId="0" xfId="23" applyNumberFormat="1" applyFont="1" applyAlignment="1">
      <alignment horizontal="left" vertical="center"/>
    </xf>
    <xf numFmtId="167" fontId="14" fillId="0" borderId="7" xfId="23" applyNumberFormat="1" applyFont="1" applyBorder="1" applyAlignment="1">
      <alignment horizontal="left" vertical="center"/>
    </xf>
    <xf numFmtId="0" fontId="14" fillId="9" borderId="8" xfId="23" applyFont="1" applyFill="1" applyBorder="1" applyAlignment="1">
      <alignment horizontal="center"/>
    </xf>
    <xf numFmtId="165" fontId="22" fillId="0" borderId="6" xfId="10" applyNumberFormat="1" applyFont="1" applyBorder="1" applyAlignment="1">
      <alignment horizontal="center" vertical="center"/>
    </xf>
    <xf numFmtId="165" fontId="22" fillId="0" borderId="7" xfId="10" applyNumberFormat="1" applyFont="1" applyBorder="1" applyAlignment="1">
      <alignment horizontal="center" vertical="center"/>
    </xf>
    <xf numFmtId="165" fontId="14" fillId="2" borderId="18" xfId="10" applyNumberFormat="1" applyFont="1" applyFill="1" applyBorder="1" applyAlignment="1">
      <alignment horizontal="center" vertical="center"/>
    </xf>
    <xf numFmtId="165" fontId="14" fillId="2" borderId="14" xfId="10" applyNumberFormat="1" applyFont="1" applyFill="1" applyBorder="1" applyAlignment="1">
      <alignment horizontal="center" vertical="center"/>
    </xf>
    <xf numFmtId="0" fontId="14" fillId="11" borderId="8" xfId="10" applyFont="1" applyFill="1" applyBorder="1" applyAlignment="1">
      <alignment horizontal="center" vertical="center"/>
    </xf>
    <xf numFmtId="2" fontId="14" fillId="11" borderId="18" xfId="10" applyNumberFormat="1" applyFont="1" applyFill="1" applyBorder="1" applyAlignment="1">
      <alignment horizontal="center" vertical="center"/>
    </xf>
    <xf numFmtId="2" fontId="14" fillId="11" borderId="14" xfId="10" applyNumberFormat="1" applyFont="1" applyFill="1" applyBorder="1" applyAlignment="1">
      <alignment horizontal="center" vertical="center"/>
    </xf>
    <xf numFmtId="2" fontId="14" fillId="2" borderId="18" xfId="10" applyNumberFormat="1" applyFont="1" applyFill="1" applyBorder="1" applyAlignment="1">
      <alignment horizontal="center" vertical="center"/>
    </xf>
    <xf numFmtId="2" fontId="14" fillId="2" borderId="14" xfId="10" applyNumberFormat="1" applyFont="1" applyFill="1" applyBorder="1" applyAlignment="1">
      <alignment horizontal="center" vertical="center"/>
    </xf>
    <xf numFmtId="0" fontId="14" fillId="0" borderId="1" xfId="23" applyFont="1" applyBorder="1" applyAlignment="1">
      <alignment horizontal="left" vertical="center" wrapText="1"/>
    </xf>
    <xf numFmtId="1" fontId="14" fillId="5" borderId="8" xfId="10" applyNumberFormat="1" applyFont="1" applyFill="1" applyBorder="1" applyAlignment="1" applyProtection="1">
      <alignment horizontal="center" vertical="center"/>
      <protection locked="0"/>
    </xf>
    <xf numFmtId="1" fontId="14" fillId="2" borderId="8" xfId="10" applyNumberFormat="1" applyFont="1" applyFill="1" applyBorder="1" applyAlignment="1">
      <alignment horizontal="center" vertical="center"/>
    </xf>
    <xf numFmtId="168" fontId="14" fillId="2" borderId="18" xfId="10" applyNumberFormat="1" applyFont="1" applyFill="1" applyBorder="1" applyAlignment="1">
      <alignment horizontal="center" vertical="center"/>
    </xf>
    <xf numFmtId="168" fontId="14" fillId="2" borderId="14" xfId="10" applyNumberFormat="1" applyFont="1" applyFill="1" applyBorder="1" applyAlignment="1">
      <alignment horizontal="center" vertical="center"/>
    </xf>
    <xf numFmtId="2" fontId="14" fillId="7" borderId="8" xfId="10" applyNumberFormat="1" applyFont="1" applyFill="1" applyBorder="1" applyAlignment="1" applyProtection="1">
      <alignment horizontal="center" vertical="center"/>
      <protection locked="0"/>
    </xf>
    <xf numFmtId="165" fontId="14" fillId="2" borderId="18" xfId="10" applyNumberFormat="1" applyFont="1" applyFill="1" applyBorder="1" applyAlignment="1">
      <alignment horizontal="center" vertical="center" wrapText="1"/>
    </xf>
    <xf numFmtId="165" fontId="14" fillId="2" borderId="14" xfId="10" applyNumberFormat="1" applyFont="1" applyFill="1" applyBorder="1" applyAlignment="1">
      <alignment horizontal="center" vertical="center" wrapText="1"/>
    </xf>
    <xf numFmtId="0" fontId="14" fillId="0" borderId="0" xfId="10" applyFont="1" applyAlignment="1">
      <alignment horizontal="center" wrapText="1"/>
    </xf>
    <xf numFmtId="0" fontId="14" fillId="0" borderId="0" xfId="10" applyFont="1" applyAlignment="1">
      <alignment horizontal="center" vertical="center"/>
    </xf>
    <xf numFmtId="0" fontId="14" fillId="7" borderId="18" xfId="10" applyFont="1" applyFill="1" applyBorder="1" applyAlignment="1" applyProtection="1">
      <alignment horizontal="left" vertical="top" wrapText="1"/>
      <protection locked="0"/>
    </xf>
    <xf numFmtId="0" fontId="14" fillId="7" borderId="19" xfId="10" applyFont="1" applyFill="1" applyBorder="1" applyAlignment="1" applyProtection="1">
      <alignment horizontal="left" vertical="top" wrapText="1"/>
      <protection locked="0"/>
    </xf>
    <xf numFmtId="0" fontId="14" fillId="7" borderId="14" xfId="10" applyFont="1" applyFill="1" applyBorder="1" applyAlignment="1" applyProtection="1">
      <alignment horizontal="left" vertical="top" wrapText="1"/>
      <protection locked="0"/>
    </xf>
    <xf numFmtId="0" fontId="16" fillId="0" borderId="11" xfId="23" applyFont="1" applyBorder="1" applyAlignment="1">
      <alignment horizontal="center" vertical="center"/>
    </xf>
    <xf numFmtId="0" fontId="16" fillId="0" borderId="5" xfId="23" applyFont="1" applyBorder="1" applyAlignment="1">
      <alignment horizontal="center" vertical="center"/>
    </xf>
    <xf numFmtId="49" fontId="34" fillId="0" borderId="0" xfId="10" applyNumberFormat="1" applyFont="1" applyAlignment="1">
      <alignment horizontal="center" vertical="center" wrapText="1"/>
    </xf>
    <xf numFmtId="0" fontId="14" fillId="2" borderId="28" xfId="0" applyFont="1" applyFill="1" applyBorder="1" applyAlignment="1">
      <alignment horizontal="left" vertical="center"/>
    </xf>
    <xf numFmtId="0" fontId="14" fillId="0" borderId="0" xfId="10" applyFont="1" applyAlignment="1">
      <alignment horizontal="center" vertical="center" wrapText="1"/>
    </xf>
    <xf numFmtId="0" fontId="14" fillId="0" borderId="1" xfId="10" applyFont="1" applyBorder="1" applyAlignment="1">
      <alignment horizontal="center" vertical="center" wrapText="1"/>
    </xf>
    <xf numFmtId="0" fontId="14" fillId="0" borderId="2" xfId="10" applyFont="1" applyBorder="1" applyAlignment="1">
      <alignment horizontal="center" vertical="center" wrapText="1"/>
    </xf>
    <xf numFmtId="0" fontId="14" fillId="0" borderId="23" xfId="10" applyFont="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165" fontId="14" fillId="2" borderId="8" xfId="10" applyNumberFormat="1" applyFont="1" applyFill="1" applyBorder="1" applyAlignment="1">
      <alignment horizontal="center" vertical="center"/>
    </xf>
    <xf numFmtId="165" fontId="12" fillId="2" borderId="8" xfId="10" applyNumberFormat="1" applyFont="1" applyFill="1" applyBorder="1" applyAlignment="1">
      <alignment vertical="center"/>
    </xf>
    <xf numFmtId="0" fontId="14" fillId="2" borderId="28" xfId="10" applyFont="1" applyFill="1" applyBorder="1" applyAlignment="1">
      <alignment horizontal="right" vertical="center"/>
    </xf>
    <xf numFmtId="0" fontId="14" fillId="2" borderId="29" xfId="10" applyFont="1" applyFill="1" applyBorder="1" applyAlignment="1">
      <alignment horizontal="right" vertical="center"/>
    </xf>
    <xf numFmtId="165" fontId="14" fillId="5" borderId="8" xfId="10" applyNumberFormat="1" applyFont="1" applyFill="1" applyBorder="1" applyAlignment="1" applyProtection="1">
      <alignment horizontal="center"/>
      <protection locked="0"/>
    </xf>
    <xf numFmtId="165" fontId="14" fillId="5" borderId="18" xfId="10" applyNumberFormat="1" applyFont="1" applyFill="1" applyBorder="1" applyAlignment="1" applyProtection="1">
      <alignment horizontal="center"/>
      <protection locked="0"/>
    </xf>
    <xf numFmtId="165" fontId="14" fillId="5" borderId="14" xfId="10" applyNumberFormat="1" applyFont="1" applyFill="1" applyBorder="1" applyAlignment="1" applyProtection="1">
      <alignment horizontal="center"/>
      <protection locked="0"/>
    </xf>
    <xf numFmtId="2" fontId="14" fillId="2" borderId="8" xfId="10" applyNumberFormat="1" applyFont="1" applyFill="1" applyBorder="1" applyAlignment="1">
      <alignment horizontal="center" vertical="center"/>
    </xf>
    <xf numFmtId="165" fontId="14" fillId="7" borderId="18" xfId="10" applyNumberFormat="1" applyFont="1" applyFill="1" applyBorder="1" applyAlignment="1" applyProtection="1">
      <alignment horizontal="center" vertical="center"/>
      <protection locked="0"/>
    </xf>
    <xf numFmtId="165" fontId="14" fillId="7" borderId="14" xfId="10" applyNumberFormat="1" applyFont="1" applyFill="1" applyBorder="1" applyAlignment="1" applyProtection="1">
      <alignment horizontal="center" vertical="center"/>
      <protection locked="0"/>
    </xf>
    <xf numFmtId="165" fontId="14" fillId="5" borderId="18" xfId="10" applyNumberFormat="1" applyFont="1" applyFill="1" applyBorder="1" applyAlignment="1" applyProtection="1">
      <alignment horizontal="center" vertical="center"/>
      <protection locked="0"/>
    </xf>
    <xf numFmtId="165" fontId="14" fillId="5" borderId="14" xfId="10" applyNumberFormat="1" applyFont="1" applyFill="1" applyBorder="1" applyAlignment="1" applyProtection="1">
      <alignment horizontal="center" vertical="center"/>
      <protection locked="0"/>
    </xf>
    <xf numFmtId="0" fontId="14" fillId="2" borderId="28" xfId="0" applyFont="1" applyFill="1" applyBorder="1" applyAlignment="1">
      <alignment horizontal="right" vertical="center"/>
    </xf>
    <xf numFmtId="0" fontId="14" fillId="0" borderId="0" xfId="10" applyFont="1" applyAlignment="1">
      <alignment horizontal="left" vertical="center"/>
    </xf>
    <xf numFmtId="1" fontId="14" fillId="2" borderId="18" xfId="10" applyNumberFormat="1" applyFont="1" applyFill="1" applyBorder="1" applyAlignment="1">
      <alignment horizontal="center" vertical="center"/>
    </xf>
    <xf numFmtId="1" fontId="14" fillId="2" borderId="14" xfId="10" applyNumberFormat="1" applyFont="1" applyFill="1" applyBorder="1" applyAlignment="1">
      <alignment horizontal="center" vertical="center"/>
    </xf>
    <xf numFmtId="0" fontId="16" fillId="0" borderId="18" xfId="23" applyFont="1" applyBorder="1" applyAlignment="1">
      <alignment horizontal="center" vertical="center"/>
    </xf>
    <xf numFmtId="0" fontId="16" fillId="0" borderId="19" xfId="23" applyFont="1" applyBorder="1" applyAlignment="1">
      <alignment horizontal="center" vertical="center"/>
    </xf>
    <xf numFmtId="167" fontId="14" fillId="2" borderId="8" xfId="10" applyNumberFormat="1" applyFont="1" applyFill="1" applyBorder="1" applyAlignment="1">
      <alignment horizontal="center" vertical="center"/>
    </xf>
    <xf numFmtId="0" fontId="15" fillId="0" borderId="0" xfId="10" applyFont="1" applyAlignment="1">
      <alignment horizontal="right" wrapText="1"/>
    </xf>
    <xf numFmtId="0" fontId="14" fillId="0" borderId="0" xfId="10" applyFont="1" applyAlignment="1">
      <alignment horizontal="right" wrapText="1"/>
    </xf>
    <xf numFmtId="0" fontId="14" fillId="0" borderId="7" xfId="10" applyFont="1" applyBorder="1" applyAlignment="1">
      <alignment horizontal="right" wrapText="1"/>
    </xf>
    <xf numFmtId="168" fontId="14" fillId="0" borderId="0" xfId="23" applyNumberFormat="1" applyFont="1" applyAlignment="1">
      <alignment horizontal="center" vertical="top" wrapText="1"/>
    </xf>
    <xf numFmtId="0" fontId="109" fillId="0" borderId="0" xfId="23" applyFont="1" applyAlignment="1">
      <alignment horizontal="center"/>
    </xf>
    <xf numFmtId="168" fontId="121" fillId="11" borderId="0" xfId="10" applyNumberFormat="1" applyFont="1" applyFill="1" applyAlignment="1">
      <alignment horizontal="center" vertical="center"/>
    </xf>
    <xf numFmtId="2" fontId="14" fillId="5" borderId="18" xfId="10" applyNumberFormat="1" applyFont="1" applyFill="1" applyBorder="1" applyAlignment="1" applyProtection="1">
      <alignment horizontal="center" vertical="center"/>
      <protection locked="0"/>
    </xf>
    <xf numFmtId="2" fontId="14" fillId="5" borderId="14" xfId="10" applyNumberFormat="1" applyFont="1" applyFill="1" applyBorder="1" applyAlignment="1" applyProtection="1">
      <alignment horizontal="center" vertical="center"/>
      <protection locked="0"/>
    </xf>
    <xf numFmtId="0" fontId="16" fillId="0" borderId="0" xfId="23" applyFont="1" applyAlignment="1">
      <alignment horizontal="left" vertical="center"/>
    </xf>
    <xf numFmtId="0" fontId="16" fillId="0" borderId="18" xfId="23" applyFont="1" applyBorder="1" applyAlignment="1">
      <alignment horizontal="center"/>
    </xf>
    <xf numFmtId="0" fontId="16" fillId="0" borderId="19" xfId="23" applyFont="1" applyBorder="1" applyAlignment="1">
      <alignment horizontal="center"/>
    </xf>
    <xf numFmtId="0" fontId="16" fillId="0" borderId="10" xfId="23" applyFont="1" applyBorder="1" applyAlignment="1">
      <alignment horizontal="center" vertical="center"/>
    </xf>
    <xf numFmtId="0" fontId="16" fillId="0" borderId="9" xfId="23" applyFont="1" applyBorder="1" applyAlignment="1">
      <alignment horizontal="center" vertical="center"/>
    </xf>
    <xf numFmtId="0" fontId="16" fillId="0" borderId="3" xfId="23" applyFont="1" applyBorder="1" applyAlignment="1">
      <alignment horizontal="center" vertical="center"/>
    </xf>
    <xf numFmtId="0" fontId="16" fillId="0" borderId="4" xfId="23" applyFont="1" applyBorder="1" applyAlignment="1">
      <alignment horizontal="center" vertical="center"/>
    </xf>
    <xf numFmtId="0" fontId="14" fillId="7" borderId="8" xfId="10" applyFont="1" applyFill="1" applyBorder="1" applyAlignment="1" applyProtection="1">
      <alignment horizontal="left" vertical="top" wrapText="1"/>
      <protection locked="0"/>
    </xf>
    <xf numFmtId="0" fontId="17" fillId="0" borderId="0" xfId="10" applyFont="1" applyAlignment="1">
      <alignment horizontal="center" vertical="center" textRotation="90"/>
    </xf>
    <xf numFmtId="167" fontId="14" fillId="2" borderId="18" xfId="10" applyNumberFormat="1" applyFont="1" applyFill="1" applyBorder="1" applyAlignment="1">
      <alignment horizontal="center" vertical="center"/>
    </xf>
    <xf numFmtId="167" fontId="14" fillId="2" borderId="14" xfId="10" applyNumberFormat="1" applyFont="1" applyFill="1" applyBorder="1" applyAlignment="1">
      <alignment horizontal="center" vertical="center"/>
    </xf>
    <xf numFmtId="186" fontId="14" fillId="2" borderId="18" xfId="10" applyNumberFormat="1" applyFont="1" applyFill="1" applyBorder="1" applyAlignment="1">
      <alignment horizontal="center" vertical="center"/>
    </xf>
    <xf numFmtId="186" fontId="14" fillId="2" borderId="14" xfId="10" applyNumberFormat="1" applyFont="1" applyFill="1" applyBorder="1" applyAlignment="1">
      <alignment horizontal="center" vertical="center"/>
    </xf>
    <xf numFmtId="0" fontId="15" fillId="0" borderId="7" xfId="10" applyFont="1" applyBorder="1" applyAlignment="1">
      <alignment horizontal="right" wrapText="1"/>
    </xf>
    <xf numFmtId="165" fontId="12" fillId="2" borderId="14" xfId="10" applyNumberFormat="1" applyFont="1" applyFill="1" applyBorder="1" applyAlignment="1">
      <alignment vertical="center"/>
    </xf>
    <xf numFmtId="185" fontId="14" fillId="5" borderId="18" xfId="10" applyNumberFormat="1" applyFont="1" applyFill="1" applyBorder="1" applyAlignment="1" applyProtection="1">
      <alignment horizontal="center" vertical="center"/>
      <protection locked="0"/>
    </xf>
    <xf numFmtId="185" fontId="14" fillId="5" borderId="14" xfId="10" applyNumberFormat="1" applyFont="1" applyFill="1" applyBorder="1" applyAlignment="1" applyProtection="1">
      <alignment horizontal="center" vertical="center"/>
      <protection locked="0"/>
    </xf>
    <xf numFmtId="168" fontId="14" fillId="0" borderId="0" xfId="10" applyNumberFormat="1" applyFont="1" applyAlignment="1">
      <alignment horizontal="right" vertical="center"/>
    </xf>
    <xf numFmtId="168" fontId="14" fillId="0" borderId="7" xfId="10" applyNumberFormat="1" applyFont="1" applyBorder="1" applyAlignment="1">
      <alignment horizontal="right" vertical="center"/>
    </xf>
    <xf numFmtId="168" fontId="14" fillId="0" borderId="7" xfId="23" applyNumberFormat="1" applyFont="1" applyBorder="1" applyAlignment="1">
      <alignment horizontal="center"/>
    </xf>
    <xf numFmtId="185" fontId="14" fillId="2" borderId="18" xfId="10" applyNumberFormat="1" applyFont="1" applyFill="1" applyBorder="1" applyAlignment="1">
      <alignment horizontal="center" vertical="center"/>
    </xf>
    <xf numFmtId="185" fontId="14" fillId="2" borderId="14" xfId="10" applyNumberFormat="1" applyFont="1" applyFill="1" applyBorder="1" applyAlignment="1">
      <alignment horizontal="center" vertical="center"/>
    </xf>
    <xf numFmtId="0" fontId="14" fillId="5" borderId="18" xfId="10" applyFont="1" applyFill="1" applyBorder="1" applyAlignment="1" applyProtection="1">
      <alignment horizontal="center" vertical="center"/>
      <protection locked="0"/>
    </xf>
    <xf numFmtId="0" fontId="14" fillId="5" borderId="14" xfId="10" applyFont="1" applyFill="1" applyBorder="1" applyAlignment="1" applyProtection="1">
      <alignment horizontal="center" vertical="center"/>
      <protection locked="0"/>
    </xf>
    <xf numFmtId="182" fontId="14" fillId="11" borderId="18" xfId="10" applyNumberFormat="1" applyFont="1" applyFill="1" applyBorder="1" applyAlignment="1">
      <alignment horizontal="center" vertical="center"/>
    </xf>
    <xf numFmtId="182" fontId="14" fillId="11" borderId="14" xfId="10" applyNumberFormat="1" applyFont="1" applyFill="1" applyBorder="1" applyAlignment="1">
      <alignment horizontal="center" vertical="center"/>
    </xf>
    <xf numFmtId="0" fontId="14" fillId="2" borderId="0" xfId="23" applyFont="1" applyFill="1" applyAlignment="1">
      <alignment horizontal="right" vertical="center" wrapText="1"/>
    </xf>
    <xf numFmtId="4" fontId="14" fillId="2" borderId="18" xfId="10" applyNumberFormat="1" applyFont="1" applyFill="1" applyBorder="1" applyAlignment="1">
      <alignment horizontal="center" vertical="center"/>
    </xf>
    <xf numFmtId="4" fontId="14" fillId="2" borderId="14" xfId="10" applyNumberFormat="1" applyFont="1" applyFill="1" applyBorder="1" applyAlignment="1">
      <alignment horizontal="center" vertical="center"/>
    </xf>
    <xf numFmtId="0" fontId="14" fillId="0" borderId="6" xfId="10" applyFont="1" applyBorder="1" applyAlignment="1">
      <alignment horizontal="left" vertical="center"/>
    </xf>
    <xf numFmtId="0" fontId="14" fillId="0" borderId="7" xfId="10" applyFont="1" applyBorder="1" applyAlignment="1">
      <alignment horizontal="left" vertical="center"/>
    </xf>
    <xf numFmtId="2" fontId="14" fillId="0" borderId="0" xfId="23" applyNumberFormat="1" applyFont="1" applyAlignment="1">
      <alignment horizontal="center" vertical="center"/>
    </xf>
    <xf numFmtId="186" fontId="14" fillId="5" borderId="18" xfId="10" applyNumberFormat="1" applyFont="1" applyFill="1" applyBorder="1" applyAlignment="1" applyProtection="1">
      <alignment horizontal="center" vertical="center"/>
      <protection locked="0"/>
    </xf>
    <xf numFmtId="186" fontId="14" fillId="5" borderId="14" xfId="10" applyNumberFormat="1" applyFont="1" applyFill="1" applyBorder="1" applyAlignment="1" applyProtection="1">
      <alignment horizontal="center" vertical="center"/>
      <protection locked="0"/>
    </xf>
    <xf numFmtId="2" fontId="14" fillId="0" borderId="6" xfId="10" applyNumberFormat="1" applyFont="1" applyBorder="1" applyAlignment="1">
      <alignment horizontal="center" vertical="center"/>
    </xf>
    <xf numFmtId="2" fontId="14" fillId="0" borderId="7" xfId="10" applyNumberFormat="1" applyFont="1" applyBorder="1" applyAlignment="1">
      <alignment horizontal="center" vertical="center"/>
    </xf>
    <xf numFmtId="2" fontId="14" fillId="7" borderId="18" xfId="10" applyNumberFormat="1" applyFont="1" applyFill="1" applyBorder="1" applyAlignment="1" applyProtection="1">
      <alignment horizontal="center" vertical="center"/>
      <protection locked="0"/>
    </xf>
    <xf numFmtId="2" fontId="14" fillId="7" borderId="14" xfId="10" applyNumberFormat="1" applyFont="1" applyFill="1" applyBorder="1" applyAlignment="1" applyProtection="1">
      <alignment horizontal="center" vertical="center"/>
      <protection locked="0"/>
    </xf>
    <xf numFmtId="0" fontId="14" fillId="2" borderId="14" xfId="10" applyFont="1" applyFill="1" applyBorder="1" applyAlignment="1">
      <alignment horizontal="center" vertical="center"/>
    </xf>
    <xf numFmtId="1" fontId="14" fillId="9" borderId="18" xfId="10" applyNumberFormat="1" applyFont="1" applyFill="1" applyBorder="1" applyAlignment="1">
      <alignment horizontal="center" vertical="center"/>
    </xf>
    <xf numFmtId="1" fontId="14" fillId="9" borderId="14" xfId="10" applyNumberFormat="1" applyFont="1" applyFill="1" applyBorder="1" applyAlignment="1">
      <alignment horizontal="center" vertical="center"/>
    </xf>
    <xf numFmtId="0" fontId="24" fillId="0" borderId="0" xfId="10"/>
    <xf numFmtId="0" fontId="24" fillId="0" borderId="7" xfId="10" applyBorder="1"/>
    <xf numFmtId="0" fontId="14" fillId="2" borderId="18" xfId="10" applyFont="1" applyFill="1" applyBorder="1" applyAlignment="1">
      <alignment horizontal="center" vertical="center"/>
    </xf>
    <xf numFmtId="0" fontId="14" fillId="0" borderId="0" xfId="10" quotePrefix="1" applyFont="1" applyAlignment="1">
      <alignment horizontal="center" vertical="center"/>
    </xf>
    <xf numFmtId="165" fontId="14" fillId="3" borderId="0" xfId="10" applyNumberFormat="1" applyFont="1" applyFill="1" applyAlignment="1">
      <alignment horizontal="left" vertical="center"/>
    </xf>
    <xf numFmtId="165" fontId="18" fillId="3" borderId="0" xfId="10" applyNumberFormat="1" applyFont="1" applyFill="1" applyAlignment="1">
      <alignment horizontal="left" vertical="center"/>
    </xf>
    <xf numFmtId="0" fontId="24" fillId="0" borderId="7" xfId="10" applyBorder="1" applyAlignment="1">
      <alignment horizontal="left" vertical="center"/>
    </xf>
    <xf numFmtId="0" fontId="16" fillId="0" borderId="0" xfId="10" applyFont="1" applyAlignment="1">
      <alignment horizontal="center"/>
    </xf>
    <xf numFmtId="0" fontId="16" fillId="0" borderId="0" xfId="10" applyFont="1" applyAlignment="1">
      <alignment horizontal="center" vertical="center"/>
    </xf>
    <xf numFmtId="168" fontId="16" fillId="0" borderId="0" xfId="10" applyNumberFormat="1" applyFont="1" applyAlignment="1">
      <alignment horizontal="center" vertical="center"/>
    </xf>
    <xf numFmtId="0" fontId="16" fillId="0" borderId="19" xfId="10" applyFont="1" applyBorder="1" applyAlignment="1">
      <alignment horizontal="center" vertical="center"/>
    </xf>
    <xf numFmtId="168" fontId="116" fillId="0" borderId="0" xfId="10" applyNumberFormat="1" applyFont="1" applyAlignment="1">
      <alignment horizontal="center"/>
    </xf>
    <xf numFmtId="0" fontId="116" fillId="0" borderId="0" xfId="10" applyFont="1" applyAlignment="1">
      <alignment horizontal="center"/>
    </xf>
    <xf numFmtId="168" fontId="16" fillId="0" borderId="0" xfId="10" applyNumberFormat="1" applyFont="1" applyAlignment="1">
      <alignment horizontal="center"/>
    </xf>
    <xf numFmtId="0" fontId="97" fillId="0" borderId="28" xfId="10" applyFont="1" applyBorder="1" applyAlignment="1">
      <alignment horizontal="center" vertical="center" wrapText="1"/>
    </xf>
    <xf numFmtId="165" fontId="14" fillId="2" borderId="18" xfId="10" quotePrefix="1" applyNumberFormat="1" applyFont="1" applyFill="1" applyBorder="1" applyAlignment="1">
      <alignment horizontal="center" vertical="center"/>
    </xf>
    <xf numFmtId="165" fontId="14" fillId="2" borderId="18" xfId="10" applyNumberFormat="1" applyFont="1" applyFill="1" applyBorder="1" applyAlignment="1">
      <alignment horizontal="center"/>
    </xf>
    <xf numFmtId="165" fontId="14" fillId="2" borderId="14" xfId="10" applyNumberFormat="1" applyFont="1" applyFill="1" applyBorder="1" applyAlignment="1">
      <alignment horizontal="center"/>
    </xf>
    <xf numFmtId="165" fontId="37" fillId="2" borderId="18" xfId="0" applyNumberFormat="1" applyFont="1" applyFill="1" applyBorder="1" applyAlignment="1">
      <alignment horizontal="center" vertical="center"/>
    </xf>
    <xf numFmtId="165" fontId="37" fillId="2" borderId="14" xfId="0" applyNumberFormat="1" applyFont="1" applyFill="1" applyBorder="1" applyAlignment="1">
      <alignment horizontal="center" vertical="center"/>
    </xf>
    <xf numFmtId="0" fontId="37" fillId="2" borderId="18" xfId="0" applyFont="1" applyFill="1" applyBorder="1" applyAlignment="1">
      <alignment horizontal="center" vertical="center"/>
    </xf>
    <xf numFmtId="0" fontId="37" fillId="2" borderId="14" xfId="0" applyFont="1" applyFill="1" applyBorder="1" applyAlignment="1">
      <alignment horizontal="center" vertical="center"/>
    </xf>
    <xf numFmtId="1" fontId="37" fillId="5" borderId="18" xfId="0" applyNumberFormat="1" applyFont="1" applyFill="1" applyBorder="1" applyAlignment="1" applyProtection="1">
      <alignment horizontal="center" vertical="center"/>
      <protection locked="0"/>
    </xf>
    <xf numFmtId="1" fontId="37" fillId="5" borderId="14" xfId="0" applyNumberFormat="1" applyFont="1" applyFill="1" applyBorder="1" applyAlignment="1" applyProtection="1">
      <alignment horizontal="center" vertical="center"/>
      <protection locked="0"/>
    </xf>
    <xf numFmtId="170" fontId="37" fillId="5" borderId="18" xfId="0" applyNumberFormat="1" applyFont="1" applyFill="1" applyBorder="1" applyAlignment="1" applyProtection="1">
      <alignment horizontal="center" vertical="center"/>
      <protection locked="0"/>
    </xf>
    <xf numFmtId="170" fontId="37" fillId="5" borderId="14" xfId="0" applyNumberFormat="1" applyFont="1" applyFill="1" applyBorder="1" applyAlignment="1" applyProtection="1">
      <alignment horizontal="center" vertical="center"/>
      <protection locked="0"/>
    </xf>
    <xf numFmtId="0" fontId="37" fillId="2" borderId="18" xfId="0" applyFont="1" applyFill="1" applyBorder="1" applyAlignment="1">
      <alignment horizontal="center"/>
    </xf>
    <xf numFmtId="0" fontId="37" fillId="2" borderId="14" xfId="0" applyFont="1" applyFill="1" applyBorder="1" applyAlignment="1">
      <alignment horizontal="center"/>
    </xf>
    <xf numFmtId="0" fontId="37" fillId="5" borderId="18" xfId="0" applyFont="1" applyFill="1" applyBorder="1" applyAlignment="1" applyProtection="1">
      <alignment horizontal="center"/>
      <protection locked="0"/>
    </xf>
    <xf numFmtId="0" fontId="37" fillId="5" borderId="14" xfId="0" applyFont="1" applyFill="1" applyBorder="1" applyAlignment="1" applyProtection="1">
      <alignment horizontal="center"/>
      <protection locked="0"/>
    </xf>
    <xf numFmtId="2" fontId="37" fillId="5" borderId="18" xfId="0" applyNumberFormat="1" applyFont="1" applyFill="1" applyBorder="1" applyAlignment="1" applyProtection="1">
      <alignment horizontal="center"/>
      <protection locked="0"/>
    </xf>
    <xf numFmtId="2" fontId="37" fillId="5" borderId="14" xfId="0" applyNumberFormat="1" applyFont="1" applyFill="1" applyBorder="1" applyAlignment="1" applyProtection="1">
      <alignment horizontal="center"/>
      <protection locked="0"/>
    </xf>
    <xf numFmtId="0" fontId="75" fillId="2" borderId="18" xfId="0" applyFont="1" applyFill="1" applyBorder="1" applyAlignment="1">
      <alignment horizontal="left"/>
    </xf>
    <xf numFmtId="0" fontId="75" fillId="2" borderId="19" xfId="0" applyFont="1" applyFill="1" applyBorder="1" applyAlignment="1">
      <alignment horizontal="left"/>
    </xf>
    <xf numFmtId="0" fontId="75" fillId="2" borderId="14" xfId="0" applyFont="1" applyFill="1" applyBorder="1" applyAlignment="1">
      <alignment horizontal="left"/>
    </xf>
    <xf numFmtId="1" fontId="37" fillId="2" borderId="18" xfId="0" applyNumberFormat="1" applyFont="1" applyFill="1" applyBorder="1" applyAlignment="1">
      <alignment horizontal="center" vertical="center"/>
    </xf>
    <xf numFmtId="1" fontId="37" fillId="2" borderId="14" xfId="0" applyNumberFormat="1" applyFont="1" applyFill="1" applyBorder="1" applyAlignment="1">
      <alignment horizontal="center" vertical="center"/>
    </xf>
    <xf numFmtId="0" fontId="38" fillId="0" borderId="0" xfId="0" applyFont="1" applyAlignment="1">
      <alignment horizontal="center" vertical="center"/>
    </xf>
    <xf numFmtId="0" fontId="46" fillId="5" borderId="18" xfId="0" applyFont="1" applyFill="1" applyBorder="1" applyAlignment="1" applyProtection="1">
      <alignment horizontal="center" vertical="center"/>
      <protection locked="0"/>
    </xf>
    <xf numFmtId="0" fontId="46" fillId="5" borderId="14" xfId="0" applyFont="1" applyFill="1" applyBorder="1" applyAlignment="1" applyProtection="1">
      <alignment horizontal="center" vertical="center"/>
      <protection locked="0"/>
    </xf>
    <xf numFmtId="0" fontId="46" fillId="0" borderId="0" xfId="0" applyFont="1" applyAlignment="1">
      <alignment horizontal="left" vertical="top" wrapText="1"/>
    </xf>
    <xf numFmtId="0" fontId="46" fillId="5" borderId="18" xfId="0" applyFont="1" applyFill="1" applyBorder="1" applyAlignment="1">
      <alignment horizontal="center" vertical="center"/>
    </xf>
    <xf numFmtId="0" fontId="46" fillId="5" borderId="14" xfId="0" applyFont="1" applyFill="1" applyBorder="1" applyAlignment="1">
      <alignment horizontal="center" vertical="center"/>
    </xf>
    <xf numFmtId="0" fontId="38" fillId="0" borderId="0" xfId="0" applyFont="1" applyAlignment="1">
      <alignment horizontal="center"/>
    </xf>
    <xf numFmtId="1" fontId="37" fillId="2" borderId="18" xfId="0" applyNumberFormat="1" applyFont="1" applyFill="1" applyBorder="1" applyAlignment="1">
      <alignment horizontal="center"/>
    </xf>
    <xf numFmtId="165" fontId="37" fillId="2" borderId="18" xfId="0" applyNumberFormat="1" applyFont="1" applyFill="1" applyBorder="1" applyAlignment="1">
      <alignment horizontal="center"/>
    </xf>
    <xf numFmtId="165" fontId="37" fillId="2" borderId="14" xfId="0" applyNumberFormat="1" applyFont="1" applyFill="1" applyBorder="1" applyAlignment="1">
      <alignment horizontal="center"/>
    </xf>
    <xf numFmtId="164" fontId="37" fillId="2" borderId="18" xfId="0" applyNumberFormat="1" applyFont="1" applyFill="1" applyBorder="1" applyAlignment="1">
      <alignment horizontal="center" vertical="center"/>
    </xf>
    <xf numFmtId="164" fontId="37" fillId="2" borderId="14" xfId="0" applyNumberFormat="1" applyFont="1" applyFill="1" applyBorder="1" applyAlignment="1">
      <alignment horizontal="center" vertical="center"/>
    </xf>
    <xf numFmtId="170" fontId="37" fillId="2" borderId="18" xfId="0" applyNumberFormat="1" applyFont="1" applyFill="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7" fillId="5" borderId="18" xfId="0" applyFont="1" applyFill="1" applyBorder="1" applyAlignment="1" applyProtection="1">
      <alignment horizontal="center" vertical="center"/>
      <protection locked="0"/>
    </xf>
    <xf numFmtId="0" fontId="37" fillId="5" borderId="14" xfId="0" applyFont="1" applyFill="1" applyBorder="1" applyAlignment="1" applyProtection="1">
      <alignment horizontal="center" vertical="center"/>
      <protection locked="0"/>
    </xf>
    <xf numFmtId="0" fontId="37" fillId="5" borderId="18" xfId="0" applyFont="1" applyFill="1" applyBorder="1" applyAlignment="1">
      <alignment horizontal="center" vertical="center"/>
    </xf>
    <xf numFmtId="0" fontId="37" fillId="5" borderId="14" xfId="0" applyFont="1" applyFill="1" applyBorder="1" applyAlignment="1">
      <alignment horizontal="center" vertical="center"/>
    </xf>
    <xf numFmtId="2" fontId="37" fillId="5" borderId="18" xfId="0" applyNumberFormat="1" applyFont="1" applyFill="1" applyBorder="1" applyAlignment="1" applyProtection="1">
      <alignment horizontal="center" vertical="center"/>
      <protection locked="0"/>
    </xf>
    <xf numFmtId="2" fontId="37" fillId="5" borderId="14" xfId="0" applyNumberFormat="1" applyFont="1" applyFill="1" applyBorder="1" applyAlignment="1" applyProtection="1">
      <alignment horizontal="center" vertical="center"/>
      <protection locked="0"/>
    </xf>
    <xf numFmtId="0" fontId="37" fillId="7" borderId="10" xfId="0" applyFont="1" applyFill="1" applyBorder="1" applyAlignment="1" applyProtection="1">
      <alignment horizontal="left" vertical="top"/>
      <protection locked="0"/>
    </xf>
    <xf numFmtId="0" fontId="37" fillId="7" borderId="9" xfId="0" applyFont="1" applyFill="1" applyBorder="1" applyAlignment="1" applyProtection="1">
      <alignment horizontal="left" vertical="top"/>
      <protection locked="0"/>
    </xf>
    <xf numFmtId="0" fontId="37" fillId="7" borderId="11" xfId="0" applyFont="1" applyFill="1" applyBorder="1" applyAlignment="1" applyProtection="1">
      <alignment horizontal="left" vertical="top"/>
      <protection locked="0"/>
    </xf>
    <xf numFmtId="0" fontId="37" fillId="7" borderId="6" xfId="0" applyFont="1" applyFill="1" applyBorder="1" applyAlignment="1" applyProtection="1">
      <alignment horizontal="left" vertical="top"/>
      <protection locked="0"/>
    </xf>
    <xf numFmtId="0" fontId="37" fillId="7" borderId="0" xfId="0" applyFont="1" applyFill="1" applyAlignment="1" applyProtection="1">
      <alignment horizontal="left" vertical="top"/>
      <protection locked="0"/>
    </xf>
    <xf numFmtId="0" fontId="37" fillId="7" borderId="7" xfId="0" applyFont="1" applyFill="1" applyBorder="1" applyAlignment="1" applyProtection="1">
      <alignment horizontal="left" vertical="top"/>
      <protection locked="0"/>
    </xf>
    <xf numFmtId="0" fontId="37" fillId="7" borderId="3" xfId="0" applyFont="1" applyFill="1" applyBorder="1" applyAlignment="1" applyProtection="1">
      <alignment horizontal="left" vertical="top"/>
      <protection locked="0"/>
    </xf>
    <xf numFmtId="0" fontId="37" fillId="7" borderId="4" xfId="0" applyFont="1" applyFill="1" applyBorder="1" applyAlignment="1" applyProtection="1">
      <alignment horizontal="left" vertical="top"/>
      <protection locked="0"/>
    </xf>
    <xf numFmtId="0" fontId="37" fillId="7" borderId="5" xfId="0" applyFont="1" applyFill="1" applyBorder="1" applyAlignment="1" applyProtection="1">
      <alignment horizontal="left" vertical="top"/>
      <protection locked="0"/>
    </xf>
    <xf numFmtId="0" fontId="37" fillId="7" borderId="18" xfId="0" applyFont="1" applyFill="1" applyBorder="1" applyAlignment="1">
      <alignment horizontal="center" vertical="center"/>
    </xf>
    <xf numFmtId="0" fontId="37" fillId="7" borderId="14" xfId="0" applyFont="1" applyFill="1" applyBorder="1" applyAlignment="1">
      <alignment horizontal="center" vertical="center"/>
    </xf>
    <xf numFmtId="0" fontId="37" fillId="0" borderId="0" xfId="0" applyFont="1" applyAlignment="1">
      <alignment horizontal="center"/>
    </xf>
    <xf numFmtId="0" fontId="74" fillId="0" borderId="4" xfId="46" applyFont="1" applyBorder="1" applyAlignment="1">
      <alignment horizontal="center" vertical="center" wrapText="1"/>
    </xf>
    <xf numFmtId="0" fontId="12" fillId="0" borderId="14" xfId="0" applyFont="1" applyBorder="1" applyAlignment="1">
      <alignment horizontal="center" vertical="center"/>
    </xf>
    <xf numFmtId="0" fontId="14" fillId="2" borderId="19" xfId="0" applyFont="1" applyFill="1" applyBorder="1" applyAlignment="1">
      <alignment horizontal="right"/>
    </xf>
    <xf numFmtId="0" fontId="14" fillId="2" borderId="19" xfId="0" applyFont="1" applyFill="1" applyBorder="1" applyAlignment="1">
      <alignment horizontal="left"/>
    </xf>
    <xf numFmtId="0" fontId="37" fillId="0" borderId="6" xfId="0" applyFont="1" applyBorder="1" applyAlignment="1">
      <alignment horizontal="center" vertical="center"/>
    </xf>
    <xf numFmtId="0" fontId="37" fillId="0" borderId="7" xfId="0" applyFont="1" applyBorder="1" applyAlignment="1">
      <alignment horizontal="center" vertical="center"/>
    </xf>
    <xf numFmtId="1" fontId="14" fillId="8" borderId="18" xfId="0" applyNumberFormat="1" applyFont="1" applyFill="1" applyBorder="1" applyAlignment="1">
      <alignment horizontal="center" vertical="center"/>
    </xf>
    <xf numFmtId="1" fontId="14" fillId="8" borderId="14" xfId="0" applyNumberFormat="1" applyFont="1" applyFill="1" applyBorder="1" applyAlignment="1">
      <alignment horizontal="center" vertical="center"/>
    </xf>
    <xf numFmtId="164" fontId="14" fillId="0" borderId="1" xfId="0" applyNumberFormat="1" applyFont="1" applyBorder="1" applyAlignment="1">
      <alignment horizontal="center"/>
    </xf>
    <xf numFmtId="0" fontId="15" fillId="0" borderId="0" xfId="0" quotePrefix="1" applyFont="1" applyAlignment="1">
      <alignment horizontal="center" wrapText="1"/>
    </xf>
    <xf numFmtId="0" fontId="15" fillId="0" borderId="0" xfId="0" applyFont="1" applyAlignment="1">
      <alignment horizontal="left" vertical="top"/>
    </xf>
    <xf numFmtId="0" fontId="14" fillId="7" borderId="22" xfId="0" applyFont="1" applyFill="1" applyBorder="1" applyAlignment="1" applyProtection="1">
      <alignment horizontal="center" vertical="top" wrapText="1"/>
      <protection locked="0"/>
    </xf>
    <xf numFmtId="0" fontId="14" fillId="7" borderId="0" xfId="0" applyFont="1" applyFill="1" applyAlignment="1" applyProtection="1">
      <alignment horizontal="center" vertical="top" wrapText="1"/>
      <protection locked="0"/>
    </xf>
    <xf numFmtId="0" fontId="14" fillId="7" borderId="1" xfId="0" applyFont="1" applyFill="1" applyBorder="1" applyAlignment="1" applyProtection="1">
      <alignment horizontal="center" vertical="top" wrapText="1"/>
      <protection locked="0"/>
    </xf>
    <xf numFmtId="0" fontId="14" fillId="7" borderId="21" xfId="0" applyFont="1" applyFill="1" applyBorder="1" applyAlignment="1" applyProtection="1">
      <alignment horizontal="center" vertical="top" wrapText="1"/>
      <protection locked="0"/>
    </xf>
    <xf numFmtId="0" fontId="14" fillId="7" borderId="2" xfId="0" applyFont="1" applyFill="1" applyBorder="1" applyAlignment="1" applyProtection="1">
      <alignment horizontal="center" vertical="top" wrapText="1"/>
      <protection locked="0"/>
    </xf>
    <xf numFmtId="0" fontId="14" fillId="7" borderId="23" xfId="0" applyFont="1" applyFill="1" applyBorder="1" applyAlignment="1" applyProtection="1">
      <alignment horizontal="center" vertical="top" wrapText="1"/>
      <protection locked="0"/>
    </xf>
    <xf numFmtId="164" fontId="14" fillId="2" borderId="18" xfId="0" applyNumberFormat="1" applyFont="1" applyFill="1" applyBorder="1" applyAlignment="1">
      <alignment horizontal="center" vertical="center"/>
    </xf>
    <xf numFmtId="164" fontId="14" fillId="2" borderId="14" xfId="0" applyNumberFormat="1" applyFont="1" applyFill="1" applyBorder="1" applyAlignment="1">
      <alignment horizontal="center" vertical="center"/>
    </xf>
    <xf numFmtId="165" fontId="14" fillId="8" borderId="18" xfId="0" applyNumberFormat="1" applyFont="1" applyFill="1" applyBorder="1" applyAlignment="1">
      <alignment horizontal="center" vertical="center"/>
    </xf>
    <xf numFmtId="165" fontId="14" fillId="8" borderId="14" xfId="0" applyNumberFormat="1" applyFont="1" applyFill="1" applyBorder="1" applyAlignment="1">
      <alignment horizontal="center" vertical="center"/>
    </xf>
    <xf numFmtId="0" fontId="16" fillId="0" borderId="0" xfId="0" applyFont="1" applyAlignment="1">
      <alignment horizontal="center" wrapText="1"/>
    </xf>
    <xf numFmtId="0" fontId="14" fillId="0" borderId="1" xfId="0" applyFont="1" applyBorder="1" applyAlignment="1">
      <alignment horizontal="left" vertical="center" wrapText="1"/>
    </xf>
    <xf numFmtId="165" fontId="97" fillId="2" borderId="8" xfId="0" applyNumberFormat="1" applyFont="1" applyFill="1" applyBorder="1" applyAlignment="1">
      <alignment horizontal="center" vertical="center"/>
    </xf>
    <xf numFmtId="0" fontId="0" fillId="0" borderId="0" xfId="0" applyAlignment="1">
      <alignment horizontal="center" vertical="center"/>
    </xf>
    <xf numFmtId="165" fontId="12" fillId="2" borderId="14" xfId="0" applyNumberFormat="1" applyFont="1" applyFill="1" applyBorder="1" applyAlignment="1">
      <alignment horizontal="center" vertical="center"/>
    </xf>
    <xf numFmtId="0" fontId="12" fillId="0" borderId="0" xfId="0" applyFont="1" applyAlignment="1">
      <alignment horizontal="center" vertical="center"/>
    </xf>
    <xf numFmtId="165" fontId="14" fillId="2" borderId="8" xfId="0" applyNumberFormat="1" applyFont="1" applyFill="1" applyBorder="1" applyAlignment="1">
      <alignment horizontal="center" vertical="center"/>
    </xf>
    <xf numFmtId="165" fontId="12" fillId="2" borderId="8" xfId="0" applyNumberFormat="1" applyFont="1" applyFill="1" applyBorder="1" applyAlignment="1">
      <alignment horizontal="center" vertical="center"/>
    </xf>
    <xf numFmtId="0" fontId="15" fillId="0" borderId="9" xfId="0" applyFont="1" applyBorder="1" applyAlignment="1">
      <alignment horizontal="left" vertical="center" wrapText="1"/>
    </xf>
    <xf numFmtId="0" fontId="15" fillId="0" borderId="36" xfId="0" applyFont="1" applyBorder="1" applyAlignment="1">
      <alignment horizontal="left" vertical="center"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1" fontId="14" fillId="0" borderId="4" xfId="0" applyNumberFormat="1" applyFont="1" applyBorder="1" applyAlignment="1">
      <alignment horizontal="center" vertical="center"/>
    </xf>
    <xf numFmtId="0" fontId="15" fillId="0" borderId="0" xfId="0" applyFont="1" applyAlignment="1">
      <alignment horizontal="right" vertical="center"/>
    </xf>
    <xf numFmtId="0" fontId="15" fillId="0" borderId="7" xfId="0" applyFont="1" applyBorder="1" applyAlignment="1">
      <alignment horizontal="right" vertical="center"/>
    </xf>
    <xf numFmtId="0" fontId="15" fillId="0" borderId="0" xfId="0" applyFont="1" applyAlignment="1">
      <alignment vertical="center" wrapText="1"/>
    </xf>
    <xf numFmtId="0" fontId="0" fillId="0" borderId="0" xfId="0" applyAlignment="1">
      <alignment wrapText="1"/>
    </xf>
    <xf numFmtId="0" fontId="0" fillId="0" borderId="1" xfId="0" applyBorder="1" applyAlignment="1">
      <alignment wrapText="1"/>
    </xf>
    <xf numFmtId="0" fontId="14" fillId="0" borderId="22" xfId="0" applyFont="1" applyBorder="1" applyAlignment="1">
      <alignment horizontal="center" vertical="center"/>
    </xf>
    <xf numFmtId="2" fontId="14" fillId="5" borderId="4" xfId="0" applyNumberFormat="1" applyFont="1" applyFill="1" applyBorder="1" applyAlignment="1" applyProtection="1">
      <alignment horizontal="center" vertical="center"/>
      <protection locked="0"/>
    </xf>
    <xf numFmtId="49" fontId="34" fillId="0" borderId="20" xfId="0" applyNumberFormat="1" applyFont="1" applyBorder="1" applyAlignment="1">
      <alignment horizontal="center" vertical="center" wrapText="1"/>
    </xf>
    <xf numFmtId="2" fontId="14" fillId="7" borderId="18" xfId="0" applyNumberFormat="1" applyFont="1" applyFill="1" applyBorder="1" applyAlignment="1" applyProtection="1">
      <alignment horizontal="center" vertical="center"/>
      <protection locked="0"/>
    </xf>
    <xf numFmtId="2" fontId="14" fillId="7" borderId="14" xfId="0" applyNumberFormat="1" applyFont="1" applyFill="1" applyBorder="1" applyAlignment="1" applyProtection="1">
      <alignment horizontal="center" vertical="center"/>
      <protection locked="0"/>
    </xf>
    <xf numFmtId="0" fontId="117" fillId="0" borderId="0" xfId="0" applyFont="1" applyAlignment="1">
      <alignment horizontal="center" vertical="center"/>
    </xf>
    <xf numFmtId="0" fontId="117" fillId="0" borderId="1" xfId="0" applyFont="1" applyBorder="1" applyAlignment="1">
      <alignment horizontal="center" vertical="center"/>
    </xf>
    <xf numFmtId="165" fontId="14" fillId="5" borderId="8" xfId="0" applyNumberFormat="1" applyFont="1" applyFill="1" applyBorder="1" applyAlignment="1" applyProtection="1">
      <alignment horizontal="center" vertical="center"/>
      <protection locked="0"/>
    </xf>
    <xf numFmtId="0" fontId="14" fillId="2" borderId="33" xfId="0" applyFont="1" applyFill="1" applyBorder="1" applyAlignment="1">
      <alignment horizontal="right"/>
    </xf>
    <xf numFmtId="0" fontId="14" fillId="2" borderId="33" xfId="0" applyFont="1" applyFill="1" applyBorder="1" applyAlignment="1">
      <alignment horizontal="left"/>
    </xf>
    <xf numFmtId="1" fontId="12" fillId="5" borderId="14" xfId="0" applyNumberFormat="1" applyFont="1" applyFill="1" applyBorder="1" applyAlignment="1" applyProtection="1">
      <alignment horizontal="center" vertical="center"/>
      <protection locked="0"/>
    </xf>
    <xf numFmtId="165" fontId="17" fillId="3" borderId="0" xfId="0" applyNumberFormat="1" applyFont="1" applyFill="1" applyAlignment="1">
      <alignment horizontal="center" vertical="center"/>
    </xf>
    <xf numFmtId="0" fontId="14" fillId="0" borderId="6" xfId="0" quotePrefix="1" applyFont="1" applyBorder="1" applyAlignment="1">
      <alignment horizontal="center" vertical="center"/>
    </xf>
    <xf numFmtId="0" fontId="110" fillId="0" borderId="0" xfId="0" applyFont="1" applyAlignment="1">
      <alignment horizontal="center" vertical="center" wrapText="1"/>
    </xf>
    <xf numFmtId="0" fontId="16" fillId="0" borderId="1" xfId="0" applyFont="1" applyBorder="1" applyAlignment="1">
      <alignment horizontal="center" wrapText="1"/>
    </xf>
    <xf numFmtId="0" fontId="37" fillId="2" borderId="33" xfId="0" applyFont="1" applyFill="1" applyBorder="1" applyAlignment="1">
      <alignment horizontal="center"/>
    </xf>
    <xf numFmtId="0" fontId="37" fillId="2" borderId="34" xfId="0" applyFont="1" applyFill="1" applyBorder="1" applyAlignment="1">
      <alignment horizontal="center"/>
    </xf>
    <xf numFmtId="0" fontId="14" fillId="0" borderId="9" xfId="0" applyFont="1" applyBorder="1" applyAlignment="1">
      <alignment horizontal="right" vertical="top"/>
    </xf>
    <xf numFmtId="0" fontId="14" fillId="0" borderId="36" xfId="0" applyFont="1" applyBorder="1" applyAlignment="1">
      <alignment horizontal="right" vertical="top"/>
    </xf>
    <xf numFmtId="0" fontId="14" fillId="0" borderId="0" xfId="0" applyFont="1" applyAlignment="1">
      <alignment horizontal="right" vertical="top"/>
    </xf>
    <xf numFmtId="0" fontId="14" fillId="0" borderId="1" xfId="0" applyFont="1" applyBorder="1" applyAlignment="1">
      <alignment horizontal="right" vertical="top"/>
    </xf>
    <xf numFmtId="1" fontId="14" fillId="0" borderId="6" xfId="0" applyNumberFormat="1" applyFont="1" applyBorder="1" applyAlignment="1">
      <alignment horizontal="center" vertical="center"/>
    </xf>
    <xf numFmtId="0" fontId="14" fillId="0" borderId="6" xfId="0" applyFont="1" applyBorder="1" applyAlignment="1">
      <alignment horizontal="center"/>
    </xf>
    <xf numFmtId="0" fontId="14" fillId="0" borderId="7" xfId="0" applyFont="1" applyBorder="1" applyAlignment="1">
      <alignment horizontal="center"/>
    </xf>
    <xf numFmtId="2" fontId="14" fillId="2" borderId="18" xfId="0" applyNumberFormat="1" applyFont="1" applyFill="1" applyBorder="1" applyAlignment="1">
      <alignment horizontal="center" vertical="center" wrapText="1"/>
    </xf>
    <xf numFmtId="2" fontId="14" fillId="2" borderId="14" xfId="0" applyNumberFormat="1" applyFont="1" applyFill="1" applyBorder="1" applyAlignment="1">
      <alignment horizontal="center" vertical="center" wrapText="1"/>
    </xf>
    <xf numFmtId="165" fontId="14" fillId="2" borderId="18" xfId="1" applyNumberFormat="1" applyFont="1" applyFill="1" applyBorder="1" applyAlignment="1">
      <alignment horizontal="center" vertical="center"/>
    </xf>
    <xf numFmtId="165" fontId="14" fillId="2" borderId="14" xfId="1" applyNumberFormat="1" applyFont="1" applyFill="1" applyBorder="1" applyAlignment="1">
      <alignment horizontal="center" vertical="center"/>
    </xf>
    <xf numFmtId="0" fontId="14" fillId="0" borderId="9" xfId="0" applyFont="1" applyBorder="1" applyAlignment="1">
      <alignment horizontal="left" vertical="center" wrapText="1"/>
    </xf>
    <xf numFmtId="0" fontId="14" fillId="8" borderId="18" xfId="0" applyFont="1" applyFill="1" applyBorder="1" applyAlignment="1">
      <alignment horizontal="center" vertical="center"/>
    </xf>
    <xf numFmtId="0" fontId="14" fillId="8" borderId="14" xfId="0" applyFont="1" applyFill="1" applyBorder="1" applyAlignment="1">
      <alignment horizontal="center" vertical="center"/>
    </xf>
    <xf numFmtId="0" fontId="14" fillId="0" borderId="0" xfId="0" quotePrefix="1" applyFont="1" applyAlignment="1">
      <alignment horizontal="center" vertical="center"/>
    </xf>
    <xf numFmtId="0" fontId="16" fillId="0" borderId="0" xfId="0" applyFont="1" applyAlignment="1">
      <alignment horizontal="center" vertical="center" wrapText="1"/>
    </xf>
    <xf numFmtId="165" fontId="18" fillId="2" borderId="18" xfId="0" applyNumberFormat="1" applyFont="1" applyFill="1" applyBorder="1" applyAlignment="1">
      <alignment horizontal="center" vertical="center"/>
    </xf>
    <xf numFmtId="165" fontId="18" fillId="2" borderId="14" xfId="0" applyNumberFormat="1" applyFont="1" applyFill="1" applyBorder="1" applyAlignment="1">
      <alignment horizontal="center" vertical="center"/>
    </xf>
    <xf numFmtId="0" fontId="14" fillId="0" borderId="10" xfId="0" applyFont="1" applyBorder="1" applyAlignment="1">
      <alignment horizontal="center" wrapText="1"/>
    </xf>
    <xf numFmtId="0" fontId="14" fillId="0" borderId="11" xfId="0" applyFont="1" applyBorder="1" applyAlignment="1">
      <alignment horizontal="center" wrapText="1"/>
    </xf>
    <xf numFmtId="0" fontId="14" fillId="0" borderId="6" xfId="0" applyFont="1" applyBorder="1" applyAlignment="1">
      <alignment horizontal="center" wrapText="1"/>
    </xf>
    <xf numFmtId="0" fontId="14" fillId="0" borderId="7" xfId="0" applyFont="1" applyBorder="1" applyAlignment="1">
      <alignment horizontal="center" wrapText="1"/>
    </xf>
    <xf numFmtId="0" fontId="14" fillId="0" borderId="3" xfId="0" applyFont="1" applyBorder="1" applyAlignment="1">
      <alignment horizontal="center" wrapText="1"/>
    </xf>
    <xf numFmtId="0" fontId="14" fillId="0" borderId="5" xfId="0" applyFont="1" applyBorder="1" applyAlignment="1">
      <alignment horizontal="center" wrapText="1"/>
    </xf>
    <xf numFmtId="0" fontId="14" fillId="0" borderId="8" xfId="0" applyFont="1" applyBorder="1" applyAlignment="1">
      <alignment horizontal="left" vertical="center"/>
    </xf>
    <xf numFmtId="0" fontId="18" fillId="2" borderId="8" xfId="0" applyFont="1" applyFill="1" applyBorder="1" applyAlignment="1">
      <alignment horizontal="center" vertical="center"/>
    </xf>
    <xf numFmtId="0" fontId="14" fillId="0" borderId="9" xfId="0" applyFont="1" applyBorder="1" applyAlignment="1">
      <alignment horizontal="center" wrapText="1"/>
    </xf>
    <xf numFmtId="0" fontId="14" fillId="0" borderId="4" xfId="0" applyFont="1" applyBorder="1" applyAlignment="1">
      <alignment horizontal="center" wrapText="1"/>
    </xf>
    <xf numFmtId="0" fontId="14" fillId="0" borderId="10" xfId="0" applyFont="1" applyBorder="1" applyAlignment="1">
      <alignment horizontal="center"/>
    </xf>
    <xf numFmtId="0" fontId="14" fillId="0" borderId="11" xfId="0" applyFont="1" applyBorder="1" applyAlignment="1">
      <alignment horizontal="center"/>
    </xf>
    <xf numFmtId="0" fontId="14" fillId="0" borderId="3" xfId="0" applyFont="1" applyBorder="1" applyAlignment="1">
      <alignment horizontal="center"/>
    </xf>
    <xf numFmtId="0" fontId="14" fillId="0" borderId="5" xfId="0" applyFont="1" applyBorder="1" applyAlignment="1">
      <alignment horizontal="center"/>
    </xf>
    <xf numFmtId="165" fontId="14" fillId="2" borderId="18" xfId="0" applyNumberFormat="1" applyFont="1" applyFill="1" applyBorder="1" applyAlignment="1">
      <alignment horizontal="center" vertical="center" wrapText="1"/>
    </xf>
    <xf numFmtId="165" fontId="14" fillId="2" borderId="14" xfId="0" applyNumberFormat="1" applyFont="1" applyFill="1" applyBorder="1" applyAlignment="1">
      <alignment horizontal="center" vertical="center" wrapText="1"/>
    </xf>
    <xf numFmtId="1" fontId="14" fillId="0" borderId="0" xfId="0" applyNumberFormat="1" applyFont="1" applyAlignment="1">
      <alignment horizontal="center" vertical="center" wrapText="1"/>
    </xf>
    <xf numFmtId="0" fontId="14" fillId="7" borderId="35" xfId="0" applyFont="1" applyFill="1" applyBorder="1" applyAlignment="1" applyProtection="1">
      <alignment horizontal="left" vertical="top" wrapText="1"/>
      <protection locked="0"/>
    </xf>
    <xf numFmtId="0" fontId="14" fillId="7" borderId="9" xfId="0" applyFont="1" applyFill="1" applyBorder="1" applyAlignment="1" applyProtection="1">
      <alignment horizontal="left" vertical="top" wrapText="1"/>
      <protection locked="0"/>
    </xf>
    <xf numFmtId="0" fontId="14" fillId="7" borderId="36" xfId="0" applyFont="1" applyFill="1" applyBorder="1" applyAlignment="1" applyProtection="1">
      <alignment horizontal="left" vertical="top" wrapText="1"/>
      <protection locked="0"/>
    </xf>
    <xf numFmtId="0" fontId="14" fillId="7" borderId="22" xfId="0" applyFont="1" applyFill="1" applyBorder="1" applyAlignment="1" applyProtection="1">
      <alignment horizontal="left" vertical="top" wrapText="1"/>
      <protection locked="0"/>
    </xf>
    <xf numFmtId="0" fontId="14" fillId="7" borderId="0" xfId="0" applyFont="1" applyFill="1" applyAlignment="1" applyProtection="1">
      <alignment horizontal="left" vertical="top" wrapText="1"/>
      <protection locked="0"/>
    </xf>
    <xf numFmtId="0" fontId="14" fillId="7" borderId="1" xfId="0" applyFont="1" applyFill="1" applyBorder="1" applyAlignment="1" applyProtection="1">
      <alignment horizontal="left" vertical="top" wrapText="1"/>
      <protection locked="0"/>
    </xf>
    <xf numFmtId="0" fontId="14" fillId="7" borderId="21" xfId="0" applyFont="1" applyFill="1" applyBorder="1" applyAlignment="1" applyProtection="1">
      <alignment horizontal="left" vertical="top" wrapText="1"/>
      <protection locked="0"/>
    </xf>
    <xf numFmtId="0" fontId="14" fillId="7" borderId="2" xfId="0" applyFont="1" applyFill="1" applyBorder="1" applyAlignment="1" applyProtection="1">
      <alignment horizontal="left" vertical="top" wrapText="1"/>
      <protection locked="0"/>
    </xf>
    <xf numFmtId="0" fontId="14" fillId="7" borderId="23" xfId="0" applyFont="1" applyFill="1" applyBorder="1" applyAlignment="1" applyProtection="1">
      <alignment horizontal="left" vertical="top" wrapText="1"/>
      <protection locked="0"/>
    </xf>
    <xf numFmtId="165" fontId="18" fillId="5" borderId="8" xfId="0" applyNumberFormat="1" applyFont="1" applyFill="1" applyBorder="1" applyAlignment="1" applyProtection="1">
      <alignment horizontal="center" vertical="center"/>
      <protection locked="0"/>
    </xf>
    <xf numFmtId="0" fontId="18" fillId="2" borderId="18" xfId="0" applyFont="1" applyFill="1" applyBorder="1" applyAlignment="1">
      <alignment horizontal="center" vertical="center"/>
    </xf>
    <xf numFmtId="0" fontId="18" fillId="2" borderId="14" xfId="0" applyFont="1" applyFill="1" applyBorder="1" applyAlignment="1">
      <alignment horizontal="center" vertical="center"/>
    </xf>
    <xf numFmtId="165" fontId="17" fillId="2" borderId="18" xfId="0" applyNumberFormat="1" applyFont="1" applyFill="1" applyBorder="1" applyAlignment="1">
      <alignment horizontal="center" vertical="center"/>
    </xf>
    <xf numFmtId="165" fontId="17" fillId="2" borderId="19" xfId="0" applyNumberFormat="1" applyFont="1" applyFill="1" applyBorder="1" applyAlignment="1">
      <alignment horizontal="center" vertical="center"/>
    </xf>
    <xf numFmtId="165" fontId="17" fillId="2" borderId="14" xfId="0" applyNumberFormat="1" applyFont="1" applyFill="1" applyBorder="1" applyAlignment="1">
      <alignment horizontal="center" vertical="center"/>
    </xf>
    <xf numFmtId="165" fontId="17" fillId="2" borderId="10" xfId="0" applyNumberFormat="1" applyFont="1" applyFill="1" applyBorder="1" applyAlignment="1">
      <alignment horizontal="center" vertical="center"/>
    </xf>
    <xf numFmtId="165" fontId="17" fillId="2" borderId="9" xfId="0" applyNumberFormat="1" applyFont="1" applyFill="1" applyBorder="1" applyAlignment="1">
      <alignment horizontal="center" vertical="center"/>
    </xf>
    <xf numFmtId="165" fontId="17" fillId="2" borderId="11" xfId="0" applyNumberFormat="1" applyFont="1" applyFill="1" applyBorder="1" applyAlignment="1">
      <alignment horizontal="center" vertical="center"/>
    </xf>
    <xf numFmtId="0" fontId="14" fillId="0" borderId="10" xfId="0" applyFont="1" applyBorder="1" applyAlignment="1">
      <alignment horizontal="right" vertical="center"/>
    </xf>
    <xf numFmtId="0" fontId="14" fillId="0" borderId="9" xfId="0" applyFont="1" applyBorder="1" applyAlignment="1">
      <alignment horizontal="right" vertical="center"/>
    </xf>
    <xf numFmtId="0" fontId="14" fillId="0" borderId="11" xfId="0" applyFont="1" applyBorder="1" applyAlignment="1">
      <alignment horizontal="right" vertical="center"/>
    </xf>
    <xf numFmtId="0" fontId="14" fillId="0" borderId="26" xfId="0" applyFont="1" applyBorder="1" applyAlignment="1">
      <alignment horizontal="right" vertical="center"/>
    </xf>
    <xf numFmtId="0" fontId="0" fillId="0" borderId="19" xfId="0" applyBorder="1"/>
    <xf numFmtId="0" fontId="0" fillId="0" borderId="14" xfId="0" applyBorder="1"/>
    <xf numFmtId="165" fontId="17" fillId="2" borderId="8" xfId="0" applyNumberFormat="1" applyFont="1" applyFill="1" applyBorder="1" applyAlignment="1">
      <alignment horizontal="center" vertical="center"/>
    </xf>
    <xf numFmtId="0" fontId="14" fillId="0" borderId="0" xfId="0" applyFont="1" applyAlignment="1">
      <alignment horizontal="left" wrapText="1"/>
    </xf>
    <xf numFmtId="0" fontId="14" fillId="0" borderId="1" xfId="0" applyFont="1" applyBorder="1" applyAlignment="1">
      <alignment horizontal="left" wrapText="1"/>
    </xf>
    <xf numFmtId="0" fontId="22" fillId="0" borderId="0" xfId="0" applyFont="1"/>
    <xf numFmtId="0" fontId="35" fillId="0" borderId="0" xfId="0" applyFont="1"/>
    <xf numFmtId="0" fontId="35" fillId="0" borderId="7" xfId="0" applyFont="1" applyBorder="1"/>
    <xf numFmtId="0" fontId="135" fillId="0" borderId="6" xfId="0" applyFont="1" applyBorder="1" applyAlignment="1">
      <alignment horizontal="center"/>
    </xf>
    <xf numFmtId="0" fontId="135" fillId="0" borderId="0" xfId="0" applyFont="1" applyAlignment="1">
      <alignment horizontal="center"/>
    </xf>
    <xf numFmtId="0" fontId="14" fillId="0" borderId="7" xfId="0" quotePrefix="1" applyFont="1" applyBorder="1" applyAlignment="1">
      <alignment horizontal="center" vertical="center"/>
    </xf>
    <xf numFmtId="165" fontId="14" fillId="0" borderId="0" xfId="0" applyNumberFormat="1" applyFont="1" applyAlignment="1">
      <alignment horizontal="center" vertical="center"/>
    </xf>
    <xf numFmtId="0" fontId="35" fillId="0" borderId="26" xfId="0" applyFont="1" applyBorder="1" applyAlignment="1">
      <alignment horizontal="center"/>
    </xf>
    <xf numFmtId="0" fontId="35" fillId="0" borderId="14" xfId="0" applyFont="1" applyBorder="1" applyAlignment="1">
      <alignment horizontal="center"/>
    </xf>
    <xf numFmtId="0" fontId="35" fillId="0" borderId="52" xfId="0" applyFont="1" applyBorder="1" applyAlignment="1">
      <alignment horizontal="center"/>
    </xf>
    <xf numFmtId="0" fontId="35" fillId="0" borderId="8" xfId="0" applyFont="1" applyBorder="1" applyAlignment="1">
      <alignment horizontal="center"/>
    </xf>
    <xf numFmtId="49" fontId="16" fillId="2" borderId="37"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38" xfId="0" applyNumberFormat="1" applyFont="1" applyFill="1" applyBorder="1" applyAlignment="1">
      <alignment horizontal="left" vertical="center" wrapText="1"/>
    </xf>
    <xf numFmtId="0" fontId="14" fillId="0" borderId="37" xfId="0" applyFont="1" applyBorder="1" applyAlignment="1">
      <alignment horizontal="center" vertical="center"/>
    </xf>
    <xf numFmtId="0" fontId="14" fillId="0" borderId="4" xfId="0" applyFont="1" applyBorder="1" applyAlignment="1">
      <alignment horizontal="center" vertical="center"/>
    </xf>
    <xf numFmtId="165" fontId="13" fillId="0" borderId="19" xfId="0" applyNumberFormat="1" applyFont="1" applyBorder="1" applyAlignment="1">
      <alignment horizontal="center" vertical="center"/>
    </xf>
    <xf numFmtId="0" fontId="14" fillId="7" borderId="26" xfId="0" applyFont="1" applyFill="1" applyBorder="1" applyAlignment="1" applyProtection="1">
      <alignment horizontal="left" vertical="top" wrapText="1"/>
      <protection locked="0"/>
    </xf>
    <xf numFmtId="0" fontId="0" fillId="7" borderId="19" xfId="0" applyFill="1" applyBorder="1" applyAlignment="1" applyProtection="1">
      <alignment horizontal="left" vertical="top" wrapText="1"/>
      <protection locked="0"/>
    </xf>
    <xf numFmtId="0" fontId="0" fillId="7" borderId="39" xfId="0" applyFill="1" applyBorder="1" applyAlignment="1" applyProtection="1">
      <alignment horizontal="left" vertical="top" wrapText="1"/>
      <protection locked="0"/>
    </xf>
    <xf numFmtId="0" fontId="14" fillId="0" borderId="37" xfId="0" applyFont="1"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38" xfId="0" applyBorder="1" applyAlignment="1">
      <alignment horizontal="left" vertical="center"/>
    </xf>
    <xf numFmtId="0" fontId="0" fillId="0" borderId="0" xfId="0" applyAlignment="1">
      <alignment horizontal="left" vertical="center"/>
    </xf>
    <xf numFmtId="1" fontId="14" fillId="5" borderId="3" xfId="0" applyNumberFormat="1" applyFont="1" applyFill="1" applyBorder="1" applyAlignment="1" applyProtection="1">
      <alignment horizontal="center" vertical="center"/>
      <protection locked="0"/>
    </xf>
    <xf numFmtId="1" fontId="14" fillId="5" borderId="5" xfId="0" applyNumberFormat="1" applyFont="1" applyFill="1" applyBorder="1" applyAlignment="1" applyProtection="1">
      <alignment horizontal="center" vertical="center"/>
      <protection locked="0"/>
    </xf>
    <xf numFmtId="0" fontId="126" fillId="0" borderId="0" xfId="0" applyFont="1" applyAlignment="1">
      <alignment horizontal="left" vertical="top" wrapText="1"/>
    </xf>
    <xf numFmtId="49" fontId="16" fillId="2" borderId="26" xfId="0" applyNumberFormat="1" applyFont="1" applyFill="1" applyBorder="1" applyAlignment="1">
      <alignment horizontal="left" vertical="center" wrapText="1"/>
    </xf>
    <xf numFmtId="49" fontId="16" fillId="2" borderId="19" xfId="0" applyNumberFormat="1" applyFont="1" applyFill="1" applyBorder="1" applyAlignment="1">
      <alignment horizontal="left" vertical="center" wrapText="1"/>
    </xf>
    <xf numFmtId="49" fontId="16" fillId="2" borderId="39" xfId="0" applyNumberFormat="1" applyFont="1" applyFill="1" applyBorder="1" applyAlignment="1">
      <alignment horizontal="left" vertical="center" wrapText="1"/>
    </xf>
    <xf numFmtId="0" fontId="14" fillId="2" borderId="20" xfId="0" applyFont="1" applyFill="1" applyBorder="1" applyAlignment="1">
      <alignment horizontal="right"/>
    </xf>
    <xf numFmtId="49" fontId="16" fillId="0" borderId="0" xfId="0" applyNumberFormat="1" applyFont="1" applyAlignment="1">
      <alignment horizontal="left" vertical="center" wrapText="1"/>
    </xf>
    <xf numFmtId="165" fontId="12" fillId="5" borderId="14" xfId="0" applyNumberFormat="1" applyFont="1" applyFill="1" applyBorder="1" applyAlignment="1" applyProtection="1">
      <alignment horizontal="center" vertical="center"/>
      <protection locked="0"/>
    </xf>
    <xf numFmtId="0" fontId="14" fillId="2" borderId="20" xfId="0" applyFont="1" applyFill="1" applyBorder="1" applyAlignment="1">
      <alignment horizontal="left"/>
    </xf>
    <xf numFmtId="49" fontId="16" fillId="5" borderId="18" xfId="0" applyNumberFormat="1" applyFont="1" applyFill="1" applyBorder="1" applyAlignment="1" applyProtection="1">
      <alignment horizontal="center" vertical="center" wrapText="1"/>
      <protection locked="0"/>
    </xf>
    <xf numFmtId="49" fontId="16" fillId="5" borderId="19" xfId="0" applyNumberFormat="1" applyFont="1" applyFill="1" applyBorder="1" applyAlignment="1" applyProtection="1">
      <alignment horizontal="center" vertical="center" wrapText="1"/>
      <protection locked="0"/>
    </xf>
    <xf numFmtId="49" fontId="16" fillId="5" borderId="14" xfId="0" applyNumberFormat="1" applyFont="1" applyFill="1" applyBorder="1" applyAlignment="1" applyProtection="1">
      <alignment horizontal="center" vertical="center" wrapText="1"/>
      <protection locked="0"/>
    </xf>
    <xf numFmtId="49" fontId="14" fillId="5" borderId="18" xfId="0" applyNumberFormat="1" applyFont="1" applyFill="1" applyBorder="1" applyAlignment="1" applyProtection="1">
      <alignment horizontal="center" vertical="center"/>
      <protection locked="0"/>
    </xf>
    <xf numFmtId="49" fontId="14" fillId="5" borderId="19" xfId="0" applyNumberFormat="1" applyFont="1" applyFill="1" applyBorder="1" applyAlignment="1" applyProtection="1">
      <alignment horizontal="center" vertical="center"/>
      <protection locked="0"/>
    </xf>
    <xf numFmtId="49" fontId="14" fillId="5" borderId="14" xfId="0" applyNumberFormat="1" applyFont="1" applyFill="1" applyBorder="1" applyAlignment="1" applyProtection="1">
      <alignment horizontal="center" vertical="center"/>
      <protection locked="0"/>
    </xf>
    <xf numFmtId="0" fontId="18" fillId="0" borderId="0" xfId="0" applyFont="1" applyAlignment="1">
      <alignment horizontal="left" vertical="top"/>
    </xf>
    <xf numFmtId="0" fontId="18" fillId="0" borderId="7" xfId="0" applyFont="1" applyBorder="1" applyAlignment="1">
      <alignment horizontal="left" vertical="top"/>
    </xf>
    <xf numFmtId="0" fontId="14" fillId="4" borderId="18" xfId="0" applyFont="1" applyFill="1" applyBorder="1" applyAlignment="1">
      <alignment horizontal="center" vertical="center"/>
    </xf>
    <xf numFmtId="0" fontId="14" fillId="4" borderId="14" xfId="0" applyFont="1" applyFill="1" applyBorder="1" applyAlignment="1">
      <alignment horizontal="center" vertical="center"/>
    </xf>
    <xf numFmtId="165" fontId="14" fillId="5" borderId="0" xfId="0" applyNumberFormat="1" applyFont="1" applyFill="1" applyAlignment="1">
      <alignment horizontal="center" vertical="center"/>
    </xf>
    <xf numFmtId="165" fontId="12" fillId="5" borderId="0" xfId="0" applyNumberFormat="1" applyFont="1" applyFill="1" applyAlignment="1">
      <alignment horizontal="center" vertical="center"/>
    </xf>
    <xf numFmtId="165" fontId="14" fillId="2" borderId="18" xfId="0" applyNumberFormat="1" applyFont="1" applyFill="1" applyBorder="1" applyAlignment="1" applyProtection="1">
      <alignment horizontal="center" vertical="center"/>
      <protection hidden="1"/>
    </xf>
    <xf numFmtId="165" fontId="14" fillId="2" borderId="14" xfId="0" applyNumberFormat="1" applyFont="1" applyFill="1" applyBorder="1" applyAlignment="1" applyProtection="1">
      <alignment horizontal="center" vertical="center"/>
      <protection hidden="1"/>
    </xf>
    <xf numFmtId="165" fontId="14" fillId="4" borderId="18" xfId="0" applyNumberFormat="1" applyFont="1" applyFill="1" applyBorder="1" applyAlignment="1">
      <alignment horizontal="center" vertical="center"/>
    </xf>
    <xf numFmtId="165" fontId="14" fillId="4" borderId="14" xfId="0" applyNumberFormat="1" applyFont="1" applyFill="1" applyBorder="1" applyAlignment="1">
      <alignment horizontal="center" vertical="center"/>
    </xf>
    <xf numFmtId="165" fontId="14" fillId="4" borderId="18" xfId="0" applyNumberFormat="1" applyFont="1" applyFill="1" applyBorder="1" applyAlignment="1" applyProtection="1">
      <alignment horizontal="center" vertical="center"/>
      <protection hidden="1"/>
    </xf>
    <xf numFmtId="165" fontId="14" fillId="4" borderId="14" xfId="0" applyNumberFormat="1" applyFont="1" applyFill="1" applyBorder="1" applyAlignment="1" applyProtection="1">
      <alignment horizontal="center" vertical="center"/>
      <protection hidden="1"/>
    </xf>
    <xf numFmtId="1" fontId="16" fillId="0" borderId="0" xfId="0" applyNumberFormat="1" applyFont="1" applyAlignment="1">
      <alignment horizontal="right" vertical="center"/>
    </xf>
    <xf numFmtId="0" fontId="18" fillId="0" borderId="6" xfId="0" applyFont="1" applyBorder="1" applyAlignment="1">
      <alignment horizontal="left" vertical="center"/>
    </xf>
    <xf numFmtId="0" fontId="18" fillId="0" borderId="7" xfId="0" applyFont="1" applyBorder="1" applyAlignment="1">
      <alignment horizontal="left" vertical="center"/>
    </xf>
    <xf numFmtId="165" fontId="18" fillId="0" borderId="6" xfId="0" applyNumberFormat="1" applyFont="1" applyBorder="1" applyAlignment="1">
      <alignment horizontal="left" vertical="center"/>
    </xf>
    <xf numFmtId="165" fontId="18" fillId="0" borderId="7" xfId="0" applyNumberFormat="1" applyFont="1" applyBorder="1" applyAlignment="1">
      <alignment horizontal="left" vertical="center"/>
    </xf>
    <xf numFmtId="0" fontId="14" fillId="8" borderId="33" xfId="0" applyFont="1" applyFill="1" applyBorder="1" applyAlignment="1">
      <alignment horizontal="right" vertical="center"/>
    </xf>
    <xf numFmtId="0" fontId="16" fillId="2" borderId="33" xfId="0" applyFont="1" applyFill="1" applyBorder="1" applyAlignment="1">
      <alignment horizontal="left" vertical="center"/>
    </xf>
    <xf numFmtId="0" fontId="14" fillId="2" borderId="33" xfId="0" applyFont="1" applyFill="1" applyBorder="1" applyAlignment="1">
      <alignment horizontal="left" vertical="center"/>
    </xf>
    <xf numFmtId="0" fontId="16" fillId="7" borderId="18" xfId="0" applyFont="1" applyFill="1" applyBorder="1" applyAlignment="1" applyProtection="1">
      <alignment horizontal="center" vertical="center"/>
      <protection locked="0"/>
    </xf>
    <xf numFmtId="0" fontId="16" fillId="7" borderId="19" xfId="0" applyFont="1" applyFill="1" applyBorder="1" applyAlignment="1" applyProtection="1">
      <alignment horizontal="center" vertical="center"/>
      <protection locked="0"/>
    </xf>
    <xf numFmtId="0" fontId="16" fillId="7" borderId="14" xfId="0" applyFont="1" applyFill="1" applyBorder="1" applyAlignment="1" applyProtection="1">
      <alignment horizontal="center" vertical="center"/>
      <protection locked="0"/>
    </xf>
    <xf numFmtId="0" fontId="16" fillId="2" borderId="26" xfId="0" applyFont="1" applyFill="1" applyBorder="1" applyAlignment="1">
      <alignment horizontal="left" vertical="center"/>
    </xf>
    <xf numFmtId="0" fontId="16" fillId="2" borderId="19" xfId="0" applyFont="1" applyFill="1" applyBorder="1" applyAlignment="1">
      <alignment horizontal="left" vertical="center"/>
    </xf>
    <xf numFmtId="0" fontId="16" fillId="2" borderId="39" xfId="0" applyFont="1" applyFill="1" applyBorder="1" applyAlignment="1">
      <alignment horizontal="left" vertical="center"/>
    </xf>
    <xf numFmtId="1" fontId="14" fillId="5" borderId="19" xfId="0" applyNumberFormat="1" applyFont="1" applyFill="1" applyBorder="1" applyAlignment="1" applyProtection="1">
      <alignment horizontal="center" vertical="center"/>
      <protection locked="0"/>
    </xf>
    <xf numFmtId="0" fontId="21" fillId="0" borderId="0" xfId="0" applyFont="1" applyAlignment="1">
      <alignment horizontal="left" vertical="top" wrapText="1"/>
    </xf>
    <xf numFmtId="0" fontId="21" fillId="0" borderId="1" xfId="0" applyFont="1" applyBorder="1" applyAlignment="1">
      <alignment horizontal="left" vertical="top" wrapText="1"/>
    </xf>
    <xf numFmtId="0" fontId="12" fillId="2" borderId="14" xfId="0" applyFont="1" applyFill="1" applyBorder="1" applyAlignment="1">
      <alignment horizontal="center" vertical="center"/>
    </xf>
    <xf numFmtId="164" fontId="14" fillId="2" borderId="18" xfId="0" quotePrefix="1" applyNumberFormat="1" applyFont="1" applyFill="1" applyBorder="1" applyAlignment="1">
      <alignment horizontal="center" vertical="center"/>
    </xf>
    <xf numFmtId="164" fontId="14" fillId="2" borderId="14" xfId="0" quotePrefix="1" applyNumberFormat="1" applyFont="1" applyFill="1" applyBorder="1" applyAlignment="1">
      <alignment horizontal="center" vertical="center"/>
    </xf>
    <xf numFmtId="0" fontId="18" fillId="0" borderId="0" xfId="0" applyFont="1" applyAlignment="1">
      <alignment horizontal="left" vertical="center"/>
    </xf>
    <xf numFmtId="186" fontId="14" fillId="8" borderId="18" xfId="0" applyNumberFormat="1" applyFont="1" applyFill="1" applyBorder="1" applyAlignment="1">
      <alignment horizontal="center" vertical="center"/>
    </xf>
    <xf numFmtId="186" fontId="14" fillId="2" borderId="14" xfId="0" applyNumberFormat="1" applyFont="1" applyFill="1" applyBorder="1" applyAlignment="1">
      <alignment horizontal="center" vertical="center"/>
    </xf>
    <xf numFmtId="0" fontId="18" fillId="0" borderId="6" xfId="23" applyFont="1" applyBorder="1" applyAlignment="1">
      <alignment horizontal="left" vertical="center"/>
    </xf>
    <xf numFmtId="0" fontId="18" fillId="0" borderId="7" xfId="23" applyFont="1" applyBorder="1" applyAlignment="1">
      <alignment horizontal="left" vertical="center"/>
    </xf>
    <xf numFmtId="0" fontId="18" fillId="0" borderId="0" xfId="23" applyFont="1" applyAlignment="1">
      <alignment horizontal="left" vertical="center"/>
    </xf>
    <xf numFmtId="0" fontId="15" fillId="0" borderId="0" xfId="23" applyFont="1" applyAlignment="1">
      <alignment horizontal="right" vertical="center"/>
    </xf>
    <xf numFmtId="0" fontId="15" fillId="0" borderId="7" xfId="23" applyFont="1" applyBorder="1" applyAlignment="1">
      <alignment horizontal="right" vertical="center"/>
    </xf>
    <xf numFmtId="0" fontId="15" fillId="0" borderId="0" xfId="23" applyFont="1" applyAlignment="1">
      <alignment horizontal="right" vertical="top"/>
    </xf>
    <xf numFmtId="0" fontId="15" fillId="0" borderId="0" xfId="23" applyFont="1" applyAlignment="1">
      <alignment horizontal="right" wrapText="1"/>
    </xf>
    <xf numFmtId="0" fontId="15" fillId="0" borderId="0" xfId="23" applyFont="1" applyAlignment="1">
      <alignment horizontal="left" vertical="center" wrapText="1"/>
    </xf>
    <xf numFmtId="49" fontId="34" fillId="0" borderId="2" xfId="0" applyNumberFormat="1" applyFont="1" applyBorder="1" applyAlignment="1">
      <alignment horizontal="center" vertical="center" wrapText="1"/>
    </xf>
    <xf numFmtId="1" fontId="14" fillId="9" borderId="18" xfId="0" applyNumberFormat="1" applyFont="1" applyFill="1" applyBorder="1" applyAlignment="1">
      <alignment horizontal="center" vertical="center"/>
    </xf>
    <xf numFmtId="1" fontId="14" fillId="9" borderId="14" xfId="0" applyNumberFormat="1" applyFont="1" applyFill="1" applyBorder="1" applyAlignment="1">
      <alignment horizontal="center" vertical="center"/>
    </xf>
    <xf numFmtId="0" fontId="12" fillId="2" borderId="8" xfId="23" applyFill="1" applyBorder="1" applyAlignment="1">
      <alignment horizontal="center" vertical="center"/>
    </xf>
    <xf numFmtId="0" fontId="120" fillId="0" borderId="0" xfId="0" applyFont="1" applyAlignment="1">
      <alignment horizontal="left" vertical="top" wrapText="1"/>
    </xf>
    <xf numFmtId="0" fontId="120" fillId="0" borderId="1" xfId="0" applyFont="1" applyBorder="1" applyAlignment="1">
      <alignment horizontal="left" vertical="top" wrapText="1"/>
    </xf>
    <xf numFmtId="0" fontId="16" fillId="2" borderId="52" xfId="0" applyFont="1" applyFill="1" applyBorder="1" applyAlignment="1">
      <alignment horizontal="left" vertical="center"/>
    </xf>
    <xf numFmtId="0" fontId="16" fillId="2" borderId="8" xfId="0" applyFont="1" applyFill="1" applyBorder="1" applyAlignment="1">
      <alignment horizontal="left" vertical="center"/>
    </xf>
    <xf numFmtId="0" fontId="16" fillId="2" borderId="17" xfId="0" applyFont="1" applyFill="1" applyBorder="1" applyAlignment="1">
      <alignment horizontal="left" vertical="center"/>
    </xf>
    <xf numFmtId="0" fontId="16" fillId="7" borderId="8" xfId="0" applyFont="1" applyFill="1" applyBorder="1" applyAlignment="1" applyProtection="1">
      <alignment horizontal="center" vertical="center"/>
      <protection locked="0"/>
    </xf>
    <xf numFmtId="1" fontId="16" fillId="11" borderId="0" xfId="23" applyNumberFormat="1" applyFont="1" applyFill="1" applyAlignment="1">
      <alignment horizontal="center" vertical="center"/>
    </xf>
    <xf numFmtId="0" fontId="14" fillId="7" borderId="18" xfId="23" applyFont="1" applyFill="1" applyBorder="1" applyAlignment="1" applyProtection="1">
      <alignment horizontal="center" vertical="center"/>
      <protection locked="0"/>
    </xf>
    <xf numFmtId="0" fontId="14" fillId="7" borderId="14" xfId="23" applyFont="1" applyFill="1" applyBorder="1" applyAlignment="1" applyProtection="1">
      <alignment horizontal="center" vertical="center"/>
      <protection locked="0"/>
    </xf>
    <xf numFmtId="0" fontId="14" fillId="0" borderId="7" xfId="23" applyFont="1" applyBorder="1" applyAlignment="1">
      <alignment horizontal="center" vertical="center"/>
    </xf>
    <xf numFmtId="165" fontId="14" fillId="7" borderId="8" xfId="0" applyNumberFormat="1" applyFont="1" applyFill="1" applyBorder="1" applyAlignment="1" applyProtection="1">
      <alignment horizontal="center" vertical="center"/>
      <protection locked="0"/>
    </xf>
    <xf numFmtId="0" fontId="16" fillId="11" borderId="26" xfId="0" quotePrefix="1" applyFont="1" applyFill="1" applyBorder="1" applyAlignment="1">
      <alignment horizontal="center" vertical="center"/>
    </xf>
    <xf numFmtId="0" fontId="16" fillId="11" borderId="19" xfId="0" quotePrefix="1" applyFont="1" applyFill="1" applyBorder="1" applyAlignment="1">
      <alignment horizontal="center" vertical="center"/>
    </xf>
    <xf numFmtId="0" fontId="51" fillId="0" borderId="6" xfId="23" applyFont="1" applyBorder="1" applyAlignment="1">
      <alignment horizontal="center" vertical="center"/>
    </xf>
    <xf numFmtId="0" fontId="51" fillId="0" borderId="0" xfId="23" applyFont="1" applyAlignment="1">
      <alignment horizontal="center" vertical="center"/>
    </xf>
    <xf numFmtId="0" fontId="51" fillId="0" borderId="7" xfId="23" applyFont="1" applyBorder="1" applyAlignment="1">
      <alignment horizontal="center" vertical="center"/>
    </xf>
    <xf numFmtId="0" fontId="117" fillId="0" borderId="0" xfId="0" applyFont="1" applyAlignment="1">
      <alignment horizontal="center" vertical="center" wrapText="1"/>
    </xf>
    <xf numFmtId="0" fontId="16" fillId="0" borderId="0" xfId="23" applyFont="1" applyAlignment="1">
      <alignment horizontal="center" vertical="center"/>
    </xf>
    <xf numFmtId="168" fontId="14" fillId="0" borderId="6" xfId="23" applyNumberFormat="1" applyFont="1" applyBorder="1" applyAlignment="1">
      <alignment horizontal="left" vertical="center"/>
    </xf>
    <xf numFmtId="168" fontId="14" fillId="0" borderId="0" xfId="23" applyNumberFormat="1" applyFont="1" applyAlignment="1">
      <alignment horizontal="left" vertical="center"/>
    </xf>
    <xf numFmtId="0" fontId="14" fillId="0" borderId="9" xfId="0" applyFont="1" applyBorder="1" applyAlignment="1">
      <alignment horizontal="left" vertical="top" wrapText="1"/>
    </xf>
    <xf numFmtId="0" fontId="14" fillId="0" borderId="36" xfId="0" applyFont="1" applyBorder="1" applyAlignment="1">
      <alignment horizontal="left" vertical="top" wrapText="1"/>
    </xf>
    <xf numFmtId="164" fontId="14" fillId="8" borderId="18" xfId="0" applyNumberFormat="1" applyFont="1" applyFill="1" applyBorder="1" applyAlignment="1">
      <alignment horizontal="center" vertical="center"/>
    </xf>
    <xf numFmtId="164" fontId="14" fillId="8" borderId="14" xfId="0" applyNumberFormat="1" applyFont="1" applyFill="1" applyBorder="1" applyAlignment="1">
      <alignment horizontal="center" vertical="center"/>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176" fontId="65" fillId="2" borderId="8" xfId="0" applyNumberFormat="1" applyFont="1" applyFill="1" applyBorder="1" applyAlignment="1">
      <alignment horizontal="center" vertical="center"/>
    </xf>
    <xf numFmtId="0" fontId="64" fillId="2" borderId="26" xfId="0" applyFont="1" applyFill="1" applyBorder="1" applyAlignment="1">
      <alignment horizontal="left" vertical="center"/>
    </xf>
    <xf numFmtId="0" fontId="64" fillId="2" borderId="19" xfId="0" applyFont="1" applyFill="1" applyBorder="1" applyAlignment="1">
      <alignment horizontal="left" vertical="center"/>
    </xf>
    <xf numFmtId="165" fontId="65" fillId="2" borderId="18" xfId="0" applyNumberFormat="1" applyFont="1" applyFill="1" applyBorder="1" applyAlignment="1">
      <alignment horizontal="center" vertical="center"/>
    </xf>
    <xf numFmtId="165" fontId="65" fillId="2" borderId="14" xfId="0" applyNumberFormat="1" applyFont="1" applyFill="1" applyBorder="1" applyAlignment="1">
      <alignment horizontal="center" vertical="center"/>
    </xf>
    <xf numFmtId="165" fontId="65" fillId="2" borderId="8" xfId="0" applyNumberFormat="1" applyFont="1" applyFill="1" applyBorder="1" applyAlignment="1">
      <alignment horizontal="center" vertical="center"/>
    </xf>
    <xf numFmtId="0" fontId="65" fillId="2" borderId="14" xfId="0" applyFont="1" applyFill="1" applyBorder="1" applyAlignment="1">
      <alignment horizontal="center" vertical="center"/>
    </xf>
    <xf numFmtId="1" fontId="65" fillId="2" borderId="18" xfId="0" applyNumberFormat="1" applyFont="1" applyFill="1" applyBorder="1" applyAlignment="1">
      <alignment horizontal="center" vertical="center"/>
    </xf>
    <xf numFmtId="1" fontId="65" fillId="2" borderId="14" xfId="0" applyNumberFormat="1" applyFont="1" applyFill="1" applyBorder="1" applyAlignment="1">
      <alignment horizontal="center" vertical="center"/>
    </xf>
    <xf numFmtId="0" fontId="65" fillId="7" borderId="18" xfId="0" applyFont="1" applyFill="1" applyBorder="1" applyAlignment="1" applyProtection="1">
      <alignment horizontal="left" vertical="top" wrapText="1"/>
      <protection locked="0"/>
    </xf>
    <xf numFmtId="0" fontId="65" fillId="7" borderId="19" xfId="0" applyFont="1" applyFill="1" applyBorder="1" applyAlignment="1" applyProtection="1">
      <alignment horizontal="left" vertical="top" wrapText="1"/>
      <protection locked="0"/>
    </xf>
    <xf numFmtId="0" fontId="65" fillId="7" borderId="14" xfId="0" applyFont="1" applyFill="1" applyBorder="1" applyAlignment="1" applyProtection="1">
      <alignment horizontal="left" vertical="top" wrapText="1"/>
      <protection locked="0"/>
    </xf>
    <xf numFmtId="0" fontId="64" fillId="0" borderId="8" xfId="0" applyFont="1" applyBorder="1" applyAlignment="1">
      <alignment horizontal="center" vertical="center" wrapText="1"/>
    </xf>
    <xf numFmtId="0" fontId="64" fillId="0" borderId="8" xfId="0" applyFont="1" applyBorder="1" applyAlignment="1">
      <alignment horizontal="center" vertical="center"/>
    </xf>
    <xf numFmtId="0" fontId="65" fillId="2" borderId="8" xfId="0" applyFont="1" applyFill="1" applyBorder="1" applyAlignment="1">
      <alignment horizontal="center" vertical="center"/>
    </xf>
    <xf numFmtId="0" fontId="65" fillId="0" borderId="8" xfId="0" applyFont="1" applyBorder="1" applyAlignment="1">
      <alignment horizontal="center" vertical="center"/>
    </xf>
    <xf numFmtId="0" fontId="77" fillId="0" borderId="14" xfId="0" applyFont="1" applyBorder="1" applyAlignment="1">
      <alignment vertical="center"/>
    </xf>
    <xf numFmtId="176" fontId="65" fillId="2" borderId="18" xfId="0" applyNumberFormat="1" applyFont="1" applyFill="1" applyBorder="1" applyAlignment="1">
      <alignment horizontal="center" vertical="center"/>
    </xf>
    <xf numFmtId="176" fontId="77" fillId="0" borderId="14" xfId="0" applyNumberFormat="1" applyFont="1" applyBorder="1" applyAlignment="1">
      <alignment vertical="center"/>
    </xf>
    <xf numFmtId="176" fontId="65" fillId="2" borderId="14" xfId="0" applyNumberFormat="1" applyFont="1" applyFill="1" applyBorder="1" applyAlignment="1">
      <alignment horizontal="center" vertical="center"/>
    </xf>
    <xf numFmtId="0" fontId="65" fillId="0" borderId="6" xfId="0" applyFont="1" applyBorder="1" applyAlignment="1">
      <alignment horizontal="center" vertical="center"/>
    </xf>
    <xf numFmtId="0" fontId="65" fillId="0" borderId="0" xfId="0" applyFont="1" applyAlignment="1">
      <alignment horizontal="center" vertical="center"/>
    </xf>
    <xf numFmtId="0" fontId="65" fillId="0" borderId="7" xfId="0" applyFont="1" applyBorder="1" applyAlignment="1">
      <alignment horizontal="center" vertical="center"/>
    </xf>
    <xf numFmtId="0" fontId="77" fillId="2" borderId="8" xfId="0" applyFont="1" applyFill="1" applyBorder="1" applyAlignment="1">
      <alignment horizontal="center" vertical="center"/>
    </xf>
    <xf numFmtId="0" fontId="136" fillId="0" borderId="0" xfId="0" applyFont="1" applyAlignment="1">
      <alignment horizontal="center" vertical="center"/>
    </xf>
    <xf numFmtId="0" fontId="74" fillId="0" borderId="0" xfId="0" applyFont="1" applyAlignment="1">
      <alignment horizontal="center" vertical="center" wrapText="1"/>
    </xf>
    <xf numFmtId="0" fontId="65" fillId="5" borderId="18" xfId="0" applyFont="1" applyFill="1" applyBorder="1" applyAlignment="1" applyProtection="1">
      <alignment horizontal="left" vertical="center"/>
      <protection locked="0"/>
    </xf>
    <xf numFmtId="0" fontId="65" fillId="5" borderId="19" xfId="0" applyFont="1" applyFill="1" applyBorder="1" applyAlignment="1" applyProtection="1">
      <alignment horizontal="left" vertical="center"/>
      <protection locked="0"/>
    </xf>
    <xf numFmtId="0" fontId="65" fillId="5" borderId="14" xfId="0" applyFont="1" applyFill="1" applyBorder="1" applyAlignment="1" applyProtection="1">
      <alignment horizontal="left" vertical="center"/>
      <protection locked="0"/>
    </xf>
    <xf numFmtId="0" fontId="65" fillId="0" borderId="0" xfId="0" applyFont="1" applyAlignment="1">
      <alignment horizontal="right" vertical="center"/>
    </xf>
    <xf numFmtId="0" fontId="65" fillId="0" borderId="7" xfId="0" applyFont="1" applyBorder="1" applyAlignment="1">
      <alignment horizontal="right" vertical="center"/>
    </xf>
    <xf numFmtId="0" fontId="14" fillId="2" borderId="33" xfId="0" applyFont="1" applyFill="1" applyBorder="1" applyAlignment="1">
      <alignment horizontal="center" vertical="center"/>
    </xf>
    <xf numFmtId="0" fontId="14" fillId="2" borderId="34" xfId="0" applyFont="1" applyFill="1" applyBorder="1" applyAlignment="1">
      <alignment horizontal="center" vertical="center"/>
    </xf>
    <xf numFmtId="0" fontId="18" fillId="0" borderId="4" xfId="0" applyFont="1" applyBorder="1" applyAlignment="1">
      <alignment horizontal="left" vertical="center" wrapText="1"/>
    </xf>
    <xf numFmtId="0" fontId="64" fillId="2" borderId="39" xfId="0" applyFont="1" applyFill="1" applyBorder="1" applyAlignment="1">
      <alignment horizontal="left" vertical="center"/>
    </xf>
    <xf numFmtId="0" fontId="65" fillId="2" borderId="26" xfId="0" applyFont="1" applyFill="1" applyBorder="1" applyAlignment="1">
      <alignment horizontal="center" vertical="center"/>
    </xf>
    <xf numFmtId="0" fontId="65" fillId="2" borderId="19" xfId="0" applyFont="1" applyFill="1" applyBorder="1" applyAlignment="1">
      <alignment horizontal="center" vertical="center"/>
    </xf>
    <xf numFmtId="0" fontId="65" fillId="2" borderId="18" xfId="0" applyFont="1" applyFill="1" applyBorder="1" applyAlignment="1">
      <alignment horizontal="center" vertical="center"/>
    </xf>
    <xf numFmtId="0" fontId="65" fillId="2" borderId="39" xfId="0" applyFont="1" applyFill="1" applyBorder="1" applyAlignment="1">
      <alignment horizontal="center" vertical="center"/>
    </xf>
    <xf numFmtId="0" fontId="65" fillId="5" borderId="18" xfId="0" applyFont="1" applyFill="1" applyBorder="1" applyAlignment="1" applyProtection="1">
      <alignment horizontal="center" vertical="center"/>
      <protection locked="0"/>
    </xf>
    <xf numFmtId="0" fontId="65" fillId="5" borderId="14" xfId="0" applyFont="1" applyFill="1" applyBorder="1" applyAlignment="1" applyProtection="1">
      <alignment horizontal="center" vertical="center"/>
      <protection locked="0"/>
    </xf>
    <xf numFmtId="1" fontId="65" fillId="0" borderId="0" xfId="0" applyNumberFormat="1" applyFont="1" applyAlignment="1">
      <alignment horizontal="center" vertical="center"/>
    </xf>
    <xf numFmtId="1" fontId="65" fillId="0" borderId="1" xfId="0" applyNumberFormat="1" applyFont="1" applyBorder="1" applyAlignment="1">
      <alignment horizontal="center" vertical="center"/>
    </xf>
    <xf numFmtId="0" fontId="65" fillId="0" borderId="0" xfId="0" applyFont="1" applyAlignment="1">
      <alignment horizontal="left" vertical="center"/>
    </xf>
    <xf numFmtId="0" fontId="65" fillId="0" borderId="0" xfId="0" applyFont="1" applyAlignment="1">
      <alignment horizontal="left" vertical="center" wrapText="1"/>
    </xf>
    <xf numFmtId="0" fontId="65" fillId="0" borderId="7" xfId="0" applyFont="1" applyBorder="1" applyAlignment="1">
      <alignment horizontal="left" vertical="center" wrapText="1"/>
    </xf>
    <xf numFmtId="0" fontId="135" fillId="0" borderId="0" xfId="0" applyFont="1" applyAlignment="1">
      <alignment horizontal="left" vertical="center" wrapText="1"/>
    </xf>
    <xf numFmtId="0" fontId="135" fillId="0" borderId="1" xfId="0" applyFont="1" applyBorder="1" applyAlignment="1">
      <alignment horizontal="left" vertical="center" wrapText="1"/>
    </xf>
    <xf numFmtId="0" fontId="65" fillId="0" borderId="6" xfId="0" applyFont="1" applyBorder="1" applyAlignment="1">
      <alignment horizontal="left" vertical="center"/>
    </xf>
    <xf numFmtId="0" fontId="65" fillId="0" borderId="7" xfId="0" applyFont="1" applyBorder="1" applyAlignment="1">
      <alignment horizontal="left" vertical="center"/>
    </xf>
    <xf numFmtId="176" fontId="65" fillId="2" borderId="19" xfId="0" applyNumberFormat="1" applyFont="1" applyFill="1" applyBorder="1" applyAlignment="1">
      <alignment horizontal="center" vertical="center"/>
    </xf>
    <xf numFmtId="0" fontId="14" fillId="0" borderId="0" xfId="300" applyFont="1" applyAlignment="1">
      <alignment horizontal="center" vertical="center"/>
    </xf>
    <xf numFmtId="0" fontId="149" fillId="0" borderId="22" xfId="300" applyFont="1" applyBorder="1" applyAlignment="1">
      <alignment horizontal="center"/>
    </xf>
    <xf numFmtId="0" fontId="149" fillId="0" borderId="0" xfId="300" applyFont="1" applyAlignment="1">
      <alignment horizontal="center"/>
    </xf>
    <xf numFmtId="0" fontId="102" fillId="7" borderId="8" xfId="300" applyFont="1" applyFill="1" applyBorder="1" applyAlignment="1" applyProtection="1">
      <alignment horizontal="center" vertical="top" wrapText="1"/>
      <protection locked="0"/>
    </xf>
    <xf numFmtId="0" fontId="14" fillId="4" borderId="18" xfId="300" applyFont="1" applyFill="1" applyBorder="1" applyAlignment="1">
      <alignment horizontal="center" vertical="center"/>
    </xf>
    <xf numFmtId="0" fontId="14" fillId="4" borderId="14" xfId="300" applyFont="1" applyFill="1" applyBorder="1" applyAlignment="1">
      <alignment horizontal="center" vertical="center"/>
    </xf>
    <xf numFmtId="0" fontId="15" fillId="0" borderId="0" xfId="300" applyFont="1" applyAlignment="1">
      <alignment horizontal="left" vertical="center"/>
    </xf>
    <xf numFmtId="0" fontId="14" fillId="8" borderId="8" xfId="300" applyFont="1" applyFill="1" applyBorder="1" applyAlignment="1">
      <alignment horizontal="center" vertical="center"/>
    </xf>
    <xf numFmtId="0" fontId="18" fillId="0" borderId="7" xfId="300" applyFont="1" applyBorder="1" applyAlignment="1">
      <alignment horizontal="center" vertical="center"/>
    </xf>
    <xf numFmtId="165" fontId="14" fillId="2" borderId="8" xfId="300" applyNumberFormat="1" applyFont="1" applyFill="1" applyBorder="1" applyAlignment="1">
      <alignment horizontal="center" vertical="center"/>
    </xf>
    <xf numFmtId="0" fontId="14" fillId="0" borderId="6" xfId="300" applyFont="1" applyBorder="1" applyAlignment="1">
      <alignment horizontal="center" vertical="center"/>
    </xf>
    <xf numFmtId="0" fontId="14" fillId="0" borderId="0" xfId="300" applyFont="1" applyAlignment="1">
      <alignment horizontal="left" vertical="center" wrapText="1"/>
    </xf>
    <xf numFmtId="0" fontId="102" fillId="7" borderId="18" xfId="300" applyFont="1" applyFill="1" applyBorder="1" applyAlignment="1" applyProtection="1">
      <alignment horizontal="center"/>
      <protection locked="0"/>
    </xf>
    <xf numFmtId="0" fontId="102" fillId="7" borderId="19" xfId="300" applyFont="1" applyFill="1" applyBorder="1" applyAlignment="1" applyProtection="1">
      <alignment horizontal="center"/>
      <protection locked="0"/>
    </xf>
    <xf numFmtId="0" fontId="102" fillId="7" borderId="14" xfId="300" applyFont="1" applyFill="1" applyBorder="1" applyAlignment="1" applyProtection="1">
      <alignment horizontal="center"/>
      <protection locked="0"/>
    </xf>
    <xf numFmtId="0" fontId="102" fillId="7" borderId="8" xfId="300" applyFont="1" applyFill="1" applyBorder="1" applyAlignment="1" applyProtection="1">
      <alignment horizontal="center"/>
      <protection locked="0"/>
    </xf>
    <xf numFmtId="165" fontId="14" fillId="4" borderId="18" xfId="300" applyNumberFormat="1" applyFont="1" applyFill="1" applyBorder="1" applyAlignment="1">
      <alignment horizontal="center" vertical="center"/>
    </xf>
    <xf numFmtId="165" fontId="14" fillId="4" borderId="14" xfId="300" applyNumberFormat="1" applyFont="1" applyFill="1" applyBorder="1" applyAlignment="1">
      <alignment horizontal="center" vertical="center"/>
    </xf>
    <xf numFmtId="165" fontId="14" fillId="2" borderId="18" xfId="300" applyNumberFormat="1" applyFont="1" applyFill="1" applyBorder="1" applyAlignment="1">
      <alignment horizontal="center" vertical="center"/>
    </xf>
    <xf numFmtId="165" fontId="14" fillId="2" borderId="14" xfId="300" applyNumberFormat="1" applyFont="1" applyFill="1" applyBorder="1" applyAlignment="1">
      <alignment horizontal="center" vertical="center"/>
    </xf>
    <xf numFmtId="0" fontId="102" fillId="0" borderId="0" xfId="300" applyFont="1" applyAlignment="1">
      <alignment horizontal="right"/>
    </xf>
    <xf numFmtId="0" fontId="102" fillId="7" borderId="8" xfId="300" applyFont="1" applyFill="1" applyBorder="1" applyAlignment="1" applyProtection="1">
      <alignment horizontal="left"/>
      <protection locked="0"/>
    </xf>
    <xf numFmtId="0" fontId="4" fillId="7" borderId="18" xfId="300" applyFill="1" applyBorder="1" applyAlignment="1" applyProtection="1">
      <alignment horizontal="center"/>
      <protection locked="0"/>
    </xf>
    <xf numFmtId="0" fontId="4" fillId="7" borderId="19" xfId="300" applyFill="1" applyBorder="1" applyAlignment="1" applyProtection="1">
      <alignment horizontal="center"/>
      <protection locked="0"/>
    </xf>
    <xf numFmtId="0" fontId="4" fillId="7" borderId="14" xfId="300" applyFill="1" applyBorder="1" applyAlignment="1" applyProtection="1">
      <alignment horizontal="center"/>
      <protection locked="0"/>
    </xf>
    <xf numFmtId="0" fontId="102" fillId="0" borderId="6" xfId="300" applyFont="1" applyBorder="1" applyAlignment="1">
      <alignment horizontal="center"/>
    </xf>
    <xf numFmtId="0" fontId="102" fillId="0" borderId="0" xfId="300" applyFont="1" applyAlignment="1">
      <alignment horizontal="center"/>
    </xf>
    <xf numFmtId="0" fontId="102" fillId="0" borderId="7" xfId="300" applyFont="1" applyBorder="1" applyAlignment="1">
      <alignment horizontal="center"/>
    </xf>
    <xf numFmtId="0" fontId="102" fillId="0" borderId="7" xfId="300" applyFont="1" applyBorder="1" applyAlignment="1">
      <alignment horizontal="right"/>
    </xf>
    <xf numFmtId="165" fontId="14" fillId="4" borderId="18" xfId="300" applyNumberFormat="1" applyFont="1" applyFill="1" applyBorder="1" applyAlignment="1" applyProtection="1">
      <alignment horizontal="center" vertical="center"/>
      <protection hidden="1"/>
    </xf>
    <xf numFmtId="165" fontId="14" fillId="4" borderId="14" xfId="300" applyNumberFormat="1" applyFont="1" applyFill="1" applyBorder="1" applyAlignment="1" applyProtection="1">
      <alignment horizontal="center" vertical="center"/>
      <protection hidden="1"/>
    </xf>
    <xf numFmtId="165" fontId="14" fillId="2" borderId="18" xfId="300" applyNumberFormat="1" applyFont="1" applyFill="1" applyBorder="1" applyAlignment="1" applyProtection="1">
      <alignment horizontal="center" vertical="center"/>
      <protection hidden="1"/>
    </xf>
    <xf numFmtId="165" fontId="14" fillId="2" borderId="14" xfId="300" applyNumberFormat="1" applyFont="1" applyFill="1" applyBorder="1" applyAlignment="1" applyProtection="1">
      <alignment horizontal="center" vertical="center"/>
      <protection hidden="1"/>
    </xf>
    <xf numFmtId="0" fontId="102" fillId="0" borderId="6" xfId="300" applyFont="1" applyBorder="1" applyAlignment="1">
      <alignment horizontal="left"/>
    </xf>
    <xf numFmtId="0" fontId="102" fillId="0" borderId="0" xfId="300" applyFont="1" applyAlignment="1">
      <alignment horizontal="left"/>
    </xf>
    <xf numFmtId="0" fontId="102" fillId="0" borderId="22" xfId="300" applyFont="1" applyBorder="1" applyAlignment="1">
      <alignment horizontal="right"/>
    </xf>
    <xf numFmtId="0" fontId="17" fillId="0" borderId="35" xfId="43" applyFont="1" applyBorder="1" applyAlignment="1">
      <alignment horizontal="left" vertical="center"/>
    </xf>
    <xf numFmtId="0" fontId="17" fillId="0" borderId="9" xfId="43" applyFont="1" applyBorder="1" applyAlignment="1">
      <alignment horizontal="left" vertical="center"/>
    </xf>
    <xf numFmtId="0" fontId="148" fillId="0" borderId="9" xfId="43" applyFont="1" applyBorder="1" applyAlignment="1">
      <alignment horizontal="left" vertical="center"/>
    </xf>
    <xf numFmtId="0" fontId="14" fillId="11" borderId="28" xfId="43" applyFont="1" applyFill="1" applyBorder="1" applyAlignment="1">
      <alignment horizontal="center" vertical="center"/>
    </xf>
    <xf numFmtId="0" fontId="14" fillId="11" borderId="29" xfId="43" applyFont="1" applyFill="1" applyBorder="1" applyAlignment="1">
      <alignment horizontal="center" vertical="center"/>
    </xf>
    <xf numFmtId="181" fontId="14" fillId="11" borderId="18" xfId="23" applyNumberFormat="1" applyFont="1" applyFill="1" applyBorder="1" applyAlignment="1">
      <alignment horizontal="center" vertical="center"/>
    </xf>
    <xf numFmtId="181" fontId="14" fillId="11" borderId="14" xfId="23" applyNumberFormat="1" applyFont="1" applyFill="1" applyBorder="1" applyAlignment="1">
      <alignment horizontal="center" vertical="center"/>
    </xf>
    <xf numFmtId="0" fontId="159" fillId="0" borderId="0" xfId="23" applyFont="1" applyAlignment="1">
      <alignment horizontal="left" wrapText="1"/>
    </xf>
    <xf numFmtId="0" fontId="14" fillId="0" borderId="7" xfId="43" applyFont="1" applyBorder="1" applyAlignment="1">
      <alignment horizontal="left" vertical="center"/>
    </xf>
    <xf numFmtId="0" fontId="14" fillId="7" borderId="18" xfId="55" applyFont="1" applyFill="1" applyBorder="1" applyAlignment="1" applyProtection="1">
      <alignment horizontal="center" vertical="center"/>
      <protection locked="0"/>
    </xf>
    <xf numFmtId="0" fontId="14" fillId="7" borderId="19" xfId="55" applyFont="1" applyFill="1" applyBorder="1" applyAlignment="1" applyProtection="1">
      <alignment horizontal="center" vertical="center"/>
      <protection locked="0"/>
    </xf>
    <xf numFmtId="0" fontId="14" fillId="7" borderId="14" xfId="55" applyFont="1" applyFill="1" applyBorder="1" applyAlignment="1" applyProtection="1">
      <alignment horizontal="center" vertical="center"/>
      <protection locked="0"/>
    </xf>
    <xf numFmtId="0" fontId="4" fillId="0" borderId="0" xfId="300" applyAlignment="1">
      <alignment horizontal="right"/>
    </xf>
    <xf numFmtId="2" fontId="14" fillId="0" borderId="0" xfId="23" applyNumberFormat="1" applyFont="1" applyAlignment="1">
      <alignment horizontal="left" vertical="center"/>
    </xf>
    <xf numFmtId="2" fontId="14" fillId="0" borderId="7" xfId="23" applyNumberFormat="1" applyFont="1" applyBorder="1" applyAlignment="1">
      <alignment horizontal="left" vertical="center"/>
    </xf>
    <xf numFmtId="0" fontId="58" fillId="21" borderId="10" xfId="23" applyFont="1" applyFill="1" applyBorder="1" applyAlignment="1">
      <alignment horizontal="center"/>
    </xf>
    <xf numFmtId="0" fontId="58" fillId="21" borderId="3" xfId="23" applyFont="1" applyFill="1" applyBorder="1" applyAlignment="1">
      <alignment horizontal="center"/>
    </xf>
    <xf numFmtId="0" fontId="58" fillId="21" borderId="9" xfId="23" applyFont="1" applyFill="1" applyBorder="1" applyAlignment="1">
      <alignment horizontal="right"/>
    </xf>
    <xf numFmtId="0" fontId="58" fillId="21" borderId="4" xfId="23" applyFont="1" applyFill="1" applyBorder="1" applyAlignment="1">
      <alignment horizontal="right"/>
    </xf>
    <xf numFmtId="0" fontId="58" fillId="21" borderId="11" xfId="23" applyFont="1" applyFill="1" applyBorder="1" applyAlignment="1">
      <alignment horizontal="left"/>
    </xf>
    <xf numFmtId="0" fontId="58" fillId="21" borderId="5" xfId="23" applyFont="1" applyFill="1" applyBorder="1" applyAlignment="1">
      <alignment horizontal="left"/>
    </xf>
    <xf numFmtId="175" fontId="14" fillId="11" borderId="18" xfId="23" applyNumberFormat="1" applyFont="1" applyFill="1" applyBorder="1" applyAlignment="1">
      <alignment horizontal="center" vertical="center"/>
    </xf>
    <xf numFmtId="175" fontId="14" fillId="11" borderId="14" xfId="23" applyNumberFormat="1" applyFont="1" applyFill="1" applyBorder="1" applyAlignment="1">
      <alignment horizontal="center" vertical="center"/>
    </xf>
    <xf numFmtId="0" fontId="22" fillId="0" borderId="6" xfId="23" applyFont="1" applyBorder="1" applyAlignment="1">
      <alignment horizontal="right"/>
    </xf>
    <xf numFmtId="0" fontId="14" fillId="0" borderId="0" xfId="300" applyFont="1" applyAlignment="1">
      <alignment horizontal="left" vertical="center"/>
    </xf>
    <xf numFmtId="181" fontId="14" fillId="11" borderId="8" xfId="23" applyNumberFormat="1" applyFont="1" applyFill="1" applyBorder="1" applyAlignment="1">
      <alignment horizontal="center" vertical="center"/>
    </xf>
    <xf numFmtId="183" fontId="14" fillId="11" borderId="8" xfId="23" applyNumberFormat="1" applyFont="1" applyFill="1" applyBorder="1" applyAlignment="1">
      <alignment horizontal="center" vertical="center"/>
    </xf>
    <xf numFmtId="0" fontId="14" fillId="0" borderId="7" xfId="300" applyFont="1" applyBorder="1" applyAlignment="1">
      <alignment horizontal="center" vertical="center"/>
    </xf>
    <xf numFmtId="0" fontId="14" fillId="7" borderId="10" xfId="23" applyFont="1" applyFill="1" applyBorder="1" applyAlignment="1" applyProtection="1">
      <alignment horizontal="left" vertical="top" wrapText="1"/>
      <protection locked="0"/>
    </xf>
    <xf numFmtId="0" fontId="14" fillId="7" borderId="9" xfId="23" applyFont="1" applyFill="1" applyBorder="1" applyAlignment="1" applyProtection="1">
      <alignment horizontal="left" vertical="top" wrapText="1"/>
      <protection locked="0"/>
    </xf>
    <xf numFmtId="0" fontId="14" fillId="7" borderId="11" xfId="23" applyFont="1" applyFill="1" applyBorder="1" applyAlignment="1" applyProtection="1">
      <alignment horizontal="left" vertical="top" wrapText="1"/>
      <protection locked="0"/>
    </xf>
    <xf numFmtId="0" fontId="14" fillId="7" borderId="3" xfId="23" applyFont="1" applyFill="1" applyBorder="1" applyAlignment="1" applyProtection="1">
      <alignment horizontal="left" vertical="top" wrapText="1"/>
      <protection locked="0"/>
    </xf>
    <xf numFmtId="0" fontId="14" fillId="7" borderId="4" xfId="23" applyFont="1" applyFill="1" applyBorder="1" applyAlignment="1" applyProtection="1">
      <alignment horizontal="left" vertical="top" wrapText="1"/>
      <protection locked="0"/>
    </xf>
    <xf numFmtId="0" fontId="14" fillId="7" borderId="5" xfId="23" applyFont="1" applyFill="1" applyBorder="1" applyAlignment="1" applyProtection="1">
      <alignment horizontal="left" vertical="top" wrapText="1"/>
      <protection locked="0"/>
    </xf>
    <xf numFmtId="0" fontId="94" fillId="0" borderId="0" xfId="23" applyFont="1" applyAlignment="1">
      <alignment horizontal="left" vertical="center"/>
    </xf>
    <xf numFmtId="181" fontId="94" fillId="7" borderId="18" xfId="23" applyNumberFormat="1" applyFont="1" applyFill="1" applyBorder="1" applyAlignment="1" applyProtection="1">
      <alignment horizontal="center" vertical="center" wrapText="1"/>
      <protection locked="0"/>
    </xf>
    <xf numFmtId="181" fontId="94" fillId="7" borderId="14" xfId="23" applyNumberFormat="1" applyFont="1" applyFill="1" applyBorder="1" applyAlignment="1" applyProtection="1">
      <alignment horizontal="center" vertical="center" wrapText="1"/>
      <protection locked="0"/>
    </xf>
    <xf numFmtId="0" fontId="16" fillId="0" borderId="0" xfId="23" applyFont="1" applyAlignment="1">
      <alignment horizontal="right" vertical="center"/>
    </xf>
    <xf numFmtId="181" fontId="94" fillId="7" borderId="8" xfId="23" applyNumberFormat="1" applyFont="1" applyFill="1" applyBorder="1" applyAlignment="1" applyProtection="1">
      <alignment horizontal="center" vertical="center" wrapText="1"/>
      <protection locked="0"/>
    </xf>
    <xf numFmtId="0" fontId="22" fillId="11" borderId="18" xfId="23" applyFont="1" applyFill="1" applyBorder="1" applyAlignment="1">
      <alignment horizontal="center" vertical="center"/>
    </xf>
    <xf numFmtId="0" fontId="22" fillId="11" borderId="19" xfId="23" applyFont="1" applyFill="1" applyBorder="1" applyAlignment="1">
      <alignment horizontal="center" vertical="center"/>
    </xf>
    <xf numFmtId="0" fontId="22" fillId="11" borderId="14" xfId="23" applyFont="1" applyFill="1" applyBorder="1" applyAlignment="1">
      <alignment horizontal="center" vertical="center"/>
    </xf>
    <xf numFmtId="165" fontId="16" fillId="11" borderId="18" xfId="23" applyNumberFormat="1" applyFont="1" applyFill="1" applyBorder="1" applyAlignment="1">
      <alignment horizontal="center" vertical="center"/>
    </xf>
    <xf numFmtId="165" fontId="16" fillId="11" borderId="14" xfId="23" applyNumberFormat="1" applyFont="1" applyFill="1" applyBorder="1" applyAlignment="1">
      <alignment horizontal="center" vertical="center"/>
    </xf>
    <xf numFmtId="0" fontId="94" fillId="0" borderId="6" xfId="300" applyFont="1" applyBorder="1" applyAlignment="1">
      <alignment horizontal="center" vertical="center"/>
    </xf>
    <xf numFmtId="0" fontId="94" fillId="0" borderId="0" xfId="300" applyFont="1" applyAlignment="1">
      <alignment horizontal="center" vertical="center"/>
    </xf>
    <xf numFmtId="0" fontId="94" fillId="0" borderId="7" xfId="300" applyFont="1" applyBorder="1" applyAlignment="1">
      <alignment horizontal="center" vertical="center"/>
    </xf>
    <xf numFmtId="0" fontId="16" fillId="11" borderId="19" xfId="23" applyFont="1" applyFill="1" applyBorder="1" applyAlignment="1">
      <alignment horizontal="left" vertical="center"/>
    </xf>
    <xf numFmtId="0" fontId="16" fillId="11" borderId="14" xfId="23" applyFont="1" applyFill="1" applyBorder="1" applyAlignment="1">
      <alignment horizontal="left" vertical="center"/>
    </xf>
    <xf numFmtId="0" fontId="14" fillId="7" borderId="8" xfId="0" quotePrefix="1" applyFont="1" applyFill="1" applyBorder="1" applyAlignment="1" applyProtection="1">
      <alignment horizontal="center" vertical="center"/>
      <protection locked="0"/>
    </xf>
    <xf numFmtId="1" fontId="14" fillId="7" borderId="19" xfId="0" applyNumberFormat="1" applyFont="1" applyFill="1" applyBorder="1" applyAlignment="1" applyProtection="1">
      <alignment horizontal="center" vertical="center"/>
      <protection locked="0"/>
    </xf>
    <xf numFmtId="0" fontId="14" fillId="7" borderId="18" xfId="23" applyFont="1" applyFill="1" applyBorder="1" applyAlignment="1" applyProtection="1">
      <alignment horizontal="left" vertical="center" indent="1"/>
      <protection locked="0"/>
    </xf>
    <xf numFmtId="0" fontId="14" fillId="7" borderId="19" xfId="23" applyFont="1" applyFill="1" applyBorder="1" applyAlignment="1" applyProtection="1">
      <alignment horizontal="left" vertical="center" indent="1"/>
      <protection locked="0"/>
    </xf>
    <xf numFmtId="0" fontId="14" fillId="7" borderId="14" xfId="23" applyFont="1" applyFill="1" applyBorder="1" applyAlignment="1" applyProtection="1">
      <alignment horizontal="left" vertical="center" indent="1"/>
      <protection locked="0"/>
    </xf>
    <xf numFmtId="1" fontId="37" fillId="5" borderId="18" xfId="23" applyNumberFormat="1" applyFont="1" applyFill="1" applyBorder="1" applyAlignment="1" applyProtection="1">
      <alignment horizontal="center" vertical="center"/>
      <protection locked="0"/>
    </xf>
    <xf numFmtId="1" fontId="37" fillId="5" borderId="14" xfId="23" applyNumberFormat="1" applyFont="1" applyFill="1" applyBorder="1" applyAlignment="1" applyProtection="1">
      <alignment horizontal="center" vertical="center"/>
      <protection locked="0"/>
    </xf>
    <xf numFmtId="0" fontId="14" fillId="11" borderId="8" xfId="55" applyFont="1" applyFill="1" applyBorder="1" applyAlignment="1" applyProtection="1">
      <alignment horizontal="center" vertical="center"/>
      <protection locked="0"/>
    </xf>
    <xf numFmtId="0" fontId="37" fillId="11" borderId="18" xfId="23" applyFont="1" applyFill="1" applyBorder="1" applyAlignment="1">
      <alignment horizontal="center" vertical="center"/>
    </xf>
    <xf numFmtId="0" fontId="37" fillId="11" borderId="14" xfId="23" applyFont="1" applyFill="1" applyBorder="1" applyAlignment="1">
      <alignment horizontal="center" vertical="center"/>
    </xf>
    <xf numFmtId="0" fontId="37" fillId="2" borderId="18" xfId="23" applyFont="1" applyFill="1" applyBorder="1" applyAlignment="1">
      <alignment horizontal="center" vertical="center"/>
    </xf>
    <xf numFmtId="0" fontId="37" fillId="2" borderId="14" xfId="23" applyFont="1" applyFill="1" applyBorder="1" applyAlignment="1">
      <alignment horizontal="center" vertical="center"/>
    </xf>
    <xf numFmtId="2" fontId="37" fillId="5" borderId="18" xfId="23" applyNumberFormat="1" applyFont="1" applyFill="1" applyBorder="1" applyAlignment="1" applyProtection="1">
      <alignment horizontal="center" vertical="center"/>
      <protection locked="0"/>
    </xf>
    <xf numFmtId="2" fontId="37" fillId="5" borderId="14" xfId="23" applyNumberFormat="1" applyFont="1" applyFill="1" applyBorder="1" applyAlignment="1" applyProtection="1">
      <alignment horizontal="center" vertical="center"/>
      <protection locked="0"/>
    </xf>
    <xf numFmtId="0" fontId="75" fillId="2" borderId="18" xfId="23" applyFont="1" applyFill="1" applyBorder="1" applyAlignment="1">
      <alignment horizontal="left"/>
    </xf>
    <xf numFmtId="0" fontId="75" fillId="2" borderId="19" xfId="23" applyFont="1" applyFill="1" applyBorder="1" applyAlignment="1">
      <alignment horizontal="left"/>
    </xf>
    <xf numFmtId="0" fontId="75" fillId="2" borderId="14" xfId="23" applyFont="1" applyFill="1" applyBorder="1" applyAlignment="1">
      <alignment horizontal="left"/>
    </xf>
    <xf numFmtId="0" fontId="74" fillId="0" borderId="4" xfId="301" applyFont="1" applyBorder="1" applyAlignment="1">
      <alignment horizontal="center" vertical="center" wrapText="1"/>
    </xf>
    <xf numFmtId="0" fontId="14" fillId="2" borderId="19" xfId="23" applyFont="1" applyFill="1" applyBorder="1" applyAlignment="1">
      <alignment horizontal="right"/>
    </xf>
    <xf numFmtId="0" fontId="14" fillId="2" borderId="19" xfId="23" applyFont="1" applyFill="1" applyBorder="1" applyAlignment="1">
      <alignment horizontal="left"/>
    </xf>
    <xf numFmtId="1" fontId="14" fillId="7" borderId="18" xfId="23" applyNumberFormat="1" applyFont="1" applyFill="1" applyBorder="1" applyAlignment="1">
      <alignment horizontal="center" vertical="center"/>
    </xf>
    <xf numFmtId="1" fontId="14" fillId="7" borderId="14" xfId="23" applyNumberFormat="1" applyFont="1" applyFill="1" applyBorder="1" applyAlignment="1">
      <alignment horizontal="center" vertical="center"/>
    </xf>
    <xf numFmtId="165" fontId="37" fillId="2" borderId="18" xfId="23" applyNumberFormat="1" applyFont="1" applyFill="1" applyBorder="1" applyAlignment="1">
      <alignment horizontal="center" vertical="center"/>
    </xf>
    <xf numFmtId="165" fontId="12" fillId="0" borderId="14" xfId="23" applyNumberFormat="1" applyBorder="1" applyAlignment="1">
      <alignment horizontal="center" vertical="center"/>
    </xf>
    <xf numFmtId="0" fontId="46" fillId="5" borderId="18" xfId="23" applyFont="1" applyFill="1" applyBorder="1" applyAlignment="1" applyProtection="1">
      <alignment horizontal="center" vertical="center"/>
      <protection locked="0"/>
    </xf>
    <xf numFmtId="0" fontId="46" fillId="5" borderId="14" xfId="23" applyFont="1" applyFill="1" applyBorder="1" applyAlignment="1" applyProtection="1">
      <alignment horizontal="center" vertical="center"/>
      <protection locked="0"/>
    </xf>
    <xf numFmtId="1" fontId="37" fillId="2" borderId="18" xfId="23" applyNumberFormat="1" applyFont="1" applyFill="1" applyBorder="1" applyAlignment="1">
      <alignment horizontal="center" vertical="center"/>
    </xf>
    <xf numFmtId="1" fontId="37" fillId="2" borderId="14" xfId="23" applyNumberFormat="1" applyFont="1" applyFill="1" applyBorder="1" applyAlignment="1">
      <alignment horizontal="center" vertical="center"/>
    </xf>
    <xf numFmtId="2" fontId="37" fillId="16" borderId="18" xfId="23" applyNumberFormat="1" applyFont="1" applyFill="1" applyBorder="1" applyAlignment="1">
      <alignment horizontal="center" vertical="center"/>
    </xf>
    <xf numFmtId="2" fontId="37" fillId="16" borderId="14" xfId="23" applyNumberFormat="1" applyFont="1" applyFill="1" applyBorder="1" applyAlignment="1">
      <alignment horizontal="center" vertical="center"/>
    </xf>
    <xf numFmtId="0" fontId="37" fillId="16" borderId="18" xfId="23" applyFont="1" applyFill="1" applyBorder="1" applyAlignment="1">
      <alignment horizontal="center" vertical="center"/>
    </xf>
    <xf numFmtId="0" fontId="37" fillId="16" borderId="14" xfId="23" applyFont="1" applyFill="1" applyBorder="1" applyAlignment="1">
      <alignment horizontal="center" vertical="center"/>
    </xf>
    <xf numFmtId="0" fontId="46" fillId="16" borderId="0" xfId="23" applyFont="1" applyFill="1" applyAlignment="1">
      <alignment horizontal="center" vertical="center" wrapText="1"/>
    </xf>
    <xf numFmtId="0" fontId="37" fillId="0" borderId="6" xfId="23" applyFont="1" applyBorder="1" applyAlignment="1">
      <alignment horizontal="center" vertical="center"/>
    </xf>
    <xf numFmtId="0" fontId="37" fillId="0" borderId="7" xfId="23" applyFont="1" applyBorder="1" applyAlignment="1">
      <alignment horizontal="center" vertical="center"/>
    </xf>
    <xf numFmtId="165" fontId="37" fillId="2" borderId="14" xfId="23" applyNumberFormat="1" applyFont="1" applyFill="1" applyBorder="1" applyAlignment="1">
      <alignment horizontal="center" vertical="center"/>
    </xf>
    <xf numFmtId="0" fontId="37" fillId="5" borderId="18" xfId="23" applyFont="1" applyFill="1" applyBorder="1" applyAlignment="1" applyProtection="1">
      <alignment horizontal="center" vertical="center"/>
      <protection locked="0"/>
    </xf>
    <xf numFmtId="0" fontId="37" fillId="5" borderId="14" xfId="23" applyFont="1" applyFill="1" applyBorder="1" applyAlignment="1" applyProtection="1">
      <alignment horizontal="center" vertical="center"/>
      <protection locked="0"/>
    </xf>
    <xf numFmtId="0" fontId="46" fillId="11" borderId="8" xfId="23" applyFont="1" applyFill="1" applyBorder="1" applyAlignment="1">
      <alignment horizontal="center"/>
    </xf>
    <xf numFmtId="2" fontId="46" fillId="5" borderId="18" xfId="23" applyNumberFormat="1" applyFont="1" applyFill="1" applyBorder="1" applyAlignment="1" applyProtection="1">
      <alignment horizontal="center" vertical="center"/>
      <protection locked="0"/>
    </xf>
    <xf numFmtId="2" fontId="46" fillId="5" borderId="14" xfId="23" applyNumberFormat="1" applyFont="1" applyFill="1" applyBorder="1" applyAlignment="1" applyProtection="1">
      <alignment horizontal="center" vertical="center"/>
      <protection locked="0"/>
    </xf>
    <xf numFmtId="0" fontId="46" fillId="0" borderId="0" xfId="23" applyFont="1" applyAlignment="1">
      <alignment horizontal="left" vertical="top" wrapText="1"/>
    </xf>
    <xf numFmtId="0" fontId="46" fillId="16" borderId="0" xfId="23" applyFont="1" applyFill="1" applyAlignment="1">
      <alignment horizontal="center" vertical="center"/>
    </xf>
    <xf numFmtId="165" fontId="75" fillId="2" borderId="18" xfId="23" applyNumberFormat="1" applyFont="1" applyFill="1" applyBorder="1" applyAlignment="1">
      <alignment horizontal="center" vertical="center"/>
    </xf>
    <xf numFmtId="165" fontId="75" fillId="2" borderId="14" xfId="23" applyNumberFormat="1" applyFont="1" applyFill="1" applyBorder="1" applyAlignment="1">
      <alignment horizontal="center" vertical="center"/>
    </xf>
    <xf numFmtId="164" fontId="37" fillId="16" borderId="18" xfId="23" applyNumberFormat="1" applyFont="1" applyFill="1" applyBorder="1" applyAlignment="1">
      <alignment horizontal="center" vertical="center"/>
    </xf>
    <xf numFmtId="164" fontId="37" fillId="16" borderId="14" xfId="23" applyNumberFormat="1" applyFont="1" applyFill="1" applyBorder="1" applyAlignment="1">
      <alignment horizontal="center" vertical="center"/>
    </xf>
    <xf numFmtId="2" fontId="37" fillId="2" borderId="18" xfId="23" applyNumberFormat="1" applyFont="1" applyFill="1" applyBorder="1" applyAlignment="1">
      <alignment horizontal="center" vertical="center"/>
    </xf>
    <xf numFmtId="2" fontId="37" fillId="2" borderId="14" xfId="23" applyNumberFormat="1" applyFont="1" applyFill="1" applyBorder="1" applyAlignment="1">
      <alignment horizontal="center" vertical="center"/>
    </xf>
    <xf numFmtId="165" fontId="102" fillId="11" borderId="18" xfId="23" applyNumberFormat="1" applyFont="1" applyFill="1" applyBorder="1" applyAlignment="1">
      <alignment horizontal="center" vertical="center"/>
    </xf>
    <xf numFmtId="165" fontId="102" fillId="11" borderId="14" xfId="23" applyNumberFormat="1" applyFont="1" applyFill="1" applyBorder="1" applyAlignment="1">
      <alignment horizontal="center" vertical="center"/>
    </xf>
    <xf numFmtId="0" fontId="38" fillId="0" borderId="0" xfId="23" applyFont="1" applyAlignment="1">
      <alignment horizontal="center" vertical="center"/>
    </xf>
    <xf numFmtId="0" fontId="75" fillId="5" borderId="18" xfId="23" applyFont="1" applyFill="1" applyBorder="1" applyAlignment="1" applyProtection="1">
      <alignment horizontal="center" vertical="center"/>
      <protection locked="0"/>
    </xf>
    <xf numFmtId="0" fontId="75" fillId="5" borderId="14" xfId="23" applyFont="1" applyFill="1" applyBorder="1" applyAlignment="1" applyProtection="1">
      <alignment horizontal="center" vertical="center"/>
      <protection locked="0"/>
    </xf>
    <xf numFmtId="165" fontId="37" fillId="2" borderId="18" xfId="23" applyNumberFormat="1" applyFont="1" applyFill="1" applyBorder="1" applyAlignment="1">
      <alignment horizontal="center"/>
    </xf>
    <xf numFmtId="165" fontId="37" fillId="2" borderId="14" xfId="23" applyNumberFormat="1" applyFont="1" applyFill="1" applyBorder="1" applyAlignment="1">
      <alignment horizontal="center"/>
    </xf>
    <xf numFmtId="0" fontId="38" fillId="0" borderId="6" xfId="23" applyFont="1" applyBorder="1" applyAlignment="1">
      <alignment horizontal="left"/>
    </xf>
    <xf numFmtId="0" fontId="38" fillId="0" borderId="0" xfId="23" applyFont="1" applyAlignment="1">
      <alignment horizontal="left"/>
    </xf>
    <xf numFmtId="0" fontId="37" fillId="2" borderId="18" xfId="23" applyFont="1" applyFill="1" applyBorder="1" applyAlignment="1">
      <alignment horizontal="center"/>
    </xf>
    <xf numFmtId="0" fontId="37" fillId="2" borderId="14" xfId="23" applyFont="1" applyFill="1" applyBorder="1" applyAlignment="1">
      <alignment horizontal="center"/>
    </xf>
    <xf numFmtId="0" fontId="37" fillId="7" borderId="10" xfId="23" applyFont="1" applyFill="1" applyBorder="1" applyAlignment="1" applyProtection="1">
      <alignment horizontal="left" vertical="top"/>
      <protection locked="0"/>
    </xf>
    <xf numFmtId="0" fontId="37" fillId="7" borderId="9" xfId="23" applyFont="1" applyFill="1" applyBorder="1" applyAlignment="1" applyProtection="1">
      <alignment horizontal="left" vertical="top"/>
      <protection locked="0"/>
    </xf>
    <xf numFmtId="0" fontId="37" fillId="7" borderId="11" xfId="23" applyFont="1" applyFill="1" applyBorder="1" applyAlignment="1" applyProtection="1">
      <alignment horizontal="left" vertical="top"/>
      <protection locked="0"/>
    </xf>
    <xf numFmtId="0" fontId="37" fillId="7" borderId="6" xfId="23" applyFont="1" applyFill="1" applyBorder="1" applyAlignment="1" applyProtection="1">
      <alignment horizontal="left" vertical="top"/>
      <protection locked="0"/>
    </xf>
    <xf numFmtId="0" fontId="37" fillId="7" borderId="0" xfId="23" applyFont="1" applyFill="1" applyAlignment="1" applyProtection="1">
      <alignment horizontal="left" vertical="top"/>
      <protection locked="0"/>
    </xf>
    <xf numFmtId="0" fontId="37" fillId="7" borderId="7" xfId="23" applyFont="1" applyFill="1" applyBorder="1" applyAlignment="1" applyProtection="1">
      <alignment horizontal="left" vertical="top"/>
      <protection locked="0"/>
    </xf>
    <xf numFmtId="0" fontId="37" fillId="7" borderId="3" xfId="23" applyFont="1" applyFill="1" applyBorder="1" applyAlignment="1" applyProtection="1">
      <alignment horizontal="left" vertical="top"/>
      <protection locked="0"/>
    </xf>
    <xf numFmtId="0" fontId="37" fillId="7" borderId="4" xfId="23" applyFont="1" applyFill="1" applyBorder="1" applyAlignment="1" applyProtection="1">
      <alignment horizontal="left" vertical="top"/>
      <protection locked="0"/>
    </xf>
    <xf numFmtId="0" fontId="37" fillId="7" borderId="5" xfId="23" applyFont="1" applyFill="1" applyBorder="1" applyAlignment="1" applyProtection="1">
      <alignment horizontal="left" vertical="top"/>
      <protection locked="0"/>
    </xf>
    <xf numFmtId="0" fontId="74" fillId="0" borderId="4" xfId="302" applyFont="1" applyBorder="1" applyAlignment="1">
      <alignment horizontal="center" vertical="center" wrapText="1"/>
    </xf>
    <xf numFmtId="0" fontId="46" fillId="0" borderId="0" xfId="23" applyFont="1" applyAlignment="1">
      <alignment horizontal="center"/>
    </xf>
    <xf numFmtId="1" fontId="14" fillId="5" borderId="8" xfId="0" applyNumberFormat="1" applyFont="1" applyFill="1" applyBorder="1" applyAlignment="1" applyProtection="1">
      <alignment horizontal="center" vertical="center"/>
      <protection locked="0"/>
    </xf>
    <xf numFmtId="0" fontId="110" fillId="0" borderId="0" xfId="0" applyFont="1" applyAlignment="1">
      <alignment horizontal="left" vertical="top" wrapText="1"/>
    </xf>
    <xf numFmtId="0" fontId="110" fillId="0" borderId="1" xfId="0" applyFont="1" applyBorder="1" applyAlignment="1">
      <alignment horizontal="left" vertical="top" wrapText="1"/>
    </xf>
    <xf numFmtId="0" fontId="46" fillId="0" borderId="22" xfId="0" applyFont="1" applyBorder="1" applyAlignment="1">
      <alignment horizontal="left" wrapText="1"/>
    </xf>
    <xf numFmtId="0" fontId="46" fillId="0" borderId="0" xfId="0" applyFont="1" applyAlignment="1">
      <alignment horizontal="left" wrapText="1"/>
    </xf>
    <xf numFmtId="0" fontId="46" fillId="0" borderId="1" xfId="0" applyFont="1" applyBorder="1" applyAlignment="1">
      <alignment horizontal="left" wrapText="1"/>
    </xf>
    <xf numFmtId="0" fontId="14" fillId="0" borderId="0" xfId="0" quotePrefix="1" applyFont="1" applyAlignment="1">
      <alignment horizontal="left" vertical="center" wrapText="1"/>
    </xf>
    <xf numFmtId="0" fontId="14" fillId="2" borderId="18" xfId="0" applyFont="1" applyFill="1" applyBorder="1" applyAlignment="1">
      <alignment horizontal="center" vertical="center"/>
    </xf>
    <xf numFmtId="0" fontId="14" fillId="2" borderId="14" xfId="0" applyFont="1" applyFill="1" applyBorder="1" applyAlignment="1">
      <alignment horizontal="center" vertical="center"/>
    </xf>
    <xf numFmtId="0" fontId="15" fillId="0" borderId="0" xfId="0" applyFon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15" fillId="0" borderId="20" xfId="0" applyFont="1" applyBorder="1" applyAlignment="1">
      <alignment horizontal="left" vertical="center" wrapText="1"/>
    </xf>
    <xf numFmtId="0" fontId="15" fillId="0" borderId="25" xfId="0" applyFont="1" applyBorder="1" applyAlignment="1">
      <alignment horizontal="left" vertical="center" wrapText="1"/>
    </xf>
    <xf numFmtId="0" fontId="14" fillId="7" borderId="27" xfId="0" applyFont="1" applyFill="1" applyBorder="1" applyAlignment="1" applyProtection="1">
      <alignment horizontal="left" vertical="top" wrapText="1"/>
      <protection locked="0"/>
    </xf>
    <xf numFmtId="0" fontId="0" fillId="7" borderId="41" xfId="0" applyFill="1" applyBorder="1" applyAlignment="1" applyProtection="1">
      <alignment horizontal="left" vertical="top" wrapText="1"/>
      <protection locked="0"/>
    </xf>
    <xf numFmtId="0" fontId="0" fillId="7" borderId="49" xfId="0" applyFill="1" applyBorder="1" applyAlignment="1" applyProtection="1">
      <alignment horizontal="left" vertical="top" wrapText="1"/>
      <protection locked="0"/>
    </xf>
    <xf numFmtId="0" fontId="14" fillId="5" borderId="3" xfId="0" applyFont="1" applyFill="1" applyBorder="1" applyAlignment="1" applyProtection="1">
      <alignment horizontal="center" vertical="center"/>
      <protection locked="0"/>
    </xf>
    <xf numFmtId="0" fontId="14" fillId="5" borderId="5" xfId="0" applyFont="1" applyFill="1" applyBorder="1" applyAlignment="1" applyProtection="1">
      <alignment horizontal="center" vertical="center"/>
      <protection locked="0"/>
    </xf>
    <xf numFmtId="179" fontId="14" fillId="5" borderId="18" xfId="0" applyNumberFormat="1" applyFont="1" applyFill="1" applyBorder="1" applyAlignment="1" applyProtection="1">
      <alignment horizontal="center" vertical="center"/>
      <protection locked="0"/>
    </xf>
    <xf numFmtId="179" fontId="12" fillId="5" borderId="14" xfId="0" applyNumberFormat="1" applyFont="1" applyFill="1" applyBorder="1" applyAlignment="1" applyProtection="1">
      <alignment horizontal="center" vertical="center"/>
      <protection locked="0"/>
    </xf>
    <xf numFmtId="179" fontId="14" fillId="2" borderId="18" xfId="0" applyNumberFormat="1" applyFont="1" applyFill="1" applyBorder="1" applyAlignment="1">
      <alignment horizontal="center" vertical="center"/>
    </xf>
    <xf numFmtId="179" fontId="12" fillId="2" borderId="14" xfId="0" applyNumberFormat="1" applyFont="1" applyFill="1" applyBorder="1" applyAlignment="1">
      <alignment horizontal="center" vertical="center"/>
    </xf>
    <xf numFmtId="0" fontId="15" fillId="0" borderId="1" xfId="0" applyFont="1" applyBorder="1" applyAlignment="1">
      <alignment horizontal="left" vertical="top" wrapText="1"/>
    </xf>
    <xf numFmtId="178" fontId="14" fillId="8" borderId="18" xfId="0" applyNumberFormat="1" applyFont="1" applyFill="1" applyBorder="1" applyAlignment="1">
      <alignment horizontal="center" vertical="center"/>
    </xf>
    <xf numFmtId="178" fontId="14" fillId="2" borderId="14" xfId="0" applyNumberFormat="1" applyFont="1" applyFill="1" applyBorder="1" applyAlignment="1">
      <alignment horizontal="center" vertical="center"/>
    </xf>
    <xf numFmtId="0" fontId="14" fillId="2" borderId="18" xfId="0" quotePrefix="1" applyFont="1" applyFill="1" applyBorder="1" applyAlignment="1">
      <alignment horizontal="center" vertical="center"/>
    </xf>
    <xf numFmtId="0" fontId="14" fillId="2" borderId="14" xfId="0" quotePrefix="1" applyFont="1" applyFill="1" applyBorder="1" applyAlignment="1">
      <alignment horizontal="center" vertical="center"/>
    </xf>
    <xf numFmtId="0" fontId="18" fillId="0" borderId="0" xfId="0" applyFont="1" applyAlignment="1">
      <alignment horizontal="center" vertical="center"/>
    </xf>
    <xf numFmtId="0" fontId="18" fillId="0" borderId="7" xfId="0" applyFont="1" applyBorder="1" applyAlignment="1">
      <alignment horizontal="center" vertical="center"/>
    </xf>
    <xf numFmtId="1" fontId="14" fillId="5" borderId="18" xfId="0" applyNumberFormat="1" applyFont="1" applyFill="1" applyBorder="1" applyAlignment="1" applyProtection="1">
      <alignment vertical="center"/>
      <protection locked="0"/>
    </xf>
    <xf numFmtId="1" fontId="14" fillId="5" borderId="14" xfId="0" applyNumberFormat="1" applyFont="1" applyFill="1" applyBorder="1" applyAlignment="1" applyProtection="1">
      <alignment vertical="center"/>
      <protection locked="0"/>
    </xf>
    <xf numFmtId="0" fontId="16" fillId="11" borderId="26" xfId="0" applyFont="1" applyFill="1" applyBorder="1" applyAlignment="1">
      <alignment horizontal="left" vertical="center"/>
    </xf>
    <xf numFmtId="0" fontId="16" fillId="11" borderId="39" xfId="0" applyFont="1" applyFill="1" applyBorder="1" applyAlignment="1">
      <alignment horizontal="left" vertical="center"/>
    </xf>
    <xf numFmtId="0" fontId="14" fillId="0" borderId="36" xfId="0" applyFont="1" applyBorder="1" applyAlignment="1">
      <alignment horizontal="left" vertical="center" wrapText="1"/>
    </xf>
    <xf numFmtId="1" fontId="14" fillId="11" borderId="8" xfId="23" applyNumberFormat="1" applyFont="1" applyFill="1" applyBorder="1" applyAlignment="1">
      <alignment horizontal="center" vertical="center"/>
    </xf>
    <xf numFmtId="0" fontId="108" fillId="0" borderId="2" xfId="0" applyFont="1" applyBorder="1" applyAlignment="1">
      <alignment horizontal="center" vertical="center" wrapText="1"/>
    </xf>
    <xf numFmtId="165" fontId="14" fillId="7" borderId="47" xfId="0" applyNumberFormat="1" applyFont="1" applyFill="1" applyBorder="1" applyAlignment="1" applyProtection="1">
      <alignment horizontal="center" vertical="center"/>
      <protection locked="0"/>
    </xf>
    <xf numFmtId="165" fontId="14" fillId="7" borderId="48" xfId="0" applyNumberFormat="1" applyFont="1" applyFill="1" applyBorder="1" applyAlignment="1" applyProtection="1">
      <alignment horizontal="center" vertical="center"/>
      <protection locked="0"/>
    </xf>
    <xf numFmtId="0" fontId="15" fillId="0" borderId="0" xfId="23" applyFont="1" applyAlignment="1">
      <alignment horizontal="left" vertical="top"/>
    </xf>
    <xf numFmtId="2" fontId="12" fillId="0" borderId="14" xfId="0" applyNumberFormat="1" applyFont="1" applyBorder="1" applyAlignment="1">
      <alignment horizontal="center" vertical="center"/>
    </xf>
    <xf numFmtId="1" fontId="14" fillId="2" borderId="18" xfId="0" applyNumberFormat="1" applyFont="1" applyFill="1" applyBorder="1" applyAlignment="1">
      <alignment horizontal="center" vertical="center" wrapText="1"/>
    </xf>
    <xf numFmtId="1" fontId="12" fillId="0" borderId="14" xfId="0" applyNumberFormat="1" applyFont="1" applyBorder="1" applyAlignment="1">
      <alignment horizontal="center" vertical="center"/>
    </xf>
    <xf numFmtId="0" fontId="85" fillId="5" borderId="14" xfId="0" applyFont="1" applyFill="1" applyBorder="1" applyAlignment="1" applyProtection="1">
      <alignment horizontal="center" vertical="center"/>
      <protection locked="0"/>
    </xf>
    <xf numFmtId="0" fontId="53" fillId="0" borderId="0" xfId="0" applyFont="1" applyAlignment="1">
      <alignment horizontal="left" vertical="center" wrapText="1"/>
    </xf>
    <xf numFmtId="0" fontId="53" fillId="0" borderId="0" xfId="0" applyFont="1" applyAlignment="1">
      <alignment vertical="center"/>
    </xf>
    <xf numFmtId="0" fontId="43" fillId="0" borderId="0" xfId="0" applyFont="1" applyAlignment="1">
      <alignment horizontal="left" vertical="center"/>
    </xf>
    <xf numFmtId="0" fontId="63" fillId="0" borderId="0" xfId="0" applyFont="1" applyAlignment="1">
      <alignment horizontal="center" vertical="center"/>
    </xf>
    <xf numFmtId="165" fontId="12" fillId="0" borderId="14" xfId="0" applyNumberFormat="1" applyFont="1" applyBorder="1" applyAlignment="1">
      <alignment horizontal="center" vertical="center"/>
    </xf>
    <xf numFmtId="0" fontId="17" fillId="2" borderId="18" xfId="0" applyFont="1" applyFill="1" applyBorder="1" applyAlignment="1">
      <alignment horizontal="center" vertical="center"/>
    </xf>
    <xf numFmtId="0" fontId="17" fillId="2" borderId="14" xfId="0" applyFont="1" applyFill="1" applyBorder="1" applyAlignment="1">
      <alignment horizontal="center" vertical="center"/>
    </xf>
    <xf numFmtId="0" fontId="16" fillId="0" borderId="0" xfId="0" applyFont="1" applyAlignment="1">
      <alignment horizontal="center" vertical="top" wrapText="1"/>
    </xf>
    <xf numFmtId="0" fontId="16" fillId="0" borderId="1" xfId="0" applyFont="1" applyBorder="1" applyAlignment="1">
      <alignment horizontal="center" vertical="top" wrapText="1"/>
    </xf>
    <xf numFmtId="0" fontId="14" fillId="0" borderId="27" xfId="0" applyFont="1" applyBorder="1" applyAlignment="1">
      <alignment horizontal="left" vertical="top" wrapText="1"/>
    </xf>
    <xf numFmtId="0" fontId="0" fillId="0" borderId="41" xfId="0" applyBorder="1" applyAlignment="1">
      <alignment horizontal="left" vertical="top" wrapText="1"/>
    </xf>
    <xf numFmtId="165" fontId="13" fillId="0" borderId="9" xfId="0" applyNumberFormat="1" applyFont="1" applyBorder="1" applyAlignment="1">
      <alignment horizontal="center" vertical="center"/>
    </xf>
    <xf numFmtId="0" fontId="14" fillId="7" borderId="41" xfId="0" applyFont="1" applyFill="1" applyBorder="1" applyAlignment="1" applyProtection="1">
      <alignment horizontal="left" vertical="top" wrapText="1"/>
      <protection locked="0"/>
    </xf>
    <xf numFmtId="0" fontId="14" fillId="7" borderId="49" xfId="0" applyFont="1" applyFill="1" applyBorder="1" applyAlignment="1" applyProtection="1">
      <alignment horizontal="left" vertical="top" wrapText="1"/>
      <protection locked="0"/>
    </xf>
    <xf numFmtId="0" fontId="0" fillId="0" borderId="0" xfId="0" applyAlignment="1">
      <alignment horizontal="left" vertical="center" wrapText="1"/>
    </xf>
    <xf numFmtId="0" fontId="17" fillId="5" borderId="8" xfId="0" applyFont="1" applyFill="1" applyBorder="1" applyAlignment="1" applyProtection="1">
      <alignment horizontal="center" vertical="center"/>
      <protection locked="0"/>
    </xf>
    <xf numFmtId="0" fontId="17" fillId="7" borderId="18" xfId="0" applyFont="1" applyFill="1" applyBorder="1" applyAlignment="1" applyProtection="1">
      <alignment horizontal="center" vertical="center"/>
      <protection locked="0"/>
    </xf>
    <xf numFmtId="0" fontId="17" fillId="7" borderId="14" xfId="0" applyFont="1" applyFill="1" applyBorder="1" applyAlignment="1" applyProtection="1">
      <alignment horizontal="center" vertical="center"/>
      <protection locked="0"/>
    </xf>
    <xf numFmtId="0" fontId="14" fillId="0" borderId="8" xfId="0" applyFont="1" applyBorder="1" applyAlignment="1">
      <alignment horizontal="left"/>
    </xf>
    <xf numFmtId="0" fontId="14" fillId="0" borderId="8" xfId="0" applyFont="1" applyBorder="1" applyAlignment="1" applyProtection="1">
      <alignment horizontal="left"/>
      <protection locked="0"/>
    </xf>
    <xf numFmtId="0" fontId="12" fillId="7" borderId="18" xfId="0" applyFont="1" applyFill="1" applyBorder="1" applyAlignment="1" applyProtection="1">
      <alignment horizontal="center" vertical="center"/>
      <protection locked="0"/>
    </xf>
    <xf numFmtId="0" fontId="12" fillId="7" borderId="19" xfId="0" applyFont="1" applyFill="1" applyBorder="1" applyAlignment="1" applyProtection="1">
      <alignment horizontal="center" vertical="center"/>
      <protection locked="0"/>
    </xf>
    <xf numFmtId="0" fontId="12" fillId="7" borderId="14" xfId="0" applyFont="1" applyFill="1" applyBorder="1" applyAlignment="1" applyProtection="1">
      <alignment horizontal="center" vertical="center"/>
      <protection locked="0"/>
    </xf>
    <xf numFmtId="49" fontId="14" fillId="0" borderId="0" xfId="0" applyNumberFormat="1" applyFont="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4" xfId="0" applyFont="1" applyFill="1" applyBorder="1" applyAlignment="1">
      <alignment horizontal="center" vertical="center" wrapText="1"/>
    </xf>
    <xf numFmtId="49" fontId="34" fillId="10" borderId="2" xfId="59" applyNumberFormat="1" applyFont="1" applyFill="1" applyBorder="1" applyAlignment="1">
      <alignment horizontal="center" vertical="center" wrapText="1"/>
    </xf>
    <xf numFmtId="0" fontId="15" fillId="0" borderId="0" xfId="59" applyFont="1" applyAlignment="1">
      <alignment horizontal="center" wrapText="1"/>
    </xf>
    <xf numFmtId="0" fontId="14" fillId="0" borderId="0" xfId="59" applyFont="1" applyAlignment="1">
      <alignment horizontal="left" vertical="center"/>
    </xf>
    <xf numFmtId="0" fontId="37" fillId="0" borderId="0" xfId="59" applyFont="1" applyAlignment="1">
      <alignment horizontal="left" vertical="center"/>
    </xf>
    <xf numFmtId="0" fontId="15" fillId="0" borderId="0" xfId="59" applyFont="1" applyAlignment="1">
      <alignment wrapText="1"/>
    </xf>
    <xf numFmtId="0" fontId="37" fillId="0" borderId="0" xfId="59" applyFont="1" applyAlignment="1">
      <alignment wrapText="1"/>
    </xf>
    <xf numFmtId="0" fontId="14" fillId="0" borderId="0" xfId="59" applyFont="1" applyAlignment="1">
      <alignment horizontal="left"/>
    </xf>
    <xf numFmtId="0" fontId="14" fillId="0" borderId="0" xfId="0" applyFont="1"/>
    <xf numFmtId="0" fontId="14" fillId="0" borderId="0" xfId="59" applyFont="1" applyAlignment="1">
      <alignment wrapText="1"/>
    </xf>
    <xf numFmtId="0" fontId="117" fillId="10" borderId="70" xfId="0" applyFont="1" applyFill="1" applyBorder="1" applyAlignment="1">
      <alignment horizontal="center" vertical="center" wrapText="1"/>
    </xf>
    <xf numFmtId="49" fontId="16" fillId="10" borderId="22" xfId="59" applyNumberFormat="1" applyFont="1" applyFill="1" applyBorder="1" applyAlignment="1">
      <alignment horizontal="left"/>
    </xf>
    <xf numFmtId="49" fontId="16" fillId="10" borderId="0" xfId="59" applyNumberFormat="1" applyFont="1" applyFill="1" applyAlignment="1">
      <alignment horizontal="left"/>
    </xf>
    <xf numFmtId="0" fontId="14" fillId="2" borderId="28" xfId="0" applyFont="1" applyFill="1" applyBorder="1" applyAlignment="1">
      <alignment horizontal="center"/>
    </xf>
    <xf numFmtId="0" fontId="14" fillId="10" borderId="6" xfId="0" applyFont="1" applyFill="1" applyBorder="1" applyAlignment="1">
      <alignment horizontal="left"/>
    </xf>
    <xf numFmtId="0" fontId="14" fillId="10" borderId="0" xfId="0" applyFont="1" applyFill="1" applyAlignment="1">
      <alignment horizontal="left"/>
    </xf>
    <xf numFmtId="0" fontId="16" fillId="0" borderId="0" xfId="59" applyFont="1" applyAlignment="1">
      <alignment horizontal="center"/>
    </xf>
    <xf numFmtId="0" fontId="15" fillId="0" borderId="0" xfId="59" applyFont="1" applyAlignment="1">
      <alignment horizontal="right"/>
    </xf>
    <xf numFmtId="0" fontId="37" fillId="0" borderId="0" xfId="59" applyFont="1" applyAlignment="1">
      <alignment horizontal="right"/>
    </xf>
    <xf numFmtId="0" fontId="14" fillId="0" borderId="0" xfId="59" applyFont="1" applyAlignment="1">
      <alignment horizontal="left" wrapText="1"/>
    </xf>
    <xf numFmtId="0" fontId="14" fillId="0" borderId="0" xfId="0" applyFont="1" applyAlignment="1">
      <alignment wrapText="1"/>
    </xf>
    <xf numFmtId="0" fontId="15" fillId="0" borderId="0" xfId="59" applyFont="1" applyAlignment="1">
      <alignment horizontal="left" vertical="center" wrapText="1"/>
    </xf>
    <xf numFmtId="0" fontId="37" fillId="0" borderId="0" xfId="59" applyFont="1" applyAlignment="1">
      <alignment horizontal="left" vertical="center" wrapText="1"/>
    </xf>
    <xf numFmtId="49" fontId="16" fillId="10" borderId="37" xfId="59" applyNumberFormat="1" applyFont="1" applyFill="1" applyBorder="1" applyAlignment="1">
      <alignment horizontal="left"/>
    </xf>
    <xf numFmtId="49" fontId="16" fillId="10" borderId="4" xfId="59" applyNumberFormat="1" applyFont="1" applyFill="1" applyBorder="1" applyAlignment="1">
      <alignment horizontal="left"/>
    </xf>
    <xf numFmtId="1" fontId="14" fillId="10" borderId="0" xfId="23" applyNumberFormat="1" applyFont="1" applyFill="1" applyAlignment="1">
      <alignment horizontal="right"/>
    </xf>
    <xf numFmtId="1" fontId="14" fillId="0" borderId="0" xfId="23" applyNumberFormat="1" applyFont="1" applyAlignment="1">
      <alignment horizontal="right"/>
    </xf>
    <xf numFmtId="1" fontId="14" fillId="0" borderId="7" xfId="23" applyNumberFormat="1" applyFont="1" applyBorder="1" applyAlignment="1">
      <alignment horizontal="right"/>
    </xf>
    <xf numFmtId="0" fontId="14" fillId="0" borderId="22" xfId="23" applyFont="1" applyBorder="1" applyAlignment="1">
      <alignment horizontal="right" indent="1"/>
    </xf>
    <xf numFmtId="0" fontId="14" fillId="0" borderId="0" xfId="23" applyFont="1" applyAlignment="1">
      <alignment horizontal="right" indent="1"/>
    </xf>
    <xf numFmtId="0" fontId="14" fillId="0" borderId="7" xfId="23" applyFont="1" applyBorder="1" applyAlignment="1">
      <alignment horizontal="right" indent="1"/>
    </xf>
    <xf numFmtId="0" fontId="14" fillId="0" borderId="22" xfId="23" applyFont="1" applyBorder="1" applyAlignment="1">
      <alignment horizontal="right"/>
    </xf>
    <xf numFmtId="49" fontId="14" fillId="10" borderId="22" xfId="59" applyNumberFormat="1" applyFont="1" applyFill="1" applyBorder="1" applyAlignment="1">
      <alignment horizontal="right"/>
    </xf>
    <xf numFmtId="49" fontId="14" fillId="10" borderId="0" xfId="59" applyNumberFormat="1" applyFont="1" applyFill="1" applyAlignment="1">
      <alignment horizontal="right"/>
    </xf>
    <xf numFmtId="0" fontId="37" fillId="0" borderId="0" xfId="59" applyFont="1"/>
    <xf numFmtId="0" fontId="15" fillId="0" borderId="0" xfId="59" applyFont="1" applyAlignment="1">
      <alignment horizontal="left" wrapText="1"/>
    </xf>
    <xf numFmtId="0" fontId="14" fillId="0" borderId="0" xfId="59" applyFont="1" applyAlignment="1">
      <alignment horizontal="left" vertical="center" wrapText="1"/>
    </xf>
    <xf numFmtId="0" fontId="15" fillId="0" borderId="0" xfId="59" applyFont="1" applyAlignment="1">
      <alignment horizontal="center" vertical="center"/>
    </xf>
    <xf numFmtId="49" fontId="14" fillId="0" borderId="0" xfId="59" applyNumberFormat="1" applyFont="1" applyAlignment="1">
      <alignment horizontal="left" vertical="center" wrapText="1"/>
    </xf>
    <xf numFmtId="0" fontId="16" fillId="0" borderId="0" xfId="59" applyFont="1" applyAlignment="1">
      <alignment horizontal="center" vertical="center"/>
    </xf>
    <xf numFmtId="0" fontId="38" fillId="0" borderId="0" xfId="59" applyFont="1" applyAlignment="1">
      <alignment horizontal="center" vertical="center"/>
    </xf>
    <xf numFmtId="0" fontId="14" fillId="0" borderId="0" xfId="59" applyFont="1" applyAlignment="1">
      <alignment horizontal="center" vertical="center"/>
    </xf>
    <xf numFmtId="0" fontId="37" fillId="0" borderId="0" xfId="59" applyFont="1" applyAlignment="1">
      <alignment horizontal="center" vertical="center"/>
    </xf>
    <xf numFmtId="49" fontId="16" fillId="10" borderId="0" xfId="59" applyNumberFormat="1" applyFont="1" applyFill="1" applyAlignment="1">
      <alignment horizontal="right"/>
    </xf>
    <xf numFmtId="1" fontId="14" fillId="7" borderId="8" xfId="59" applyNumberFormat="1" applyFont="1" applyFill="1" applyBorder="1" applyAlignment="1" applyProtection="1">
      <alignment horizontal="center"/>
      <protection locked="0"/>
    </xf>
    <xf numFmtId="49" fontId="14" fillId="10" borderId="0" xfId="59" applyNumberFormat="1" applyFont="1" applyFill="1" applyAlignment="1">
      <alignment horizontal="center" vertical="top"/>
    </xf>
    <xf numFmtId="0" fontId="38" fillId="0" borderId="0" xfId="58" applyFont="1" applyAlignment="1">
      <alignment horizontal="center" vertical="center"/>
    </xf>
    <xf numFmtId="0" fontId="74" fillId="0" borderId="0" xfId="58" applyFont="1" applyAlignment="1">
      <alignment horizontal="center" vertical="center" wrapText="1"/>
    </xf>
    <xf numFmtId="0" fontId="12" fillId="0" borderId="8" xfId="0" applyFont="1" applyBorder="1" applyAlignment="1">
      <alignment horizontal="center" vertical="center" wrapText="1"/>
    </xf>
    <xf numFmtId="0" fontId="12" fillId="0" borderId="8" xfId="0" applyFont="1" applyBorder="1" applyAlignment="1">
      <alignment horizontal="center" vertical="center"/>
    </xf>
    <xf numFmtId="0" fontId="37" fillId="0" borderId="10" xfId="58" applyFont="1" applyBorder="1" applyAlignment="1">
      <alignment wrapText="1"/>
    </xf>
    <xf numFmtId="0" fontId="46" fillId="0" borderId="9" xfId="58" applyBorder="1" applyAlignment="1">
      <alignment wrapText="1"/>
    </xf>
    <xf numFmtId="0" fontId="46" fillId="0" borderId="3" xfId="58" applyBorder="1" applyAlignment="1">
      <alignment wrapText="1"/>
    </xf>
    <xf numFmtId="0" fontId="46" fillId="0" borderId="4" xfId="58" applyBorder="1" applyAlignment="1">
      <alignment wrapText="1"/>
    </xf>
    <xf numFmtId="1" fontId="47" fillId="0" borderId="54" xfId="58" applyNumberFormat="1" applyFont="1" applyBorder="1" applyAlignment="1">
      <alignment horizontal="center" vertical="center" wrapText="1"/>
    </xf>
    <xf numFmtId="1" fontId="47" fillId="0" borderId="55" xfId="58" applyNumberFormat="1" applyFont="1" applyBorder="1" applyAlignment="1">
      <alignment horizontal="center" vertical="center" wrapText="1"/>
    </xf>
    <xf numFmtId="1" fontId="46" fillId="0" borderId="56" xfId="58" applyNumberFormat="1" applyBorder="1"/>
    <xf numFmtId="0" fontId="38" fillId="0" borderId="8" xfId="58" applyFont="1" applyBorder="1" applyAlignment="1">
      <alignment horizontal="right" vertical="top" wrapText="1"/>
    </xf>
    <xf numFmtId="0" fontId="38" fillId="0" borderId="18" xfId="58" applyFont="1" applyBorder="1" applyAlignment="1">
      <alignment horizontal="right" vertical="top" wrapText="1"/>
    </xf>
    <xf numFmtId="0" fontId="118" fillId="0" borderId="6" xfId="62" applyFont="1" applyBorder="1" applyAlignment="1">
      <alignment horizontal="center"/>
    </xf>
    <xf numFmtId="0" fontId="118" fillId="0" borderId="0" xfId="62" applyFont="1" applyAlignment="1">
      <alignment horizontal="center"/>
    </xf>
    <xf numFmtId="0" fontId="74" fillId="0" borderId="2" xfId="62" applyFont="1" applyBorder="1" applyAlignment="1">
      <alignment horizontal="center" vertical="center" wrapText="1"/>
    </xf>
    <xf numFmtId="0" fontId="37" fillId="0" borderId="33" xfId="58" applyFont="1" applyBorder="1" applyAlignment="1">
      <alignment horizontal="right" vertical="center"/>
    </xf>
    <xf numFmtId="0" fontId="118" fillId="0" borderId="6" xfId="62" applyFont="1" applyBorder="1" applyAlignment="1">
      <alignment horizontal="left" wrapText="1"/>
    </xf>
    <xf numFmtId="0" fontId="118" fillId="0" borderId="0" xfId="62" applyFont="1" applyAlignment="1">
      <alignment horizontal="left" wrapText="1"/>
    </xf>
    <xf numFmtId="0" fontId="118" fillId="0" borderId="7" xfId="62" applyFont="1" applyBorder="1" applyAlignment="1">
      <alignment horizontal="left" wrapText="1"/>
    </xf>
    <xf numFmtId="0" fontId="119" fillId="2" borderId="6" xfId="62" applyFont="1" applyFill="1" applyBorder="1" applyAlignment="1">
      <alignment horizontal="center"/>
    </xf>
    <xf numFmtId="0" fontId="119" fillId="2" borderId="0" xfId="62" applyFont="1" applyFill="1" applyAlignment="1">
      <alignment horizontal="center"/>
    </xf>
    <xf numFmtId="0" fontId="119" fillId="2" borderId="7" xfId="62" applyFont="1" applyFill="1" applyBorder="1" applyAlignment="1">
      <alignment horizontal="center"/>
    </xf>
    <xf numFmtId="0" fontId="38" fillId="0" borderId="30" xfId="57" applyFont="1" applyBorder="1" applyAlignment="1">
      <alignment horizontal="right" vertical="center"/>
    </xf>
    <xf numFmtId="0" fontId="38" fillId="0" borderId="28" xfId="57" applyFont="1" applyBorder="1" applyAlignment="1">
      <alignment horizontal="right" vertical="center"/>
    </xf>
    <xf numFmtId="0" fontId="38" fillId="0" borderId="29" xfId="57" applyFont="1" applyBorder="1" applyAlignment="1">
      <alignment horizontal="right" vertical="center"/>
    </xf>
    <xf numFmtId="0" fontId="74" fillId="0" borderId="0" xfId="57" applyFont="1" applyAlignment="1">
      <alignment horizontal="center" vertical="center" wrapText="1"/>
    </xf>
    <xf numFmtId="0" fontId="74" fillId="0" borderId="0" xfId="60" applyFont="1" applyAlignment="1">
      <alignment horizontal="center" vertical="center" wrapText="1"/>
    </xf>
    <xf numFmtId="0" fontId="37" fillId="0" borderId="10" xfId="60" applyFont="1" applyBorder="1" applyAlignment="1">
      <alignment horizontal="center" vertical="center" wrapText="1"/>
    </xf>
    <xf numFmtId="0" fontId="37" fillId="0" borderId="9" xfId="60" applyFont="1" applyBorder="1" applyAlignment="1">
      <alignment horizontal="center" vertical="center" wrapText="1"/>
    </xf>
    <xf numFmtId="0" fontId="37" fillId="0" borderId="11" xfId="60" applyFont="1" applyBorder="1" applyAlignment="1">
      <alignment horizontal="center" vertical="center" wrapText="1"/>
    </xf>
    <xf numFmtId="0" fontId="46" fillId="0" borderId="6" xfId="60" applyBorder="1" applyAlignment="1">
      <alignment horizontal="center" vertical="center" wrapText="1"/>
    </xf>
    <xf numFmtId="0" fontId="46" fillId="0" borderId="0" xfId="60" applyAlignment="1">
      <alignment horizontal="center" vertical="center" wrapText="1"/>
    </xf>
    <xf numFmtId="0" fontId="46" fillId="0" borderId="7" xfId="60" applyBorder="1" applyAlignment="1">
      <alignment horizontal="center" vertical="center" wrapText="1"/>
    </xf>
    <xf numFmtId="0" fontId="46" fillId="0" borderId="3" xfId="60" applyBorder="1" applyAlignment="1">
      <alignment horizontal="center" vertical="center" wrapText="1"/>
    </xf>
    <xf numFmtId="0" fontId="46" fillId="0" borderId="4" xfId="60" applyBorder="1" applyAlignment="1">
      <alignment horizontal="center" vertical="center" wrapText="1"/>
    </xf>
    <xf numFmtId="0" fontId="46" fillId="0" borderId="5" xfId="60" applyBorder="1" applyAlignment="1">
      <alignment horizontal="center" vertical="center" wrapText="1"/>
    </xf>
    <xf numFmtId="0" fontId="37" fillId="0" borderId="19" xfId="60" applyFont="1" applyBorder="1" applyAlignment="1">
      <alignment horizontal="left" vertical="center"/>
    </xf>
    <xf numFmtId="0" fontId="46" fillId="0" borderId="19" xfId="60" applyBorder="1" applyAlignment="1">
      <alignment vertical="center"/>
    </xf>
    <xf numFmtId="0" fontId="38" fillId="0" borderId="30" xfId="60" applyFont="1" applyBorder="1" applyAlignment="1">
      <alignment horizontal="left" vertical="center" wrapText="1"/>
    </xf>
    <xf numFmtId="0" fontId="46" fillId="0" borderId="50" xfId="60" applyBorder="1" applyAlignment="1">
      <alignment vertical="center"/>
    </xf>
    <xf numFmtId="0" fontId="37" fillId="0" borderId="18" xfId="60" applyFont="1" applyBorder="1" applyAlignment="1">
      <alignment horizontal="left" vertical="center" wrapText="1"/>
    </xf>
    <xf numFmtId="0" fontId="46" fillId="0" borderId="19" xfId="60" applyBorder="1" applyAlignment="1">
      <alignment vertical="center" wrapText="1"/>
    </xf>
    <xf numFmtId="0" fontId="46" fillId="0" borderId="14" xfId="60" applyBorder="1" applyAlignment="1">
      <alignment vertical="center" wrapText="1"/>
    </xf>
    <xf numFmtId="0" fontId="37" fillId="0" borderId="31" xfId="60" applyFont="1" applyBorder="1" applyAlignment="1">
      <alignment horizontal="left" vertical="center" wrapText="1"/>
    </xf>
    <xf numFmtId="0" fontId="46" fillId="0" borderId="28" xfId="60" applyBorder="1" applyAlignment="1">
      <alignment vertical="center" wrapText="1"/>
    </xf>
    <xf numFmtId="0" fontId="46" fillId="0" borderId="29" xfId="60" applyBorder="1" applyAlignment="1">
      <alignment vertical="center" wrapText="1"/>
    </xf>
    <xf numFmtId="0" fontId="38" fillId="3" borderId="15" xfId="60" applyFont="1" applyFill="1" applyBorder="1" applyAlignment="1">
      <alignment horizontal="left" vertical="center" wrapText="1"/>
    </xf>
    <xf numFmtId="0" fontId="46" fillId="0" borderId="42" xfId="60" applyBorder="1" applyAlignment="1">
      <alignment horizontal="left" vertical="center"/>
    </xf>
    <xf numFmtId="0" fontId="46" fillId="0" borderId="12" xfId="60" applyBorder="1" applyAlignment="1">
      <alignment horizontal="left" vertical="center"/>
    </xf>
    <xf numFmtId="0" fontId="37" fillId="0" borderId="4" xfId="60" applyFont="1" applyBorder="1" applyAlignment="1">
      <alignment horizontal="center" vertical="center" wrapText="1"/>
    </xf>
    <xf numFmtId="0" fontId="17" fillId="0" borderId="0" xfId="0" applyFont="1" applyAlignment="1">
      <alignment horizontal="center"/>
    </xf>
    <xf numFmtId="169" fontId="17" fillId="5" borderId="18" xfId="61" applyNumberFormat="1" applyFont="1" applyFill="1" applyBorder="1" applyAlignment="1" applyProtection="1">
      <alignment horizontal="center" vertical="center"/>
      <protection locked="0"/>
    </xf>
    <xf numFmtId="169" fontId="17" fillId="5" borderId="19" xfId="61" applyNumberFormat="1" applyFont="1" applyFill="1" applyBorder="1" applyAlignment="1" applyProtection="1">
      <alignment horizontal="center" vertical="center"/>
      <protection locked="0"/>
    </xf>
    <xf numFmtId="169" fontId="17" fillId="5" borderId="14" xfId="61" applyNumberFormat="1" applyFont="1" applyFill="1" applyBorder="1" applyAlignment="1" applyProtection="1">
      <alignment horizontal="center" vertical="center"/>
      <protection locked="0"/>
    </xf>
    <xf numFmtId="0" fontId="16" fillId="2" borderId="26" xfId="61" applyFont="1" applyFill="1" applyBorder="1" applyAlignment="1">
      <alignment horizontal="left"/>
    </xf>
    <xf numFmtId="0" fontId="16" fillId="2" borderId="19" xfId="61" applyFont="1" applyFill="1" applyBorder="1" applyAlignment="1">
      <alignment horizontal="left"/>
    </xf>
    <xf numFmtId="0" fontId="16" fillId="2" borderId="39" xfId="61" applyFont="1" applyFill="1" applyBorder="1" applyAlignment="1">
      <alignment horizontal="left"/>
    </xf>
    <xf numFmtId="0" fontId="18" fillId="5" borderId="18" xfId="61" applyFont="1" applyFill="1" applyBorder="1" applyAlignment="1" applyProtection="1">
      <alignment horizontal="center"/>
      <protection locked="0"/>
    </xf>
    <xf numFmtId="0" fontId="18" fillId="5" borderId="19" xfId="61" applyFont="1" applyFill="1" applyBorder="1" applyAlignment="1" applyProtection="1">
      <alignment horizontal="center"/>
      <protection locked="0"/>
    </xf>
    <xf numFmtId="0" fontId="18" fillId="5" borderId="14" xfId="61" applyFont="1" applyFill="1" applyBorder="1" applyAlignment="1" applyProtection="1">
      <alignment horizontal="center"/>
      <protection locked="0"/>
    </xf>
    <xf numFmtId="0" fontId="14" fillId="0" borderId="0" xfId="61" applyFont="1" applyAlignment="1">
      <alignment horizontal="left" vertical="top" wrapText="1"/>
    </xf>
    <xf numFmtId="165" fontId="17" fillId="0" borderId="0" xfId="0" quotePrefix="1" applyNumberFormat="1" applyFont="1" applyAlignment="1" applyProtection="1">
      <alignment horizontal="center" vertical="center" wrapText="1"/>
      <protection locked="0"/>
    </xf>
    <xf numFmtId="0" fontId="14" fillId="0" borderId="1" xfId="0" applyFont="1" applyBorder="1" applyAlignment="1">
      <alignment horizontal="center" vertical="center" wrapText="1"/>
    </xf>
    <xf numFmtId="0" fontId="14" fillId="5" borderId="10" xfId="0" applyFont="1" applyFill="1" applyBorder="1" applyAlignment="1" applyProtection="1">
      <alignment horizontal="center"/>
      <protection locked="0"/>
    </xf>
    <xf numFmtId="0" fontId="14" fillId="5" borderId="9" xfId="0" applyFont="1" applyFill="1" applyBorder="1" applyAlignment="1" applyProtection="1">
      <alignment horizontal="center"/>
      <protection locked="0"/>
    </xf>
    <xf numFmtId="0" fontId="14" fillId="5" borderId="36" xfId="0" applyFont="1" applyFill="1" applyBorder="1" applyAlignment="1" applyProtection="1">
      <alignment horizontal="center"/>
      <protection locked="0"/>
    </xf>
    <xf numFmtId="0" fontId="14" fillId="5" borderId="3" xfId="0"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8" xfId="0" applyFont="1" applyFill="1" applyBorder="1" applyAlignment="1" applyProtection="1">
      <alignment horizontal="center"/>
      <protection locked="0"/>
    </xf>
    <xf numFmtId="2" fontId="17" fillId="5" borderId="18" xfId="61" applyNumberFormat="1" applyFont="1" applyFill="1" applyBorder="1" applyAlignment="1" applyProtection="1">
      <alignment horizontal="center" vertical="center"/>
      <protection locked="0"/>
    </xf>
    <xf numFmtId="2" fontId="17" fillId="5" borderId="14" xfId="61" applyNumberFormat="1" applyFont="1" applyFill="1" applyBorder="1" applyAlignment="1" applyProtection="1">
      <alignment horizontal="center" vertical="center"/>
      <protection locked="0"/>
    </xf>
    <xf numFmtId="0" fontId="14" fillId="0" borderId="6" xfId="61" applyFont="1" applyBorder="1" applyAlignment="1">
      <alignment horizontal="left" vertical="center"/>
    </xf>
    <xf numFmtId="0" fontId="14" fillId="0" borderId="0" xfId="61" applyFont="1" applyAlignment="1">
      <alignment horizontal="left" vertical="center"/>
    </xf>
    <xf numFmtId="0" fontId="17" fillId="5" borderId="18" xfId="61" applyFont="1" applyFill="1" applyBorder="1" applyAlignment="1" applyProtection="1">
      <alignment horizontal="center" vertical="center"/>
      <protection locked="0"/>
    </xf>
    <xf numFmtId="0" fontId="17" fillId="5" borderId="19" xfId="61" applyFont="1" applyFill="1" applyBorder="1" applyAlignment="1" applyProtection="1">
      <alignment horizontal="center" vertical="center"/>
      <protection locked="0"/>
    </xf>
    <xf numFmtId="0" fontId="17" fillId="5" borderId="14" xfId="61" applyFont="1" applyFill="1" applyBorder="1" applyAlignment="1" applyProtection="1">
      <alignment horizontal="center" vertical="center"/>
      <protection locked="0"/>
    </xf>
    <xf numFmtId="0" fontId="16" fillId="2" borderId="32" xfId="61" applyFont="1" applyFill="1" applyBorder="1" applyAlignment="1">
      <alignment horizontal="left"/>
    </xf>
    <xf numFmtId="0" fontId="16" fillId="2" borderId="33" xfId="61" applyFont="1" applyFill="1" applyBorder="1" applyAlignment="1">
      <alignment horizontal="left"/>
    </xf>
    <xf numFmtId="0" fontId="16" fillId="2" borderId="34" xfId="61" applyFont="1" applyFill="1" applyBorder="1" applyAlignment="1">
      <alignment horizontal="left"/>
    </xf>
    <xf numFmtId="0" fontId="15" fillId="0" borderId="0" xfId="61" applyFont="1" applyAlignment="1">
      <alignment horizontal="left" vertical="center" wrapText="1"/>
    </xf>
    <xf numFmtId="169" fontId="17" fillId="2" borderId="18" xfId="61" applyNumberFormat="1" applyFont="1" applyFill="1" applyBorder="1" applyAlignment="1">
      <alignment horizontal="center" vertical="center"/>
    </xf>
    <xf numFmtId="169" fontId="17" fillId="2" borderId="14" xfId="61" applyNumberFormat="1" applyFont="1" applyFill="1" applyBorder="1" applyAlignment="1">
      <alignment horizontal="center" vertical="center"/>
    </xf>
    <xf numFmtId="0" fontId="14" fillId="0" borderId="6" xfId="61" applyFont="1" applyBorder="1" applyAlignment="1">
      <alignment horizontal="left" vertical="center" wrapText="1"/>
    </xf>
    <xf numFmtId="0" fontId="14" fillId="0" borderId="0" xfId="61" applyFont="1" applyAlignment="1">
      <alignment horizontal="left" vertical="center" wrapText="1"/>
    </xf>
    <xf numFmtId="0" fontId="14" fillId="0" borderId="0" xfId="61" applyFont="1" applyAlignment="1">
      <alignment horizontal="center" vertical="center"/>
    </xf>
    <xf numFmtId="49" fontId="34" fillId="0" borderId="0" xfId="61" applyNumberFormat="1" applyFont="1" applyAlignment="1">
      <alignment horizontal="center" vertical="center" wrapText="1"/>
    </xf>
    <xf numFmtId="0" fontId="16" fillId="2" borderId="35" xfId="61" applyFont="1" applyFill="1" applyBorder="1" applyAlignment="1">
      <alignment horizontal="left"/>
    </xf>
    <xf numFmtId="0" fontId="16" fillId="2" borderId="9" xfId="61" applyFont="1" applyFill="1" applyBorder="1" applyAlignment="1">
      <alignment horizontal="left"/>
    </xf>
    <xf numFmtId="0" fontId="16" fillId="2" borderId="36" xfId="61" applyFont="1" applyFill="1" applyBorder="1" applyAlignment="1">
      <alignment horizontal="left"/>
    </xf>
    <xf numFmtId="0" fontId="17" fillId="2" borderId="18" xfId="61" applyFont="1" applyFill="1" applyBorder="1" applyAlignment="1">
      <alignment horizontal="center" vertical="center"/>
    </xf>
    <xf numFmtId="0" fontId="65" fillId="2" borderId="14" xfId="61" applyFont="1" applyFill="1" applyBorder="1" applyAlignment="1">
      <alignment horizontal="center" vertical="center"/>
    </xf>
    <xf numFmtId="0" fontId="15" fillId="0" borderId="35" xfId="61" applyFont="1" applyBorder="1" applyAlignment="1">
      <alignment horizontal="left" vertical="center" wrapText="1"/>
    </xf>
    <xf numFmtId="0" fontId="15" fillId="0" borderId="9" xfId="61" applyFont="1" applyBorder="1" applyAlignment="1">
      <alignment horizontal="left" vertical="center" wrapText="1"/>
    </xf>
    <xf numFmtId="0" fontId="15" fillId="0" borderId="22" xfId="61" applyFont="1" applyBorder="1" applyAlignment="1">
      <alignment horizontal="left" vertical="center" wrapText="1"/>
    </xf>
    <xf numFmtId="0" fontId="46" fillId="0" borderId="0" xfId="61"/>
    <xf numFmtId="0" fontId="15" fillId="0" borderId="0" xfId="61" applyFont="1" applyAlignment="1">
      <alignment horizontal="center" vertical="center" wrapText="1"/>
    </xf>
    <xf numFmtId="0" fontId="50" fillId="0" borderId="0" xfId="61" applyFont="1" applyAlignment="1">
      <alignment horizontal="center" vertical="center"/>
    </xf>
    <xf numFmtId="0" fontId="46" fillId="0" borderId="0" xfId="61" applyAlignment="1">
      <alignment horizontal="center" vertical="center"/>
    </xf>
    <xf numFmtId="167" fontId="17" fillId="5" borderId="18" xfId="61" applyNumberFormat="1" applyFont="1" applyFill="1" applyBorder="1" applyAlignment="1" applyProtection="1">
      <alignment horizontal="center" vertical="center"/>
      <protection locked="0"/>
    </xf>
    <xf numFmtId="167" fontId="17" fillId="5" borderId="14" xfId="61" applyNumberFormat="1" applyFont="1" applyFill="1" applyBorder="1" applyAlignment="1" applyProtection="1">
      <alignment horizontal="center" vertical="center"/>
      <protection locked="0"/>
    </xf>
    <xf numFmtId="49" fontId="25" fillId="0" borderId="37" xfId="61" applyNumberFormat="1" applyFont="1" applyBorder="1" applyAlignment="1">
      <alignment horizontal="center" vertical="center" wrapText="1"/>
    </xf>
    <xf numFmtId="0" fontId="46" fillId="0" borderId="4" xfId="61" applyBorder="1" applyAlignment="1">
      <alignment horizontal="center" vertical="center"/>
    </xf>
    <xf numFmtId="0" fontId="64" fillId="2" borderId="14" xfId="61" applyFont="1" applyFill="1" applyBorder="1" applyAlignment="1">
      <alignment horizontal="center" vertical="center"/>
    </xf>
    <xf numFmtId="0" fontId="15" fillId="0" borderId="10" xfId="61" applyFont="1" applyBorder="1" applyAlignment="1">
      <alignment horizontal="center" vertical="center" wrapText="1"/>
    </xf>
    <xf numFmtId="0" fontId="50" fillId="0" borderId="9" xfId="61" applyFont="1" applyBorder="1" applyAlignment="1">
      <alignment horizontal="center" vertical="center"/>
    </xf>
    <xf numFmtId="0" fontId="50" fillId="0" borderId="11" xfId="61" applyFont="1" applyBorder="1" applyAlignment="1">
      <alignment horizontal="center" vertical="center"/>
    </xf>
    <xf numFmtId="0" fontId="50" fillId="0" borderId="6" xfId="61" applyFont="1" applyBorder="1" applyAlignment="1">
      <alignment horizontal="center" vertical="center"/>
    </xf>
    <xf numFmtId="0" fontId="50" fillId="0" borderId="7" xfId="61" applyFont="1" applyBorder="1" applyAlignment="1">
      <alignment horizontal="center" vertical="center"/>
    </xf>
    <xf numFmtId="0" fontId="50" fillId="0" borderId="3" xfId="61" applyFont="1" applyBorder="1" applyAlignment="1">
      <alignment horizontal="center" vertical="center"/>
    </xf>
    <xf numFmtId="0" fontId="50" fillId="0" borderId="4" xfId="61" applyFont="1" applyBorder="1" applyAlignment="1">
      <alignment horizontal="center" vertical="center"/>
    </xf>
    <xf numFmtId="0" fontId="50" fillId="0" borderId="5" xfId="61" applyFont="1" applyBorder="1" applyAlignment="1">
      <alignment horizontal="center" vertical="center"/>
    </xf>
    <xf numFmtId="167" fontId="18" fillId="2" borderId="18" xfId="61" applyNumberFormat="1" applyFont="1" applyFill="1" applyBorder="1" applyAlignment="1">
      <alignment horizontal="center" vertical="center"/>
    </xf>
    <xf numFmtId="1" fontId="17" fillId="5" borderId="18" xfId="61" applyNumberFormat="1" applyFont="1" applyFill="1" applyBorder="1" applyAlignment="1" applyProtection="1">
      <alignment horizontal="center" vertical="center"/>
      <protection locked="0"/>
    </xf>
    <xf numFmtId="0" fontId="65" fillId="5" borderId="14" xfId="61" applyFont="1" applyFill="1" applyBorder="1" applyAlignment="1" applyProtection="1">
      <alignment horizontal="center" vertical="center"/>
      <protection locked="0"/>
    </xf>
    <xf numFmtId="0" fontId="46" fillId="0" borderId="0" xfId="61" applyAlignment="1">
      <alignment horizontal="left" vertical="center" wrapText="1"/>
    </xf>
    <xf numFmtId="0" fontId="16" fillId="2" borderId="10" xfId="61" applyFont="1" applyFill="1" applyBorder="1" applyAlignment="1">
      <alignment horizontal="center"/>
    </xf>
    <xf numFmtId="0" fontId="16" fillId="2" borderId="9" xfId="61" applyFont="1" applyFill="1" applyBorder="1" applyAlignment="1">
      <alignment horizontal="center"/>
    </xf>
    <xf numFmtId="0" fontId="16" fillId="2" borderId="11" xfId="61" applyFont="1" applyFill="1" applyBorder="1" applyAlignment="1">
      <alignment horizontal="center"/>
    </xf>
    <xf numFmtId="165" fontId="17" fillId="5" borderId="18" xfId="61" applyNumberFormat="1" applyFont="1" applyFill="1" applyBorder="1" applyAlignment="1" applyProtection="1">
      <alignment horizontal="center" vertical="center"/>
      <protection locked="0"/>
    </xf>
    <xf numFmtId="165" fontId="17" fillId="5" borderId="14" xfId="61" applyNumberFormat="1" applyFont="1" applyFill="1" applyBorder="1" applyAlignment="1" applyProtection="1">
      <alignment horizontal="center" vertical="center"/>
      <protection locked="0"/>
    </xf>
    <xf numFmtId="167" fontId="18" fillId="2" borderId="18" xfId="61" applyNumberFormat="1" applyFont="1" applyFill="1" applyBorder="1" applyAlignment="1">
      <alignment vertical="center"/>
    </xf>
    <xf numFmtId="0" fontId="65" fillId="2" borderId="14" xfId="61" applyFont="1" applyFill="1" applyBorder="1" applyAlignment="1">
      <alignment vertical="center"/>
    </xf>
    <xf numFmtId="0" fontId="48" fillId="0" borderId="10" xfId="61" applyFont="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1" fontId="17" fillId="2" borderId="18" xfId="61" applyNumberFormat="1" applyFont="1" applyFill="1" applyBorder="1" applyAlignment="1">
      <alignment horizontal="center" vertical="center"/>
    </xf>
    <xf numFmtId="0" fontId="14" fillId="0" borderId="0" xfId="61" applyFont="1" applyAlignment="1">
      <alignment horizontal="left" vertical="center" wrapText="1" shrinkToFit="1"/>
    </xf>
    <xf numFmtId="0" fontId="46" fillId="0" borderId="0" xfId="61" applyAlignment="1">
      <alignment wrapText="1" shrinkToFit="1"/>
    </xf>
    <xf numFmtId="0" fontId="16" fillId="2" borderId="3" xfId="61" applyFont="1" applyFill="1" applyBorder="1" applyAlignment="1">
      <alignment horizontal="center" wrapText="1"/>
    </xf>
    <xf numFmtId="0" fontId="16" fillId="2" borderId="4" xfId="61" applyFont="1" applyFill="1" applyBorder="1" applyAlignment="1">
      <alignment horizontal="center" wrapText="1"/>
    </xf>
    <xf numFmtId="0" fontId="16" fillId="2" borderId="5" xfId="61" applyFont="1" applyFill="1" applyBorder="1" applyAlignment="1">
      <alignment horizontal="center" wrapText="1"/>
    </xf>
    <xf numFmtId="165" fontId="17" fillId="5" borderId="18" xfId="0" applyNumberFormat="1" applyFont="1" applyFill="1" applyBorder="1" applyAlignment="1" applyProtection="1">
      <alignment horizontal="center" vertical="center"/>
      <protection locked="0"/>
    </xf>
    <xf numFmtId="165" fontId="17" fillId="5" borderId="14" xfId="0" applyNumberFormat="1" applyFont="1" applyFill="1" applyBorder="1" applyAlignment="1" applyProtection="1">
      <alignment horizontal="center" vertical="center"/>
      <protection locked="0"/>
    </xf>
    <xf numFmtId="0" fontId="16" fillId="2" borderId="37" xfId="61" applyFont="1" applyFill="1" applyBorder="1" applyAlignment="1">
      <alignment horizontal="left"/>
    </xf>
    <xf numFmtId="0" fontId="16" fillId="2" borderId="4" xfId="61" applyFont="1" applyFill="1" applyBorder="1" applyAlignment="1">
      <alignment horizontal="left"/>
    </xf>
    <xf numFmtId="0" fontId="16" fillId="2" borderId="38" xfId="61" applyFont="1" applyFill="1" applyBorder="1" applyAlignment="1">
      <alignment horizontal="left"/>
    </xf>
    <xf numFmtId="49" fontId="34" fillId="0" borderId="4" xfId="59" applyNumberFormat="1" applyFont="1" applyBorder="1" applyAlignment="1">
      <alignment horizontal="center" wrapText="1"/>
    </xf>
    <xf numFmtId="0" fontId="46" fillId="0" borderId="0" xfId="59" applyAlignment="1">
      <alignment horizontal="right"/>
    </xf>
    <xf numFmtId="0" fontId="14" fillId="5" borderId="18" xfId="59" applyFont="1" applyFill="1" applyBorder="1" applyAlignment="1" applyProtection="1">
      <alignment horizontal="left" vertical="center"/>
      <protection locked="0"/>
    </xf>
    <xf numFmtId="0" fontId="37" fillId="5" borderId="19" xfId="59" applyFont="1" applyFill="1" applyBorder="1" applyAlignment="1" applyProtection="1">
      <alignment horizontal="left" vertical="center"/>
      <protection locked="0"/>
    </xf>
    <xf numFmtId="0" fontId="37" fillId="5" borderId="14" xfId="59" applyFont="1" applyFill="1" applyBorder="1" applyAlignment="1" applyProtection="1">
      <alignment horizontal="left" vertical="center"/>
      <protection locked="0"/>
    </xf>
    <xf numFmtId="0" fontId="14" fillId="0" borderId="6" xfId="59" applyFont="1" applyBorder="1" applyAlignment="1">
      <alignment horizontal="left" vertical="center"/>
    </xf>
    <xf numFmtId="0" fontId="14" fillId="0" borderId="7" xfId="59" applyFont="1" applyBorder="1" applyAlignment="1">
      <alignment horizontal="left" vertical="center"/>
    </xf>
    <xf numFmtId="175" fontId="14" fillId="2" borderId="18" xfId="59" applyNumberFormat="1" applyFont="1" applyFill="1" applyBorder="1" applyAlignment="1">
      <alignment horizontal="center" vertical="center"/>
    </xf>
    <xf numFmtId="175" fontId="14" fillId="2" borderId="14" xfId="59" applyNumberFormat="1" applyFont="1" applyFill="1" applyBorder="1" applyAlignment="1">
      <alignment horizontal="center" vertical="center"/>
    </xf>
    <xf numFmtId="0" fontId="0" fillId="0" borderId="7" xfId="0" applyBorder="1" applyAlignment="1">
      <alignment wrapText="1"/>
    </xf>
    <xf numFmtId="0" fontId="46" fillId="0" borderId="0" xfId="59" applyAlignment="1">
      <alignment horizontal="center"/>
    </xf>
    <xf numFmtId="0" fontId="14" fillId="0" borderId="0" xfId="59" applyFont="1" applyAlignment="1">
      <alignment horizontal="center"/>
    </xf>
    <xf numFmtId="0" fontId="46" fillId="0" borderId="0" xfId="59"/>
    <xf numFmtId="0" fontId="0" fillId="0" borderId="0" xfId="0" applyAlignment="1">
      <alignment horizontal="left"/>
    </xf>
    <xf numFmtId="0" fontId="0" fillId="0" borderId="0" xfId="0"/>
    <xf numFmtId="0" fontId="0" fillId="0" borderId="7" xfId="0" applyBorder="1"/>
    <xf numFmtId="0" fontId="46" fillId="0" borderId="0" xfId="59" applyAlignment="1">
      <alignment wrapText="1"/>
    </xf>
    <xf numFmtId="0" fontId="46" fillId="0" borderId="7" xfId="59" applyBorder="1" applyAlignment="1">
      <alignment wrapText="1"/>
    </xf>
    <xf numFmtId="0" fontId="46" fillId="0" borderId="0" xfId="59" applyAlignment="1">
      <alignment horizontal="left" vertical="center" wrapText="1"/>
    </xf>
    <xf numFmtId="0" fontId="46" fillId="0" borderId="7" xfId="59" applyBorder="1" applyAlignment="1">
      <alignment horizontal="left" vertical="center" wrapText="1"/>
    </xf>
    <xf numFmtId="0" fontId="15" fillId="0" borderId="7" xfId="59" applyFont="1" applyBorder="1" applyAlignment="1">
      <alignment horizontal="center" wrapText="1"/>
    </xf>
    <xf numFmtId="0" fontId="15" fillId="0" borderId="6" xfId="59" applyFont="1" applyBorder="1" applyAlignment="1">
      <alignment horizontal="center" vertical="center"/>
    </xf>
    <xf numFmtId="49" fontId="14" fillId="0" borderId="3" xfId="59" applyNumberFormat="1" applyFont="1" applyBorder="1" applyAlignment="1">
      <alignment horizontal="left" vertical="center" wrapText="1"/>
    </xf>
    <xf numFmtId="0" fontId="12" fillId="0" borderId="4" xfId="0" applyFont="1" applyBorder="1" applyAlignment="1">
      <alignment horizontal="left" vertical="center" wrapText="1"/>
    </xf>
    <xf numFmtId="0" fontId="14" fillId="5" borderId="18" xfId="59" applyFont="1" applyFill="1" applyBorder="1" applyAlignment="1" applyProtection="1">
      <alignment horizontal="center" vertical="center"/>
      <protection locked="0"/>
    </xf>
    <xf numFmtId="0" fontId="14" fillId="5" borderId="19" xfId="59" applyFont="1" applyFill="1" applyBorder="1" applyAlignment="1" applyProtection="1">
      <alignment horizontal="center" vertical="center"/>
      <protection locked="0"/>
    </xf>
    <xf numFmtId="0" fontId="14" fillId="5" borderId="14" xfId="59" applyFont="1" applyFill="1" applyBorder="1" applyAlignment="1" applyProtection="1">
      <alignment horizontal="center" vertical="center"/>
      <protection locked="0"/>
    </xf>
    <xf numFmtId="0" fontId="37" fillId="5" borderId="19" xfId="59" applyFont="1" applyFill="1" applyBorder="1" applyAlignment="1" applyProtection="1">
      <alignment horizontal="center" vertical="center"/>
      <protection locked="0"/>
    </xf>
    <xf numFmtId="0" fontId="37" fillId="5" borderId="14" xfId="59" applyFont="1" applyFill="1" applyBorder="1" applyAlignment="1" applyProtection="1">
      <alignment horizontal="center" vertical="center"/>
      <protection locked="0"/>
    </xf>
    <xf numFmtId="0" fontId="17" fillId="5" borderId="18" xfId="59" applyFont="1" applyFill="1" applyBorder="1" applyAlignment="1" applyProtection="1">
      <alignment horizontal="center" vertical="center"/>
      <protection locked="0"/>
    </xf>
    <xf numFmtId="0" fontId="64" fillId="5" borderId="19" xfId="59" applyFont="1" applyFill="1" applyBorder="1" applyAlignment="1" applyProtection="1">
      <alignment horizontal="center" vertical="center"/>
      <protection locked="0"/>
    </xf>
    <xf numFmtId="0" fontId="64" fillId="5" borderId="14" xfId="59" applyFont="1" applyFill="1" applyBorder="1" applyAlignment="1" applyProtection="1">
      <alignment horizontal="center" vertical="center"/>
      <protection locked="0"/>
    </xf>
    <xf numFmtId="0" fontId="46" fillId="0" borderId="7" xfId="59" applyBorder="1"/>
    <xf numFmtId="0" fontId="52" fillId="0" borderId="10" xfId="59" applyFont="1" applyBorder="1" applyAlignment="1">
      <alignment horizontal="center" vertical="center" wrapText="1"/>
    </xf>
    <xf numFmtId="0" fontId="52" fillId="0" borderId="11" xfId="59" applyFont="1" applyBorder="1" applyAlignment="1">
      <alignment horizontal="center" vertical="center" wrapText="1"/>
    </xf>
    <xf numFmtId="0" fontId="52" fillId="0" borderId="6" xfId="59" applyFont="1" applyBorder="1" applyAlignment="1">
      <alignment horizontal="center" vertical="center" wrapText="1"/>
    </xf>
    <xf numFmtId="0" fontId="52" fillId="0" borderId="7" xfId="59" applyFont="1" applyBorder="1" applyAlignment="1">
      <alignment horizontal="center" vertical="center" wrapText="1"/>
    </xf>
    <xf numFmtId="0" fontId="52" fillId="0" borderId="3" xfId="59" applyFont="1" applyBorder="1" applyAlignment="1">
      <alignment horizontal="center" vertical="center" wrapText="1"/>
    </xf>
    <xf numFmtId="0" fontId="52" fillId="0" borderId="5" xfId="59" applyFont="1" applyBorder="1" applyAlignment="1">
      <alignment horizontal="center" vertical="center" wrapText="1"/>
    </xf>
    <xf numFmtId="0" fontId="56" fillId="0" borderId="8" xfId="64" applyFont="1" applyBorder="1" applyAlignment="1">
      <alignment horizontal="center" vertical="center" wrapText="1"/>
    </xf>
  </cellXfs>
  <cellStyles count="303">
    <cellStyle name="Euro" xfId="1" xr:uid="{00000000-0005-0000-0000-000000000000}"/>
    <cellStyle name="Euro 2" xfId="2" xr:uid="{00000000-0005-0000-0000-000001000000}"/>
    <cellStyle name="Euro 2 2" xfId="3" xr:uid="{00000000-0005-0000-0000-000002000000}"/>
    <cellStyle name="Euro 3" xfId="4" xr:uid="{00000000-0005-0000-0000-000003000000}"/>
    <cellStyle name="Euro 3 2" xfId="5" xr:uid="{00000000-0005-0000-0000-000004000000}"/>
    <cellStyle name="Euro 4" xfId="6" xr:uid="{00000000-0005-0000-0000-000005000000}"/>
    <cellStyle name="Euro 4 2" xfId="7" xr:uid="{00000000-0005-0000-0000-000006000000}"/>
    <cellStyle name="Hyperlink" xfId="8" builtinId="8"/>
    <cellStyle name="Normal" xfId="0" builtinId="0"/>
    <cellStyle name="Normal 2" xfId="9" xr:uid="{00000000-0005-0000-0000-000009000000}"/>
    <cellStyle name="Normal 2 2" xfId="10" xr:uid="{00000000-0005-0000-0000-00000A000000}"/>
    <cellStyle name="Normal 2 2 2" xfId="11" xr:uid="{00000000-0005-0000-0000-00000B000000}"/>
    <cellStyle name="Normal 2 2 2 2" xfId="12" xr:uid="{00000000-0005-0000-0000-00000C000000}"/>
    <cellStyle name="Normal 2 2 2 2 2" xfId="13" xr:uid="{00000000-0005-0000-0000-00000D000000}"/>
    <cellStyle name="Normal 2 2 2 3" xfId="14" xr:uid="{00000000-0005-0000-0000-00000E000000}"/>
    <cellStyle name="Normal 2 2 2 3 2" xfId="15" xr:uid="{00000000-0005-0000-0000-00000F000000}"/>
    <cellStyle name="Normal 2 2 2 4" xfId="16" xr:uid="{00000000-0005-0000-0000-000010000000}"/>
    <cellStyle name="Normal 2 2 3" xfId="17" xr:uid="{00000000-0005-0000-0000-000011000000}"/>
    <cellStyle name="Normal 2 2 3 2" xfId="18" xr:uid="{00000000-0005-0000-0000-000012000000}"/>
    <cellStyle name="Normal 2 2 3 2 2" xfId="19" xr:uid="{00000000-0005-0000-0000-000013000000}"/>
    <cellStyle name="Normal 2 2 3 3" xfId="20" xr:uid="{00000000-0005-0000-0000-000014000000}"/>
    <cellStyle name="Normal 2 2 3 3 2" xfId="21" xr:uid="{00000000-0005-0000-0000-000015000000}"/>
    <cellStyle name="Normal 2 2 3 4" xfId="22" xr:uid="{00000000-0005-0000-0000-000016000000}"/>
    <cellStyle name="Normal 2 2 4" xfId="23" xr:uid="{00000000-0005-0000-0000-000017000000}"/>
    <cellStyle name="Normal 2 2 4 2" xfId="24" xr:uid="{00000000-0005-0000-0000-000018000000}"/>
    <cellStyle name="Normal 2 2 5" xfId="25" xr:uid="{00000000-0005-0000-0000-000019000000}"/>
    <cellStyle name="Normal 2 2 6" xfId="26" xr:uid="{00000000-0005-0000-0000-00001A000000}"/>
    <cellStyle name="Normal 2 2 7" xfId="27" xr:uid="{00000000-0005-0000-0000-00001B000000}"/>
    <cellStyle name="Normal 2 3" xfId="28" xr:uid="{00000000-0005-0000-0000-00001C000000}"/>
    <cellStyle name="Normal 2 3 2" xfId="29" xr:uid="{00000000-0005-0000-0000-00001D000000}"/>
    <cellStyle name="Normal 2 3 2 2" xfId="30" xr:uid="{00000000-0005-0000-0000-00001E000000}"/>
    <cellStyle name="Normal 2 3 3" xfId="31" xr:uid="{00000000-0005-0000-0000-00001F000000}"/>
    <cellStyle name="Normal 2 3 3 2" xfId="32" xr:uid="{00000000-0005-0000-0000-000020000000}"/>
    <cellStyle name="Normal 2 3 4" xfId="33" xr:uid="{00000000-0005-0000-0000-000021000000}"/>
    <cellStyle name="Normal 2 4" xfId="34" xr:uid="{00000000-0005-0000-0000-000022000000}"/>
    <cellStyle name="Normal 2 4 2" xfId="35" xr:uid="{00000000-0005-0000-0000-000023000000}"/>
    <cellStyle name="Normal 2 5" xfId="36" xr:uid="{00000000-0005-0000-0000-000024000000}"/>
    <cellStyle name="Normal 2 5 2" xfId="37" xr:uid="{00000000-0005-0000-0000-000025000000}"/>
    <cellStyle name="Normal 2 5 2 2" xfId="38" xr:uid="{00000000-0005-0000-0000-000026000000}"/>
    <cellStyle name="Normal 2 5 3" xfId="39" xr:uid="{00000000-0005-0000-0000-000027000000}"/>
    <cellStyle name="Normal 2 6" xfId="40" xr:uid="{00000000-0005-0000-0000-000028000000}"/>
    <cellStyle name="Normal 2 6 2" xfId="41" xr:uid="{00000000-0005-0000-0000-000029000000}"/>
    <cellStyle name="Normal 2 7" xfId="42" xr:uid="{00000000-0005-0000-0000-00002A000000}"/>
    <cellStyle name="Normal 2 7 2" xfId="43" xr:uid="{00000000-0005-0000-0000-00002B000000}"/>
    <cellStyle name="Normal 2 7 3" xfId="44" xr:uid="{00000000-0005-0000-0000-00002C000000}"/>
    <cellStyle name="Normal 2 8" xfId="45" xr:uid="{00000000-0005-0000-0000-00002D000000}"/>
    <cellStyle name="Normal 3" xfId="46" xr:uid="{00000000-0005-0000-0000-00002E000000}"/>
    <cellStyle name="Normal 3 10" xfId="301" xr:uid="{01F33695-A19A-443F-994D-C39AF5445EC7}"/>
    <cellStyle name="Normal 3 10 2" xfId="302" xr:uid="{C53B5F25-539B-4417-8DF6-37D98B392934}"/>
    <cellStyle name="Normal 3 2" xfId="47" xr:uid="{00000000-0005-0000-0000-00002F000000}"/>
    <cellStyle name="Normal 3 2 2" xfId="66" xr:uid="{00000000-0005-0000-0000-000030000000}"/>
    <cellStyle name="Normal 3 2 2 2" xfId="76" xr:uid="{00000000-0005-0000-0000-000031000000}"/>
    <cellStyle name="Normal 3 2 2 2 2" xfId="96" xr:uid="{00000000-0005-0000-0000-000032000000}"/>
    <cellStyle name="Normal 3 2 2 2 2 2" xfId="176" xr:uid="{00000000-0005-0000-0000-000033000000}"/>
    <cellStyle name="Normal 3 2 2 2 2 2 2" xfId="296" xr:uid="{00000000-0005-0000-0000-000034000000}"/>
    <cellStyle name="Normal 3 2 2 2 2 3" xfId="216" xr:uid="{00000000-0005-0000-0000-000035000000}"/>
    <cellStyle name="Normal 3 2 2 2 3" xfId="116" xr:uid="{00000000-0005-0000-0000-000036000000}"/>
    <cellStyle name="Normal 3 2 2 2 3 2" xfId="156" xr:uid="{00000000-0005-0000-0000-000037000000}"/>
    <cellStyle name="Normal 3 2 2 2 3 2 2" xfId="276" xr:uid="{00000000-0005-0000-0000-000038000000}"/>
    <cellStyle name="Normal 3 2 2 2 3 3" xfId="236" xr:uid="{00000000-0005-0000-0000-000039000000}"/>
    <cellStyle name="Normal 3 2 2 2 4" xfId="136" xr:uid="{00000000-0005-0000-0000-00003A000000}"/>
    <cellStyle name="Normal 3 2 2 2 4 2" xfId="256" xr:uid="{00000000-0005-0000-0000-00003B000000}"/>
    <cellStyle name="Normal 3 2 2 2 5" xfId="196" xr:uid="{00000000-0005-0000-0000-00003C000000}"/>
    <cellStyle name="Normal 3 2 2 3" xfId="86" xr:uid="{00000000-0005-0000-0000-00003D000000}"/>
    <cellStyle name="Normal 3 2 2 3 2" xfId="166" xr:uid="{00000000-0005-0000-0000-00003E000000}"/>
    <cellStyle name="Normal 3 2 2 3 2 2" xfId="286" xr:uid="{00000000-0005-0000-0000-00003F000000}"/>
    <cellStyle name="Normal 3 2 2 3 3" xfId="206" xr:uid="{00000000-0005-0000-0000-000040000000}"/>
    <cellStyle name="Normal 3 2 2 4" xfId="106" xr:uid="{00000000-0005-0000-0000-000041000000}"/>
    <cellStyle name="Normal 3 2 2 4 2" xfId="146" xr:uid="{00000000-0005-0000-0000-000042000000}"/>
    <cellStyle name="Normal 3 2 2 4 2 2" xfId="266" xr:uid="{00000000-0005-0000-0000-000043000000}"/>
    <cellStyle name="Normal 3 2 2 4 3" xfId="226" xr:uid="{00000000-0005-0000-0000-000044000000}"/>
    <cellStyle name="Normal 3 2 2 5" xfId="126" xr:uid="{00000000-0005-0000-0000-000045000000}"/>
    <cellStyle name="Normal 3 2 2 5 2" xfId="246" xr:uid="{00000000-0005-0000-0000-000046000000}"/>
    <cellStyle name="Normal 3 2 2 6" xfId="186" xr:uid="{00000000-0005-0000-0000-000047000000}"/>
    <cellStyle name="Normal 3 2 3" xfId="71" xr:uid="{00000000-0005-0000-0000-000048000000}"/>
    <cellStyle name="Normal 3 2 3 2" xfId="91" xr:uid="{00000000-0005-0000-0000-000049000000}"/>
    <cellStyle name="Normal 3 2 3 2 2" xfId="171" xr:uid="{00000000-0005-0000-0000-00004A000000}"/>
    <cellStyle name="Normal 3 2 3 2 2 2" xfId="291" xr:uid="{00000000-0005-0000-0000-00004B000000}"/>
    <cellStyle name="Normal 3 2 3 2 3" xfId="211" xr:uid="{00000000-0005-0000-0000-00004C000000}"/>
    <cellStyle name="Normal 3 2 3 3" xfId="111" xr:uid="{00000000-0005-0000-0000-00004D000000}"/>
    <cellStyle name="Normal 3 2 3 3 2" xfId="151" xr:uid="{00000000-0005-0000-0000-00004E000000}"/>
    <cellStyle name="Normal 3 2 3 3 2 2" xfId="271" xr:uid="{00000000-0005-0000-0000-00004F000000}"/>
    <cellStyle name="Normal 3 2 3 3 3" xfId="231" xr:uid="{00000000-0005-0000-0000-000050000000}"/>
    <cellStyle name="Normal 3 2 3 4" xfId="131" xr:uid="{00000000-0005-0000-0000-000051000000}"/>
    <cellStyle name="Normal 3 2 3 4 2" xfId="251" xr:uid="{00000000-0005-0000-0000-000052000000}"/>
    <cellStyle name="Normal 3 2 3 5" xfId="191" xr:uid="{00000000-0005-0000-0000-000053000000}"/>
    <cellStyle name="Normal 3 2 4" xfId="81" xr:uid="{00000000-0005-0000-0000-000054000000}"/>
    <cellStyle name="Normal 3 2 4 2" xfId="161" xr:uid="{00000000-0005-0000-0000-000055000000}"/>
    <cellStyle name="Normal 3 2 4 2 2" xfId="281" xr:uid="{00000000-0005-0000-0000-000056000000}"/>
    <cellStyle name="Normal 3 2 4 3" xfId="201" xr:uid="{00000000-0005-0000-0000-000057000000}"/>
    <cellStyle name="Normal 3 2 5" xfId="101" xr:uid="{00000000-0005-0000-0000-000058000000}"/>
    <cellStyle name="Normal 3 2 5 2" xfId="141" xr:uid="{00000000-0005-0000-0000-000059000000}"/>
    <cellStyle name="Normal 3 2 5 2 2" xfId="261" xr:uid="{00000000-0005-0000-0000-00005A000000}"/>
    <cellStyle name="Normal 3 2 5 3" xfId="221" xr:uid="{00000000-0005-0000-0000-00005B000000}"/>
    <cellStyle name="Normal 3 2 6" xfId="121" xr:uid="{00000000-0005-0000-0000-00005C000000}"/>
    <cellStyle name="Normal 3 2 6 2" xfId="241" xr:uid="{00000000-0005-0000-0000-00005D000000}"/>
    <cellStyle name="Normal 3 2 7" xfId="181" xr:uid="{00000000-0005-0000-0000-00005E000000}"/>
    <cellStyle name="Normal 3 3" xfId="48" xr:uid="{00000000-0005-0000-0000-00005F000000}"/>
    <cellStyle name="Normal 3 3 2" xfId="67" xr:uid="{00000000-0005-0000-0000-000060000000}"/>
    <cellStyle name="Normal 3 3 2 2" xfId="77" xr:uid="{00000000-0005-0000-0000-000061000000}"/>
    <cellStyle name="Normal 3 3 2 2 2" xfId="97" xr:uid="{00000000-0005-0000-0000-000062000000}"/>
    <cellStyle name="Normal 3 3 2 2 2 2" xfId="177" xr:uid="{00000000-0005-0000-0000-000063000000}"/>
    <cellStyle name="Normal 3 3 2 2 2 2 2" xfId="297" xr:uid="{00000000-0005-0000-0000-000064000000}"/>
    <cellStyle name="Normal 3 3 2 2 2 3" xfId="217" xr:uid="{00000000-0005-0000-0000-000065000000}"/>
    <cellStyle name="Normal 3 3 2 2 3" xfId="117" xr:uid="{00000000-0005-0000-0000-000066000000}"/>
    <cellStyle name="Normal 3 3 2 2 3 2" xfId="157" xr:uid="{00000000-0005-0000-0000-000067000000}"/>
    <cellStyle name="Normal 3 3 2 2 3 2 2" xfId="277" xr:uid="{00000000-0005-0000-0000-000068000000}"/>
    <cellStyle name="Normal 3 3 2 2 3 3" xfId="237" xr:uid="{00000000-0005-0000-0000-000069000000}"/>
    <cellStyle name="Normal 3 3 2 2 4" xfId="137" xr:uid="{00000000-0005-0000-0000-00006A000000}"/>
    <cellStyle name="Normal 3 3 2 2 4 2" xfId="257" xr:uid="{00000000-0005-0000-0000-00006B000000}"/>
    <cellStyle name="Normal 3 3 2 2 5" xfId="197" xr:uid="{00000000-0005-0000-0000-00006C000000}"/>
    <cellStyle name="Normal 3 3 2 3" xfId="87" xr:uid="{00000000-0005-0000-0000-00006D000000}"/>
    <cellStyle name="Normal 3 3 2 3 2" xfId="167" xr:uid="{00000000-0005-0000-0000-00006E000000}"/>
    <cellStyle name="Normal 3 3 2 3 2 2" xfId="287" xr:uid="{00000000-0005-0000-0000-00006F000000}"/>
    <cellStyle name="Normal 3 3 2 3 3" xfId="207" xr:uid="{00000000-0005-0000-0000-000070000000}"/>
    <cellStyle name="Normal 3 3 2 4" xfId="107" xr:uid="{00000000-0005-0000-0000-000071000000}"/>
    <cellStyle name="Normal 3 3 2 4 2" xfId="147" xr:uid="{00000000-0005-0000-0000-000072000000}"/>
    <cellStyle name="Normal 3 3 2 4 2 2" xfId="267" xr:uid="{00000000-0005-0000-0000-000073000000}"/>
    <cellStyle name="Normal 3 3 2 4 3" xfId="227" xr:uid="{00000000-0005-0000-0000-000074000000}"/>
    <cellStyle name="Normal 3 3 2 5" xfId="127" xr:uid="{00000000-0005-0000-0000-000075000000}"/>
    <cellStyle name="Normal 3 3 2 5 2" xfId="247" xr:uid="{00000000-0005-0000-0000-000076000000}"/>
    <cellStyle name="Normal 3 3 2 6" xfId="187" xr:uid="{00000000-0005-0000-0000-000077000000}"/>
    <cellStyle name="Normal 3 3 3" xfId="72" xr:uid="{00000000-0005-0000-0000-000078000000}"/>
    <cellStyle name="Normal 3 3 3 2" xfId="92" xr:uid="{00000000-0005-0000-0000-000079000000}"/>
    <cellStyle name="Normal 3 3 3 2 2" xfId="172" xr:uid="{00000000-0005-0000-0000-00007A000000}"/>
    <cellStyle name="Normal 3 3 3 2 2 2" xfId="292" xr:uid="{00000000-0005-0000-0000-00007B000000}"/>
    <cellStyle name="Normal 3 3 3 2 3" xfId="212" xr:uid="{00000000-0005-0000-0000-00007C000000}"/>
    <cellStyle name="Normal 3 3 3 3" xfId="112" xr:uid="{00000000-0005-0000-0000-00007D000000}"/>
    <cellStyle name="Normal 3 3 3 3 2" xfId="152" xr:uid="{00000000-0005-0000-0000-00007E000000}"/>
    <cellStyle name="Normal 3 3 3 3 2 2" xfId="272" xr:uid="{00000000-0005-0000-0000-00007F000000}"/>
    <cellStyle name="Normal 3 3 3 3 3" xfId="232" xr:uid="{00000000-0005-0000-0000-000080000000}"/>
    <cellStyle name="Normal 3 3 3 4" xfId="132" xr:uid="{00000000-0005-0000-0000-000081000000}"/>
    <cellStyle name="Normal 3 3 3 4 2" xfId="252" xr:uid="{00000000-0005-0000-0000-000082000000}"/>
    <cellStyle name="Normal 3 3 3 5" xfId="192" xr:uid="{00000000-0005-0000-0000-000083000000}"/>
    <cellStyle name="Normal 3 3 4" xfId="82" xr:uid="{00000000-0005-0000-0000-000084000000}"/>
    <cellStyle name="Normal 3 3 4 2" xfId="162" xr:uid="{00000000-0005-0000-0000-000085000000}"/>
    <cellStyle name="Normal 3 3 4 2 2" xfId="282" xr:uid="{00000000-0005-0000-0000-000086000000}"/>
    <cellStyle name="Normal 3 3 4 3" xfId="202" xr:uid="{00000000-0005-0000-0000-000087000000}"/>
    <cellStyle name="Normal 3 3 5" xfId="102" xr:uid="{00000000-0005-0000-0000-000088000000}"/>
    <cellStyle name="Normal 3 3 5 2" xfId="142" xr:uid="{00000000-0005-0000-0000-000089000000}"/>
    <cellStyle name="Normal 3 3 5 2 2" xfId="262" xr:uid="{00000000-0005-0000-0000-00008A000000}"/>
    <cellStyle name="Normal 3 3 5 3" xfId="222" xr:uid="{00000000-0005-0000-0000-00008B000000}"/>
    <cellStyle name="Normal 3 3 6" xfId="122" xr:uid="{00000000-0005-0000-0000-00008C000000}"/>
    <cellStyle name="Normal 3 3 6 2" xfId="242" xr:uid="{00000000-0005-0000-0000-00008D000000}"/>
    <cellStyle name="Normal 3 3 7" xfId="182" xr:uid="{00000000-0005-0000-0000-00008E000000}"/>
    <cellStyle name="Normal 3 4" xfId="65" xr:uid="{00000000-0005-0000-0000-00008F000000}"/>
    <cellStyle name="Normal 3 4 2" xfId="75" xr:uid="{00000000-0005-0000-0000-000090000000}"/>
    <cellStyle name="Normal 3 4 2 2" xfId="95" xr:uid="{00000000-0005-0000-0000-000091000000}"/>
    <cellStyle name="Normal 3 4 2 2 2" xfId="175" xr:uid="{00000000-0005-0000-0000-000092000000}"/>
    <cellStyle name="Normal 3 4 2 2 2 2" xfId="295" xr:uid="{00000000-0005-0000-0000-000093000000}"/>
    <cellStyle name="Normal 3 4 2 2 3" xfId="215" xr:uid="{00000000-0005-0000-0000-000094000000}"/>
    <cellStyle name="Normal 3 4 2 3" xfId="115" xr:uid="{00000000-0005-0000-0000-000095000000}"/>
    <cellStyle name="Normal 3 4 2 3 2" xfId="155" xr:uid="{00000000-0005-0000-0000-000096000000}"/>
    <cellStyle name="Normal 3 4 2 3 2 2" xfId="275" xr:uid="{00000000-0005-0000-0000-000097000000}"/>
    <cellStyle name="Normal 3 4 2 3 3" xfId="235" xr:uid="{00000000-0005-0000-0000-000098000000}"/>
    <cellStyle name="Normal 3 4 2 4" xfId="135" xr:uid="{00000000-0005-0000-0000-000099000000}"/>
    <cellStyle name="Normal 3 4 2 4 2" xfId="255" xr:uid="{00000000-0005-0000-0000-00009A000000}"/>
    <cellStyle name="Normal 3 4 2 5" xfId="195" xr:uid="{00000000-0005-0000-0000-00009B000000}"/>
    <cellStyle name="Normal 3 4 3" xfId="85" xr:uid="{00000000-0005-0000-0000-00009C000000}"/>
    <cellStyle name="Normal 3 4 3 2" xfId="165" xr:uid="{00000000-0005-0000-0000-00009D000000}"/>
    <cellStyle name="Normal 3 4 3 2 2" xfId="285" xr:uid="{00000000-0005-0000-0000-00009E000000}"/>
    <cellStyle name="Normal 3 4 3 3" xfId="205" xr:uid="{00000000-0005-0000-0000-00009F000000}"/>
    <cellStyle name="Normal 3 4 4" xfId="105" xr:uid="{00000000-0005-0000-0000-0000A0000000}"/>
    <cellStyle name="Normal 3 4 4 2" xfId="145" xr:uid="{00000000-0005-0000-0000-0000A1000000}"/>
    <cellStyle name="Normal 3 4 4 2 2" xfId="265" xr:uid="{00000000-0005-0000-0000-0000A2000000}"/>
    <cellStyle name="Normal 3 4 4 3" xfId="225" xr:uid="{00000000-0005-0000-0000-0000A3000000}"/>
    <cellStyle name="Normal 3 4 5" xfId="125" xr:uid="{00000000-0005-0000-0000-0000A4000000}"/>
    <cellStyle name="Normal 3 4 5 2" xfId="245" xr:uid="{00000000-0005-0000-0000-0000A5000000}"/>
    <cellStyle name="Normal 3 4 6" xfId="185" xr:uid="{00000000-0005-0000-0000-0000A6000000}"/>
    <cellStyle name="Normal 3 5" xfId="70" xr:uid="{00000000-0005-0000-0000-0000A7000000}"/>
    <cellStyle name="Normal 3 5 2" xfId="90" xr:uid="{00000000-0005-0000-0000-0000A8000000}"/>
    <cellStyle name="Normal 3 5 2 2" xfId="170" xr:uid="{00000000-0005-0000-0000-0000A9000000}"/>
    <cellStyle name="Normal 3 5 2 2 2" xfId="290" xr:uid="{00000000-0005-0000-0000-0000AA000000}"/>
    <cellStyle name="Normal 3 5 2 3" xfId="210" xr:uid="{00000000-0005-0000-0000-0000AB000000}"/>
    <cellStyle name="Normal 3 5 3" xfId="110" xr:uid="{00000000-0005-0000-0000-0000AC000000}"/>
    <cellStyle name="Normal 3 5 3 2" xfId="150" xr:uid="{00000000-0005-0000-0000-0000AD000000}"/>
    <cellStyle name="Normal 3 5 3 2 2" xfId="270" xr:uid="{00000000-0005-0000-0000-0000AE000000}"/>
    <cellStyle name="Normal 3 5 3 3" xfId="230" xr:uid="{00000000-0005-0000-0000-0000AF000000}"/>
    <cellStyle name="Normal 3 5 4" xfId="130" xr:uid="{00000000-0005-0000-0000-0000B0000000}"/>
    <cellStyle name="Normal 3 5 4 2" xfId="250" xr:uid="{00000000-0005-0000-0000-0000B1000000}"/>
    <cellStyle name="Normal 3 5 5" xfId="190" xr:uid="{00000000-0005-0000-0000-0000B2000000}"/>
    <cellStyle name="Normal 3 6" xfId="80" xr:uid="{00000000-0005-0000-0000-0000B3000000}"/>
    <cellStyle name="Normal 3 6 2" xfId="160" xr:uid="{00000000-0005-0000-0000-0000B4000000}"/>
    <cellStyle name="Normal 3 6 2 2" xfId="280" xr:uid="{00000000-0005-0000-0000-0000B5000000}"/>
    <cellStyle name="Normal 3 6 3" xfId="200" xr:uid="{00000000-0005-0000-0000-0000B6000000}"/>
    <cellStyle name="Normal 3 7" xfId="100" xr:uid="{00000000-0005-0000-0000-0000B7000000}"/>
    <cellStyle name="Normal 3 7 2" xfId="140" xr:uid="{00000000-0005-0000-0000-0000B8000000}"/>
    <cellStyle name="Normal 3 7 2 2" xfId="260" xr:uid="{00000000-0005-0000-0000-0000B9000000}"/>
    <cellStyle name="Normal 3 7 3" xfId="220" xr:uid="{00000000-0005-0000-0000-0000BA000000}"/>
    <cellStyle name="Normal 3 8" xfId="120" xr:uid="{00000000-0005-0000-0000-0000BB000000}"/>
    <cellStyle name="Normal 3 8 2" xfId="240" xr:uid="{00000000-0005-0000-0000-0000BC000000}"/>
    <cellStyle name="Normal 3 9" xfId="180" xr:uid="{00000000-0005-0000-0000-0000BD000000}"/>
    <cellStyle name="Normal 4" xfId="49" xr:uid="{00000000-0005-0000-0000-0000BE000000}"/>
    <cellStyle name="Normal 4 2" xfId="50" xr:uid="{00000000-0005-0000-0000-0000BF000000}"/>
    <cellStyle name="Normal 4 2 2" xfId="69" xr:uid="{00000000-0005-0000-0000-0000C0000000}"/>
    <cellStyle name="Normal 4 2 2 2" xfId="79" xr:uid="{00000000-0005-0000-0000-0000C1000000}"/>
    <cellStyle name="Normal 4 2 2 2 2" xfId="99" xr:uid="{00000000-0005-0000-0000-0000C2000000}"/>
    <cellStyle name="Normal 4 2 2 2 2 2" xfId="179" xr:uid="{00000000-0005-0000-0000-0000C3000000}"/>
    <cellStyle name="Normal 4 2 2 2 2 2 2" xfId="299" xr:uid="{00000000-0005-0000-0000-0000C4000000}"/>
    <cellStyle name="Normal 4 2 2 2 2 3" xfId="219" xr:uid="{00000000-0005-0000-0000-0000C5000000}"/>
    <cellStyle name="Normal 4 2 2 2 3" xfId="119" xr:uid="{00000000-0005-0000-0000-0000C6000000}"/>
    <cellStyle name="Normal 4 2 2 2 3 2" xfId="159" xr:uid="{00000000-0005-0000-0000-0000C7000000}"/>
    <cellStyle name="Normal 4 2 2 2 3 2 2" xfId="279" xr:uid="{00000000-0005-0000-0000-0000C8000000}"/>
    <cellStyle name="Normal 4 2 2 2 3 3" xfId="239" xr:uid="{00000000-0005-0000-0000-0000C9000000}"/>
    <cellStyle name="Normal 4 2 2 2 4" xfId="139" xr:uid="{00000000-0005-0000-0000-0000CA000000}"/>
    <cellStyle name="Normal 4 2 2 2 4 2" xfId="259" xr:uid="{00000000-0005-0000-0000-0000CB000000}"/>
    <cellStyle name="Normal 4 2 2 2 5" xfId="199" xr:uid="{00000000-0005-0000-0000-0000CC000000}"/>
    <cellStyle name="Normal 4 2 2 3" xfId="89" xr:uid="{00000000-0005-0000-0000-0000CD000000}"/>
    <cellStyle name="Normal 4 2 2 3 2" xfId="169" xr:uid="{00000000-0005-0000-0000-0000CE000000}"/>
    <cellStyle name="Normal 4 2 2 3 2 2" xfId="289" xr:uid="{00000000-0005-0000-0000-0000CF000000}"/>
    <cellStyle name="Normal 4 2 2 3 3" xfId="209" xr:uid="{00000000-0005-0000-0000-0000D0000000}"/>
    <cellStyle name="Normal 4 2 2 4" xfId="109" xr:uid="{00000000-0005-0000-0000-0000D1000000}"/>
    <cellStyle name="Normal 4 2 2 4 2" xfId="149" xr:uid="{00000000-0005-0000-0000-0000D2000000}"/>
    <cellStyle name="Normal 4 2 2 4 2 2" xfId="269" xr:uid="{00000000-0005-0000-0000-0000D3000000}"/>
    <cellStyle name="Normal 4 2 2 4 3" xfId="229" xr:uid="{00000000-0005-0000-0000-0000D4000000}"/>
    <cellStyle name="Normal 4 2 2 5" xfId="129" xr:uid="{00000000-0005-0000-0000-0000D5000000}"/>
    <cellStyle name="Normal 4 2 2 5 2" xfId="249" xr:uid="{00000000-0005-0000-0000-0000D6000000}"/>
    <cellStyle name="Normal 4 2 2 6" xfId="189" xr:uid="{00000000-0005-0000-0000-0000D7000000}"/>
    <cellStyle name="Normal 4 2 3" xfId="74" xr:uid="{00000000-0005-0000-0000-0000D8000000}"/>
    <cellStyle name="Normal 4 2 3 2" xfId="94" xr:uid="{00000000-0005-0000-0000-0000D9000000}"/>
    <cellStyle name="Normal 4 2 3 2 2" xfId="174" xr:uid="{00000000-0005-0000-0000-0000DA000000}"/>
    <cellStyle name="Normal 4 2 3 2 2 2" xfId="294" xr:uid="{00000000-0005-0000-0000-0000DB000000}"/>
    <cellStyle name="Normal 4 2 3 2 3" xfId="214" xr:uid="{00000000-0005-0000-0000-0000DC000000}"/>
    <cellStyle name="Normal 4 2 3 3" xfId="114" xr:uid="{00000000-0005-0000-0000-0000DD000000}"/>
    <cellStyle name="Normal 4 2 3 3 2" xfId="154" xr:uid="{00000000-0005-0000-0000-0000DE000000}"/>
    <cellStyle name="Normal 4 2 3 3 2 2" xfId="274" xr:uid="{00000000-0005-0000-0000-0000DF000000}"/>
    <cellStyle name="Normal 4 2 3 3 3" xfId="234" xr:uid="{00000000-0005-0000-0000-0000E0000000}"/>
    <cellStyle name="Normal 4 2 3 4" xfId="134" xr:uid="{00000000-0005-0000-0000-0000E1000000}"/>
    <cellStyle name="Normal 4 2 3 4 2" xfId="254" xr:uid="{00000000-0005-0000-0000-0000E2000000}"/>
    <cellStyle name="Normal 4 2 3 5" xfId="194" xr:uid="{00000000-0005-0000-0000-0000E3000000}"/>
    <cellStyle name="Normal 4 2 4" xfId="84" xr:uid="{00000000-0005-0000-0000-0000E4000000}"/>
    <cellStyle name="Normal 4 2 4 2" xfId="164" xr:uid="{00000000-0005-0000-0000-0000E5000000}"/>
    <cellStyle name="Normal 4 2 4 2 2" xfId="284" xr:uid="{00000000-0005-0000-0000-0000E6000000}"/>
    <cellStyle name="Normal 4 2 4 3" xfId="204" xr:uid="{00000000-0005-0000-0000-0000E7000000}"/>
    <cellStyle name="Normal 4 2 5" xfId="104" xr:uid="{00000000-0005-0000-0000-0000E8000000}"/>
    <cellStyle name="Normal 4 2 5 2" xfId="144" xr:uid="{00000000-0005-0000-0000-0000E9000000}"/>
    <cellStyle name="Normal 4 2 5 2 2" xfId="264" xr:uid="{00000000-0005-0000-0000-0000EA000000}"/>
    <cellStyle name="Normal 4 2 5 3" xfId="224" xr:uid="{00000000-0005-0000-0000-0000EB000000}"/>
    <cellStyle name="Normal 4 2 6" xfId="124" xr:uid="{00000000-0005-0000-0000-0000EC000000}"/>
    <cellStyle name="Normal 4 2 6 2" xfId="244" xr:uid="{00000000-0005-0000-0000-0000ED000000}"/>
    <cellStyle name="Normal 4 2 7" xfId="184" xr:uid="{00000000-0005-0000-0000-0000EE000000}"/>
    <cellStyle name="Normal 4 3" xfId="68" xr:uid="{00000000-0005-0000-0000-0000EF000000}"/>
    <cellStyle name="Normal 4 3 2" xfId="78" xr:uid="{00000000-0005-0000-0000-0000F0000000}"/>
    <cellStyle name="Normal 4 3 2 2" xfId="98" xr:uid="{00000000-0005-0000-0000-0000F1000000}"/>
    <cellStyle name="Normal 4 3 2 2 2" xfId="178" xr:uid="{00000000-0005-0000-0000-0000F2000000}"/>
    <cellStyle name="Normal 4 3 2 2 2 2" xfId="298" xr:uid="{00000000-0005-0000-0000-0000F3000000}"/>
    <cellStyle name="Normal 4 3 2 2 3" xfId="218" xr:uid="{00000000-0005-0000-0000-0000F4000000}"/>
    <cellStyle name="Normal 4 3 2 3" xfId="118" xr:uid="{00000000-0005-0000-0000-0000F5000000}"/>
    <cellStyle name="Normal 4 3 2 3 2" xfId="158" xr:uid="{00000000-0005-0000-0000-0000F6000000}"/>
    <cellStyle name="Normal 4 3 2 3 2 2" xfId="278" xr:uid="{00000000-0005-0000-0000-0000F7000000}"/>
    <cellStyle name="Normal 4 3 2 3 3" xfId="238" xr:uid="{00000000-0005-0000-0000-0000F8000000}"/>
    <cellStyle name="Normal 4 3 2 4" xfId="138" xr:uid="{00000000-0005-0000-0000-0000F9000000}"/>
    <cellStyle name="Normal 4 3 2 4 2" xfId="258" xr:uid="{00000000-0005-0000-0000-0000FA000000}"/>
    <cellStyle name="Normal 4 3 2 5" xfId="198" xr:uid="{00000000-0005-0000-0000-0000FB000000}"/>
    <cellStyle name="Normal 4 3 3" xfId="88" xr:uid="{00000000-0005-0000-0000-0000FC000000}"/>
    <cellStyle name="Normal 4 3 3 2" xfId="168" xr:uid="{00000000-0005-0000-0000-0000FD000000}"/>
    <cellStyle name="Normal 4 3 3 2 2" xfId="288" xr:uid="{00000000-0005-0000-0000-0000FE000000}"/>
    <cellStyle name="Normal 4 3 3 3" xfId="208" xr:uid="{00000000-0005-0000-0000-0000FF000000}"/>
    <cellStyle name="Normal 4 3 4" xfId="108" xr:uid="{00000000-0005-0000-0000-000000010000}"/>
    <cellStyle name="Normal 4 3 4 2" xfId="148" xr:uid="{00000000-0005-0000-0000-000001010000}"/>
    <cellStyle name="Normal 4 3 4 2 2" xfId="268" xr:uid="{00000000-0005-0000-0000-000002010000}"/>
    <cellStyle name="Normal 4 3 4 3" xfId="228" xr:uid="{00000000-0005-0000-0000-000003010000}"/>
    <cellStyle name="Normal 4 3 5" xfId="128" xr:uid="{00000000-0005-0000-0000-000004010000}"/>
    <cellStyle name="Normal 4 3 5 2" xfId="248" xr:uid="{00000000-0005-0000-0000-000005010000}"/>
    <cellStyle name="Normal 4 3 6" xfId="188" xr:uid="{00000000-0005-0000-0000-000006010000}"/>
    <cellStyle name="Normal 4 4" xfId="73" xr:uid="{00000000-0005-0000-0000-000007010000}"/>
    <cellStyle name="Normal 4 4 2" xfId="93" xr:uid="{00000000-0005-0000-0000-000008010000}"/>
    <cellStyle name="Normal 4 4 2 2" xfId="173" xr:uid="{00000000-0005-0000-0000-000009010000}"/>
    <cellStyle name="Normal 4 4 2 2 2" xfId="293" xr:uid="{00000000-0005-0000-0000-00000A010000}"/>
    <cellStyle name="Normal 4 4 2 3" xfId="213" xr:uid="{00000000-0005-0000-0000-00000B010000}"/>
    <cellStyle name="Normal 4 4 3" xfId="113" xr:uid="{00000000-0005-0000-0000-00000C010000}"/>
    <cellStyle name="Normal 4 4 3 2" xfId="153" xr:uid="{00000000-0005-0000-0000-00000D010000}"/>
    <cellStyle name="Normal 4 4 3 2 2" xfId="273" xr:uid="{00000000-0005-0000-0000-00000E010000}"/>
    <cellStyle name="Normal 4 4 3 3" xfId="233" xr:uid="{00000000-0005-0000-0000-00000F010000}"/>
    <cellStyle name="Normal 4 4 4" xfId="133" xr:uid="{00000000-0005-0000-0000-000010010000}"/>
    <cellStyle name="Normal 4 4 4 2" xfId="253" xr:uid="{00000000-0005-0000-0000-000011010000}"/>
    <cellStyle name="Normal 4 4 5" xfId="193" xr:uid="{00000000-0005-0000-0000-000012010000}"/>
    <cellStyle name="Normal 4 5" xfId="83" xr:uid="{00000000-0005-0000-0000-000013010000}"/>
    <cellStyle name="Normal 4 5 2" xfId="163" xr:uid="{00000000-0005-0000-0000-000014010000}"/>
    <cellStyle name="Normal 4 5 2 2" xfId="283" xr:uid="{00000000-0005-0000-0000-000015010000}"/>
    <cellStyle name="Normal 4 5 3" xfId="203" xr:uid="{00000000-0005-0000-0000-000016010000}"/>
    <cellStyle name="Normal 4 6" xfId="103" xr:uid="{00000000-0005-0000-0000-000017010000}"/>
    <cellStyle name="Normal 4 6 2" xfId="143" xr:uid="{00000000-0005-0000-0000-000018010000}"/>
    <cellStyle name="Normal 4 6 2 2" xfId="263" xr:uid="{00000000-0005-0000-0000-000019010000}"/>
    <cellStyle name="Normal 4 6 3" xfId="223" xr:uid="{00000000-0005-0000-0000-00001A010000}"/>
    <cellStyle name="Normal 4 7" xfId="123" xr:uid="{00000000-0005-0000-0000-00001B010000}"/>
    <cellStyle name="Normal 4 7 2" xfId="243" xr:uid="{00000000-0005-0000-0000-00001C010000}"/>
    <cellStyle name="Normal 4 8" xfId="183" xr:uid="{00000000-0005-0000-0000-00001D010000}"/>
    <cellStyle name="Normal 5" xfId="51" xr:uid="{00000000-0005-0000-0000-00001E010000}"/>
    <cellStyle name="Normal 5 2" xfId="52" xr:uid="{00000000-0005-0000-0000-00001F010000}"/>
    <cellStyle name="Normal 6" xfId="53" xr:uid="{00000000-0005-0000-0000-000020010000}"/>
    <cellStyle name="Normal 7" xfId="54" xr:uid="{00000000-0005-0000-0000-000021010000}"/>
    <cellStyle name="Normal 8" xfId="55" xr:uid="{00000000-0005-0000-0000-000022010000}"/>
    <cellStyle name="Normal 8 2" xfId="56" xr:uid="{00000000-0005-0000-0000-000023010000}"/>
    <cellStyle name="Normal 9" xfId="300" xr:uid="{212D5A38-80AF-452F-BE05-E29DBA263848}"/>
    <cellStyle name="Normal_Estimated Flow-OE" xfId="57" xr:uid="{00000000-0005-0000-0000-000024010000}"/>
    <cellStyle name="Normal_Existing Dwellings" xfId="58" xr:uid="{00000000-0005-0000-0000-000025010000}"/>
    <cellStyle name="Normal_Filter" xfId="59" xr:uid="{00000000-0005-0000-0000-000026010000}"/>
    <cellStyle name="Normal_Final Flow Total" xfId="60" xr:uid="{00000000-0005-0000-0000-000027010000}"/>
    <cellStyle name="Normal_Flow &amp; System Summary" xfId="61" xr:uid="{00000000-0005-0000-0000-000028010000}"/>
    <cellStyle name="Normal_Measured Flow-OE" xfId="62" xr:uid="{00000000-0005-0000-0000-000029010000}"/>
    <cellStyle name="Normal_Sheet9" xfId="63" xr:uid="{00000000-0005-0000-0000-00002A010000}"/>
    <cellStyle name="Normal_Waste Strengths" xfId="64" xr:uid="{00000000-0005-0000-0000-00002B010000}"/>
  </cellStyles>
  <dxfs count="1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FE5E9"/>
      <rgbColor rgb="004B7B6A"/>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139174"/>
      <rgbColor rgb="00003366"/>
      <rgbColor rgb="00339966"/>
      <rgbColor rgb="00003300"/>
      <rgbColor rgb="00333300"/>
      <rgbColor rgb="00993300"/>
      <rgbColor rgb="00993366"/>
      <rgbColor rgb="00333399"/>
      <rgbColor rgb="00333333"/>
    </indexedColors>
    <mruColors>
      <color rgb="FFFF6600"/>
      <color rgb="FFFF66FF"/>
      <color rgb="FFCFE5E9"/>
      <color rgb="FFFFFF99"/>
      <color rgb="FF66FF33"/>
      <color rgb="FFB5D0E3"/>
      <color rgb="FF339966"/>
      <color rgb="FFFF9966"/>
      <color rgb="FFFFCCFF"/>
      <color rgb="FF2B0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8" Type="http://schemas.microsoft.com/office/2022/11/relationships/FeaturePropertyBag" Target="featurePropertyBag/featurePropertyBag.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eetMetadata" Target="metadata.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tiff"/></Relationships>
</file>

<file path=xl/drawings/_rels/drawing11.xml.rels><?xml version="1.0" encoding="UTF-8" standalone="yes"?>
<Relationships xmlns="http://schemas.openxmlformats.org/package/2006/relationships"><Relationship Id="rId1" Type="http://schemas.openxmlformats.org/officeDocument/2006/relationships/image" Target="../media/image9.tiff"/></Relationships>
</file>

<file path=xl/drawings/_rels/drawing12.xml.rels><?xml version="1.0" encoding="UTF-8" standalone="yes"?>
<Relationships xmlns="http://schemas.openxmlformats.org/package/2006/relationships"><Relationship Id="rId1" Type="http://schemas.openxmlformats.org/officeDocument/2006/relationships/image" Target="../media/image9.tiff"/></Relationships>
</file>

<file path=xl/drawings/_rels/drawing13.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9.tiff"/><Relationship Id="rId1" Type="http://schemas.openxmlformats.org/officeDocument/2006/relationships/image" Target="../media/image41.png"/><Relationship Id="rId4" Type="http://schemas.openxmlformats.org/officeDocument/2006/relationships/image" Target="../media/image4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9.tiff"/></Relationships>
</file>

<file path=xl/drawings/_rels/drawing1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tiff"/></Relationships>
</file>

<file path=xl/drawings/_rels/drawing17.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6.png"/><Relationship Id="rId1" Type="http://schemas.openxmlformats.org/officeDocument/2006/relationships/image" Target="../media/image45.png"/><Relationship Id="rId4" Type="http://schemas.openxmlformats.org/officeDocument/2006/relationships/image" Target="../media/image48.jpg"/></Relationships>
</file>

<file path=xl/drawings/_rels/drawing18.xml.rels><?xml version="1.0" encoding="UTF-8" standalone="yes"?>
<Relationships xmlns="http://schemas.openxmlformats.org/package/2006/relationships"><Relationship Id="rId3" Type="http://schemas.openxmlformats.org/officeDocument/2006/relationships/image" Target="../media/image9.tiff"/><Relationship Id="rId2" Type="http://schemas.openxmlformats.org/officeDocument/2006/relationships/image" Target="../media/image52.png"/><Relationship Id="rId1" Type="http://schemas.openxmlformats.org/officeDocument/2006/relationships/image" Target="../media/image51.emf"/><Relationship Id="rId5" Type="http://schemas.openxmlformats.org/officeDocument/2006/relationships/image" Target="../media/image54.jpg"/><Relationship Id="rId4" Type="http://schemas.openxmlformats.org/officeDocument/2006/relationships/image" Target="../media/image5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55.png"/><Relationship Id="rId2" Type="http://schemas.openxmlformats.org/officeDocument/2006/relationships/image" Target="../media/image9.tiff"/><Relationship Id="rId1" Type="http://schemas.openxmlformats.org/officeDocument/2006/relationships/image" Target="../media/image52.png"/><Relationship Id="rId4" Type="http://schemas.openxmlformats.org/officeDocument/2006/relationships/image" Target="../media/image56.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9.emf"/><Relationship Id="rId2" Type="http://schemas.openxmlformats.org/officeDocument/2006/relationships/image" Target="../media/image58.png"/><Relationship Id="rId1" Type="http://schemas.openxmlformats.org/officeDocument/2006/relationships/image" Target="../media/image57.png"/><Relationship Id="rId6" Type="http://schemas.openxmlformats.org/officeDocument/2006/relationships/image" Target="../media/image61.png"/><Relationship Id="rId5" Type="http://schemas.openxmlformats.org/officeDocument/2006/relationships/image" Target="../media/image9.tiff"/><Relationship Id="rId4" Type="http://schemas.openxmlformats.org/officeDocument/2006/relationships/image" Target="../media/image60.png"/></Relationships>
</file>

<file path=xl/drawings/_rels/drawing21.xml.rels><?xml version="1.0" encoding="UTF-8" standalone="yes"?>
<Relationships xmlns="http://schemas.openxmlformats.org/package/2006/relationships"><Relationship Id="rId8" Type="http://schemas.openxmlformats.org/officeDocument/2006/relationships/image" Target="../media/image9.tiff"/><Relationship Id="rId3" Type="http://schemas.openxmlformats.org/officeDocument/2006/relationships/image" Target="../media/image64.png"/><Relationship Id="rId7" Type="http://schemas.openxmlformats.org/officeDocument/2006/relationships/image" Target="../media/image43.png"/><Relationship Id="rId2" Type="http://schemas.openxmlformats.org/officeDocument/2006/relationships/image" Target="../media/image63.emf"/><Relationship Id="rId1" Type="http://schemas.openxmlformats.org/officeDocument/2006/relationships/image" Target="../media/image62.png"/><Relationship Id="rId6" Type="http://schemas.openxmlformats.org/officeDocument/2006/relationships/image" Target="../media/image67.emf"/><Relationship Id="rId5" Type="http://schemas.openxmlformats.org/officeDocument/2006/relationships/image" Target="../media/image66.emf"/><Relationship Id="rId4" Type="http://schemas.openxmlformats.org/officeDocument/2006/relationships/image" Target="../media/image65.jpeg"/><Relationship Id="rId9" Type="http://schemas.openxmlformats.org/officeDocument/2006/relationships/image" Target="../media/image68.png"/></Relationships>
</file>

<file path=xl/drawings/_rels/drawing22.xml.rels><?xml version="1.0" encoding="UTF-8" standalone="yes"?>
<Relationships xmlns="http://schemas.openxmlformats.org/package/2006/relationships"><Relationship Id="rId8" Type="http://schemas.openxmlformats.org/officeDocument/2006/relationships/image" Target="../media/image9.tiff"/><Relationship Id="rId3" Type="http://schemas.openxmlformats.org/officeDocument/2006/relationships/image" Target="../media/image63.emf"/><Relationship Id="rId7" Type="http://schemas.openxmlformats.org/officeDocument/2006/relationships/image" Target="../media/image43.png"/><Relationship Id="rId2" Type="http://schemas.openxmlformats.org/officeDocument/2006/relationships/image" Target="../media/image76.jpg"/><Relationship Id="rId1" Type="http://schemas.openxmlformats.org/officeDocument/2006/relationships/image" Target="../media/image75.jpg"/><Relationship Id="rId6" Type="http://schemas.openxmlformats.org/officeDocument/2006/relationships/image" Target="../media/image79.emf"/><Relationship Id="rId5" Type="http://schemas.openxmlformats.org/officeDocument/2006/relationships/image" Target="../media/image78.emf"/><Relationship Id="rId4" Type="http://schemas.openxmlformats.org/officeDocument/2006/relationships/image" Target="../media/image77.jpeg"/><Relationship Id="rId9" Type="http://schemas.openxmlformats.org/officeDocument/2006/relationships/image" Target="../media/image68.png"/></Relationships>
</file>

<file path=xl/drawings/_rels/drawing23.xml.rels><?xml version="1.0" encoding="UTF-8" standalone="yes"?>
<Relationships xmlns="http://schemas.openxmlformats.org/package/2006/relationships"><Relationship Id="rId2" Type="http://schemas.openxmlformats.org/officeDocument/2006/relationships/image" Target="../media/image9.tiff"/><Relationship Id="rId1" Type="http://schemas.openxmlformats.org/officeDocument/2006/relationships/image" Target="../media/image43.png"/></Relationships>
</file>

<file path=xl/drawings/_rels/drawing24.xml.rels><?xml version="1.0" encoding="UTF-8" standalone="yes"?>
<Relationships xmlns="http://schemas.openxmlformats.org/package/2006/relationships"><Relationship Id="rId3" Type="http://schemas.openxmlformats.org/officeDocument/2006/relationships/image" Target="../media/image84.jpeg"/><Relationship Id="rId2" Type="http://schemas.openxmlformats.org/officeDocument/2006/relationships/image" Target="../media/image83.jpeg"/><Relationship Id="rId1" Type="http://schemas.openxmlformats.org/officeDocument/2006/relationships/image" Target="../media/image82.jpeg"/><Relationship Id="rId5" Type="http://schemas.openxmlformats.org/officeDocument/2006/relationships/image" Target="../media/image85.png"/><Relationship Id="rId4" Type="http://schemas.openxmlformats.org/officeDocument/2006/relationships/image" Target="../media/image9.tiff"/></Relationships>
</file>

<file path=xl/drawings/_rels/drawing25.xml.rels><?xml version="1.0" encoding="UTF-8" standalone="yes"?>
<Relationships xmlns="http://schemas.openxmlformats.org/package/2006/relationships"><Relationship Id="rId8" Type="http://schemas.openxmlformats.org/officeDocument/2006/relationships/image" Target="../media/image91.png"/><Relationship Id="rId3" Type="http://schemas.openxmlformats.org/officeDocument/2006/relationships/image" Target="../media/image88.jpeg"/><Relationship Id="rId7" Type="http://schemas.openxmlformats.org/officeDocument/2006/relationships/image" Target="../media/image90.png"/><Relationship Id="rId2" Type="http://schemas.openxmlformats.org/officeDocument/2006/relationships/image" Target="../media/image87.emf"/><Relationship Id="rId1" Type="http://schemas.openxmlformats.org/officeDocument/2006/relationships/image" Target="../media/image86.jpeg"/><Relationship Id="rId6" Type="http://schemas.openxmlformats.org/officeDocument/2006/relationships/image" Target="../media/image9.tiff"/><Relationship Id="rId5" Type="http://schemas.openxmlformats.org/officeDocument/2006/relationships/image" Target="../media/image43.png"/><Relationship Id="rId4" Type="http://schemas.openxmlformats.org/officeDocument/2006/relationships/image" Target="../media/image89.png"/></Relationships>
</file>

<file path=xl/drawings/_rels/drawing26.xml.rels><?xml version="1.0" encoding="UTF-8" standalone="yes"?>
<Relationships xmlns="http://schemas.openxmlformats.org/package/2006/relationships"><Relationship Id="rId3" Type="http://schemas.openxmlformats.org/officeDocument/2006/relationships/image" Target="../media/image92.jpeg"/><Relationship Id="rId2" Type="http://schemas.openxmlformats.org/officeDocument/2006/relationships/image" Target="../media/image87.emf"/><Relationship Id="rId1" Type="http://schemas.openxmlformats.org/officeDocument/2006/relationships/image" Target="../media/image84.jpeg"/><Relationship Id="rId5" Type="http://schemas.openxmlformats.org/officeDocument/2006/relationships/image" Target="../media/image9.tiff"/><Relationship Id="rId4" Type="http://schemas.openxmlformats.org/officeDocument/2006/relationships/image" Target="../media/image43.png"/></Relationships>
</file>

<file path=xl/drawings/_rels/drawing27.xml.rels><?xml version="1.0" encoding="UTF-8" standalone="yes"?>
<Relationships xmlns="http://schemas.openxmlformats.org/package/2006/relationships"><Relationship Id="rId3" Type="http://schemas.openxmlformats.org/officeDocument/2006/relationships/image" Target="../media/image95.emf"/><Relationship Id="rId2" Type="http://schemas.openxmlformats.org/officeDocument/2006/relationships/image" Target="../media/image94.jpeg"/><Relationship Id="rId1" Type="http://schemas.openxmlformats.org/officeDocument/2006/relationships/image" Target="../media/image93.png"/><Relationship Id="rId5" Type="http://schemas.openxmlformats.org/officeDocument/2006/relationships/image" Target="../media/image85.png"/><Relationship Id="rId4" Type="http://schemas.openxmlformats.org/officeDocument/2006/relationships/image" Target="../media/image9.tiff"/></Relationships>
</file>

<file path=xl/drawings/_rels/drawing28.xml.rels><?xml version="1.0" encoding="UTF-8" standalone="yes"?>
<Relationships xmlns="http://schemas.openxmlformats.org/package/2006/relationships"><Relationship Id="rId3" Type="http://schemas.openxmlformats.org/officeDocument/2006/relationships/image" Target="../media/image97.png"/><Relationship Id="rId2" Type="http://schemas.openxmlformats.org/officeDocument/2006/relationships/image" Target="../media/image84.jpeg"/><Relationship Id="rId1" Type="http://schemas.openxmlformats.org/officeDocument/2006/relationships/image" Target="../media/image96.jpeg"/><Relationship Id="rId5" Type="http://schemas.openxmlformats.org/officeDocument/2006/relationships/image" Target="../media/image43.png"/><Relationship Id="rId4" Type="http://schemas.openxmlformats.org/officeDocument/2006/relationships/image" Target="../media/image9.tiff"/></Relationships>
</file>

<file path=xl/drawings/_rels/drawing29.xml.rels><?xml version="1.0" encoding="UTF-8" standalone="yes"?>
<Relationships xmlns="http://schemas.openxmlformats.org/package/2006/relationships"><Relationship Id="rId3" Type="http://schemas.openxmlformats.org/officeDocument/2006/relationships/image" Target="../media/image97.png"/><Relationship Id="rId2" Type="http://schemas.openxmlformats.org/officeDocument/2006/relationships/image" Target="../media/image84.jpeg"/><Relationship Id="rId1" Type="http://schemas.openxmlformats.org/officeDocument/2006/relationships/image" Target="../media/image96.jpeg"/><Relationship Id="rId5" Type="http://schemas.openxmlformats.org/officeDocument/2006/relationships/image" Target="../media/image43.png"/><Relationship Id="rId4" Type="http://schemas.openxmlformats.org/officeDocument/2006/relationships/image" Target="../media/image9.tiff"/></Relationships>
</file>

<file path=xl/drawings/_rels/drawing3.xml.rels><?xml version="1.0" encoding="UTF-8" standalone="yes"?>
<Relationships xmlns="http://schemas.openxmlformats.org/package/2006/relationships"><Relationship Id="rId1" Type="http://schemas.openxmlformats.org/officeDocument/2006/relationships/image" Target="../media/image9.tiff"/></Relationships>
</file>

<file path=xl/drawings/_rels/drawing30.xml.rels><?xml version="1.0" encoding="UTF-8" standalone="yes"?>
<Relationships xmlns="http://schemas.openxmlformats.org/package/2006/relationships"><Relationship Id="rId3" Type="http://schemas.openxmlformats.org/officeDocument/2006/relationships/image" Target="../media/image99.png"/><Relationship Id="rId2" Type="http://schemas.openxmlformats.org/officeDocument/2006/relationships/image" Target="../media/image9.tiff"/><Relationship Id="rId1" Type="http://schemas.openxmlformats.org/officeDocument/2006/relationships/image" Target="../media/image98.png"/></Relationships>
</file>

<file path=xl/drawings/_rels/drawing31.xml.rels><?xml version="1.0" encoding="UTF-8" standalone="yes"?>
<Relationships xmlns="http://schemas.openxmlformats.org/package/2006/relationships"><Relationship Id="rId3" Type="http://schemas.openxmlformats.org/officeDocument/2006/relationships/image" Target="../media/image99.png"/><Relationship Id="rId2" Type="http://schemas.openxmlformats.org/officeDocument/2006/relationships/image" Target="../media/image9.tiff"/><Relationship Id="rId1" Type="http://schemas.openxmlformats.org/officeDocument/2006/relationships/image" Target="../media/image98.png"/></Relationships>
</file>

<file path=xl/drawings/_rels/drawing32.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9.tiff"/><Relationship Id="rId1" Type="http://schemas.openxmlformats.org/officeDocument/2006/relationships/image" Target="../media/image52.png"/><Relationship Id="rId4" Type="http://schemas.openxmlformats.org/officeDocument/2006/relationships/image" Target="../media/image48.jpg"/></Relationships>
</file>

<file path=xl/drawings/_rels/drawing33.xml.rels><?xml version="1.0" encoding="UTF-8" standalone="yes"?>
<Relationships xmlns="http://schemas.openxmlformats.org/package/2006/relationships"><Relationship Id="rId3" Type="http://schemas.openxmlformats.org/officeDocument/2006/relationships/image" Target="../media/image100.jpg"/><Relationship Id="rId2" Type="http://schemas.openxmlformats.org/officeDocument/2006/relationships/image" Target="../media/image10.png"/><Relationship Id="rId1" Type="http://schemas.openxmlformats.org/officeDocument/2006/relationships/image" Target="../media/image9.tiff"/><Relationship Id="rId4" Type="http://schemas.openxmlformats.org/officeDocument/2006/relationships/image" Target="../media/image101.jpg"/></Relationships>
</file>

<file path=xl/drawings/_rels/drawing34.xml.rels><?xml version="1.0" encoding="UTF-8" standalone="yes"?>
<Relationships xmlns="http://schemas.openxmlformats.org/package/2006/relationships"><Relationship Id="rId3" Type="http://schemas.openxmlformats.org/officeDocument/2006/relationships/image" Target="../media/image9.tiff"/><Relationship Id="rId2" Type="http://schemas.openxmlformats.org/officeDocument/2006/relationships/image" Target="../media/image83.jpeg"/><Relationship Id="rId1" Type="http://schemas.openxmlformats.org/officeDocument/2006/relationships/image" Target="../media/image82.jpeg"/><Relationship Id="rId6" Type="http://schemas.openxmlformats.org/officeDocument/2006/relationships/image" Target="../media/image103.png"/><Relationship Id="rId5" Type="http://schemas.openxmlformats.org/officeDocument/2006/relationships/image" Target="../media/image84.jpeg"/><Relationship Id="rId4" Type="http://schemas.openxmlformats.org/officeDocument/2006/relationships/image" Target="../media/image102.png"/></Relationships>
</file>

<file path=xl/drawings/_rels/drawing35.xml.rels><?xml version="1.0" encoding="UTF-8" standalone="yes"?>
<Relationships xmlns="http://schemas.openxmlformats.org/package/2006/relationships"><Relationship Id="rId3" Type="http://schemas.openxmlformats.org/officeDocument/2006/relationships/image" Target="../media/image9.tiff"/><Relationship Id="rId2" Type="http://schemas.openxmlformats.org/officeDocument/2006/relationships/image" Target="../media/image83.jpeg"/><Relationship Id="rId1" Type="http://schemas.openxmlformats.org/officeDocument/2006/relationships/image" Target="../media/image82.jpeg"/><Relationship Id="rId6" Type="http://schemas.openxmlformats.org/officeDocument/2006/relationships/image" Target="../media/image103.png"/><Relationship Id="rId5" Type="http://schemas.openxmlformats.org/officeDocument/2006/relationships/image" Target="../media/image84.jpeg"/><Relationship Id="rId4" Type="http://schemas.openxmlformats.org/officeDocument/2006/relationships/image" Target="../media/image102.png"/></Relationships>
</file>

<file path=xl/drawings/_rels/drawing36.xml.rels><?xml version="1.0" encoding="UTF-8" standalone="yes"?>
<Relationships xmlns="http://schemas.openxmlformats.org/package/2006/relationships"><Relationship Id="rId3" Type="http://schemas.openxmlformats.org/officeDocument/2006/relationships/image" Target="../media/image9.tiff"/><Relationship Id="rId2" Type="http://schemas.openxmlformats.org/officeDocument/2006/relationships/image" Target="../media/image83.jpeg"/><Relationship Id="rId1" Type="http://schemas.openxmlformats.org/officeDocument/2006/relationships/image" Target="../media/image82.jpeg"/><Relationship Id="rId6" Type="http://schemas.openxmlformats.org/officeDocument/2006/relationships/image" Target="../media/image103.png"/><Relationship Id="rId5" Type="http://schemas.openxmlformats.org/officeDocument/2006/relationships/image" Target="../media/image84.jpeg"/><Relationship Id="rId4" Type="http://schemas.openxmlformats.org/officeDocument/2006/relationships/image" Target="../media/image102.png"/></Relationships>
</file>

<file path=xl/drawings/_rels/drawing37.xml.rels><?xml version="1.0" encoding="UTF-8" standalone="yes"?>
<Relationships xmlns="http://schemas.openxmlformats.org/package/2006/relationships"><Relationship Id="rId3" Type="http://schemas.openxmlformats.org/officeDocument/2006/relationships/image" Target="../media/image104.jpeg"/><Relationship Id="rId7" Type="http://schemas.openxmlformats.org/officeDocument/2006/relationships/image" Target="../media/image91.png"/><Relationship Id="rId2" Type="http://schemas.openxmlformats.org/officeDocument/2006/relationships/image" Target="../media/image87.emf"/><Relationship Id="rId1" Type="http://schemas.openxmlformats.org/officeDocument/2006/relationships/image" Target="../media/image86.jpeg"/><Relationship Id="rId6" Type="http://schemas.openxmlformats.org/officeDocument/2006/relationships/image" Target="../media/image90.png"/><Relationship Id="rId5" Type="http://schemas.openxmlformats.org/officeDocument/2006/relationships/image" Target="../media/image9.tiff"/><Relationship Id="rId4" Type="http://schemas.openxmlformats.org/officeDocument/2006/relationships/image" Target="../media/image43.png"/></Relationships>
</file>

<file path=xl/drawings/_rels/drawing38.xml.rels><?xml version="1.0" encoding="UTF-8" standalone="yes"?>
<Relationships xmlns="http://schemas.openxmlformats.org/package/2006/relationships"><Relationship Id="rId3" Type="http://schemas.openxmlformats.org/officeDocument/2006/relationships/image" Target="../media/image95.emf"/><Relationship Id="rId2" Type="http://schemas.openxmlformats.org/officeDocument/2006/relationships/image" Target="../media/image94.jpeg"/><Relationship Id="rId1" Type="http://schemas.openxmlformats.org/officeDocument/2006/relationships/image" Target="../media/image105.png"/><Relationship Id="rId5" Type="http://schemas.openxmlformats.org/officeDocument/2006/relationships/image" Target="../media/image85.png"/><Relationship Id="rId4" Type="http://schemas.openxmlformats.org/officeDocument/2006/relationships/image" Target="../media/image9.tiff"/></Relationships>
</file>

<file path=xl/drawings/_rels/drawing39.xml.rels><?xml version="1.0" encoding="UTF-8" standalone="yes"?>
<Relationships xmlns="http://schemas.openxmlformats.org/package/2006/relationships"><Relationship Id="rId3" Type="http://schemas.openxmlformats.org/officeDocument/2006/relationships/image" Target="../media/image97.png"/><Relationship Id="rId2" Type="http://schemas.openxmlformats.org/officeDocument/2006/relationships/image" Target="../media/image84.jpeg"/><Relationship Id="rId1" Type="http://schemas.openxmlformats.org/officeDocument/2006/relationships/image" Target="../media/image96.jpeg"/><Relationship Id="rId5" Type="http://schemas.openxmlformats.org/officeDocument/2006/relationships/image" Target="../media/image43.png"/><Relationship Id="rId4" Type="http://schemas.openxmlformats.org/officeDocument/2006/relationships/image" Target="../media/image9.tiff"/></Relationships>
</file>

<file path=xl/drawings/_rels/drawing4.xml.rels><?xml version="1.0" encoding="UTF-8" standalone="yes"?>
<Relationships xmlns="http://schemas.openxmlformats.org/package/2006/relationships"><Relationship Id="rId1" Type="http://schemas.openxmlformats.org/officeDocument/2006/relationships/image" Target="../media/image9.tiff"/></Relationships>
</file>

<file path=xl/drawings/_rels/drawing40.xml.rels><?xml version="1.0" encoding="UTF-8" standalone="yes"?>
<Relationships xmlns="http://schemas.openxmlformats.org/package/2006/relationships"><Relationship Id="rId3" Type="http://schemas.openxmlformats.org/officeDocument/2006/relationships/image" Target="../media/image97.png"/><Relationship Id="rId2" Type="http://schemas.openxmlformats.org/officeDocument/2006/relationships/image" Target="../media/image84.jpeg"/><Relationship Id="rId1" Type="http://schemas.openxmlformats.org/officeDocument/2006/relationships/image" Target="../media/image96.jpeg"/><Relationship Id="rId5" Type="http://schemas.openxmlformats.org/officeDocument/2006/relationships/image" Target="../media/image43.png"/><Relationship Id="rId4" Type="http://schemas.openxmlformats.org/officeDocument/2006/relationships/image" Target="../media/image9.tiff"/></Relationships>
</file>

<file path=xl/drawings/_rels/drawing41.xml.rels><?xml version="1.0" encoding="UTF-8" standalone="yes"?>
<Relationships xmlns="http://schemas.openxmlformats.org/package/2006/relationships"><Relationship Id="rId3" Type="http://schemas.openxmlformats.org/officeDocument/2006/relationships/image" Target="../media/image109.emf"/><Relationship Id="rId2" Type="http://schemas.openxmlformats.org/officeDocument/2006/relationships/image" Target="../media/image108.emf"/><Relationship Id="rId1" Type="http://schemas.openxmlformats.org/officeDocument/2006/relationships/image" Target="../media/image107.jpeg"/><Relationship Id="rId5" Type="http://schemas.openxmlformats.org/officeDocument/2006/relationships/image" Target="../media/image85.png"/><Relationship Id="rId4" Type="http://schemas.openxmlformats.org/officeDocument/2006/relationships/image" Target="../media/image9.tiff"/></Relationships>
</file>

<file path=xl/drawings/_rels/drawing4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9.tiff"/></Relationships>
</file>

<file path=xl/drawings/_rels/drawing4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9.tiff"/></Relationships>
</file>

<file path=xl/drawings/_rels/drawing4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9.tiff"/></Relationships>
</file>

<file path=xl/drawings/_rels/drawing45.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9.tiff"/></Relationships>
</file>

<file path=xl/drawings/_rels/drawing4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9.tiff"/></Relationships>
</file>

<file path=xl/drawings/_rels/drawing47.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9.tiff"/></Relationships>
</file>

<file path=xl/drawings/_rels/drawing48.xml.rels><?xml version="1.0" encoding="UTF-8" standalone="yes"?>
<Relationships xmlns="http://schemas.openxmlformats.org/package/2006/relationships"><Relationship Id="rId8" Type="http://schemas.openxmlformats.org/officeDocument/2006/relationships/image" Target="../media/image115.emf"/><Relationship Id="rId13" Type="http://schemas.openxmlformats.org/officeDocument/2006/relationships/image" Target="../media/image120.emf"/><Relationship Id="rId18" Type="http://schemas.openxmlformats.org/officeDocument/2006/relationships/image" Target="../media/image125.emf"/><Relationship Id="rId3" Type="http://schemas.openxmlformats.org/officeDocument/2006/relationships/image" Target="../media/image43.png"/><Relationship Id="rId7" Type="http://schemas.openxmlformats.org/officeDocument/2006/relationships/image" Target="../media/image114.emf"/><Relationship Id="rId12" Type="http://schemas.openxmlformats.org/officeDocument/2006/relationships/image" Target="../media/image119.emf"/><Relationship Id="rId17" Type="http://schemas.openxmlformats.org/officeDocument/2006/relationships/image" Target="../media/image124.emf"/><Relationship Id="rId2" Type="http://schemas.openxmlformats.org/officeDocument/2006/relationships/image" Target="../media/image9.tiff"/><Relationship Id="rId16" Type="http://schemas.openxmlformats.org/officeDocument/2006/relationships/image" Target="../media/image123.emf"/><Relationship Id="rId20" Type="http://schemas.openxmlformats.org/officeDocument/2006/relationships/image" Target="../media/image127.emf"/><Relationship Id="rId1" Type="http://schemas.openxmlformats.org/officeDocument/2006/relationships/image" Target="../media/image110.jpeg"/><Relationship Id="rId6" Type="http://schemas.openxmlformats.org/officeDocument/2006/relationships/image" Target="../media/image113.emf"/><Relationship Id="rId11" Type="http://schemas.openxmlformats.org/officeDocument/2006/relationships/image" Target="../media/image118.emf"/><Relationship Id="rId5" Type="http://schemas.openxmlformats.org/officeDocument/2006/relationships/image" Target="../media/image112.emf"/><Relationship Id="rId15" Type="http://schemas.openxmlformats.org/officeDocument/2006/relationships/image" Target="../media/image122.emf"/><Relationship Id="rId10" Type="http://schemas.openxmlformats.org/officeDocument/2006/relationships/image" Target="../media/image117.emf"/><Relationship Id="rId19" Type="http://schemas.openxmlformats.org/officeDocument/2006/relationships/image" Target="../media/image126.emf"/><Relationship Id="rId4" Type="http://schemas.openxmlformats.org/officeDocument/2006/relationships/image" Target="../media/image111.emf"/><Relationship Id="rId9" Type="http://schemas.openxmlformats.org/officeDocument/2006/relationships/image" Target="../media/image116.emf"/><Relationship Id="rId14" Type="http://schemas.openxmlformats.org/officeDocument/2006/relationships/image" Target="../media/image121.emf"/></Relationships>
</file>

<file path=xl/drawings/_rels/drawing49.xml.rels><?xml version="1.0" encoding="UTF-8" standalone="yes"?>
<Relationships xmlns="http://schemas.openxmlformats.org/package/2006/relationships"><Relationship Id="rId8" Type="http://schemas.openxmlformats.org/officeDocument/2006/relationships/image" Target="../media/image134.emf"/><Relationship Id="rId3" Type="http://schemas.openxmlformats.org/officeDocument/2006/relationships/image" Target="../media/image9.tiff"/><Relationship Id="rId7" Type="http://schemas.openxmlformats.org/officeDocument/2006/relationships/image" Target="../media/image133.emf"/><Relationship Id="rId2" Type="http://schemas.openxmlformats.org/officeDocument/2006/relationships/image" Target="../media/image129.png"/><Relationship Id="rId1" Type="http://schemas.openxmlformats.org/officeDocument/2006/relationships/image" Target="../media/image128.jpeg"/><Relationship Id="rId6" Type="http://schemas.openxmlformats.org/officeDocument/2006/relationships/image" Target="../media/image132.emf"/><Relationship Id="rId5" Type="http://schemas.openxmlformats.org/officeDocument/2006/relationships/image" Target="../media/image131.emf"/><Relationship Id="rId4" Type="http://schemas.openxmlformats.org/officeDocument/2006/relationships/image" Target="../media/image130.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tiff"/></Relationships>
</file>

<file path=xl/drawings/_rels/drawing6.xml.rels><?xml version="1.0" encoding="UTF-8" standalone="yes"?>
<Relationships xmlns="http://schemas.openxmlformats.org/package/2006/relationships"><Relationship Id="rId8" Type="http://schemas.openxmlformats.org/officeDocument/2006/relationships/image" Target="../media/image17.emf"/><Relationship Id="rId13" Type="http://schemas.openxmlformats.org/officeDocument/2006/relationships/image" Target="../media/image22.emf"/><Relationship Id="rId18" Type="http://schemas.openxmlformats.org/officeDocument/2006/relationships/image" Target="../media/image27.emf"/><Relationship Id="rId26" Type="http://schemas.openxmlformats.org/officeDocument/2006/relationships/image" Target="../media/image35.emf"/><Relationship Id="rId3" Type="http://schemas.openxmlformats.org/officeDocument/2006/relationships/image" Target="../media/image12.emf"/><Relationship Id="rId21" Type="http://schemas.openxmlformats.org/officeDocument/2006/relationships/image" Target="../media/image30.emf"/><Relationship Id="rId7" Type="http://schemas.openxmlformats.org/officeDocument/2006/relationships/image" Target="../media/image16.emf"/><Relationship Id="rId12" Type="http://schemas.openxmlformats.org/officeDocument/2006/relationships/image" Target="../media/image21.emf"/><Relationship Id="rId17" Type="http://schemas.openxmlformats.org/officeDocument/2006/relationships/image" Target="../media/image26.emf"/><Relationship Id="rId25" Type="http://schemas.openxmlformats.org/officeDocument/2006/relationships/image" Target="../media/image34.emf"/><Relationship Id="rId2" Type="http://schemas.openxmlformats.org/officeDocument/2006/relationships/image" Target="../media/image11.png"/><Relationship Id="rId16" Type="http://schemas.openxmlformats.org/officeDocument/2006/relationships/image" Target="../media/image25.emf"/><Relationship Id="rId20" Type="http://schemas.openxmlformats.org/officeDocument/2006/relationships/image" Target="../media/image29.emf"/><Relationship Id="rId1" Type="http://schemas.openxmlformats.org/officeDocument/2006/relationships/image" Target="../media/image9.tiff"/><Relationship Id="rId6" Type="http://schemas.openxmlformats.org/officeDocument/2006/relationships/image" Target="../media/image15.emf"/><Relationship Id="rId11" Type="http://schemas.openxmlformats.org/officeDocument/2006/relationships/image" Target="../media/image20.emf"/><Relationship Id="rId24" Type="http://schemas.openxmlformats.org/officeDocument/2006/relationships/image" Target="../media/image33.emf"/><Relationship Id="rId5" Type="http://schemas.openxmlformats.org/officeDocument/2006/relationships/image" Target="../media/image14.emf"/><Relationship Id="rId15" Type="http://schemas.openxmlformats.org/officeDocument/2006/relationships/image" Target="../media/image24.emf"/><Relationship Id="rId23" Type="http://schemas.openxmlformats.org/officeDocument/2006/relationships/image" Target="../media/image32.emf"/><Relationship Id="rId28" Type="http://schemas.openxmlformats.org/officeDocument/2006/relationships/image" Target="../media/image37.emf"/><Relationship Id="rId10" Type="http://schemas.openxmlformats.org/officeDocument/2006/relationships/image" Target="../media/image19.emf"/><Relationship Id="rId19" Type="http://schemas.openxmlformats.org/officeDocument/2006/relationships/image" Target="../media/image28.emf"/><Relationship Id="rId4" Type="http://schemas.openxmlformats.org/officeDocument/2006/relationships/image" Target="../media/image13.emf"/><Relationship Id="rId9" Type="http://schemas.openxmlformats.org/officeDocument/2006/relationships/image" Target="../media/image18.emf"/><Relationship Id="rId14" Type="http://schemas.openxmlformats.org/officeDocument/2006/relationships/image" Target="../media/image23.emf"/><Relationship Id="rId22" Type="http://schemas.openxmlformats.org/officeDocument/2006/relationships/image" Target="../media/image31.emf"/><Relationship Id="rId27" Type="http://schemas.openxmlformats.org/officeDocument/2006/relationships/image" Target="../media/image36.emf"/></Relationships>
</file>

<file path=xl/drawings/_rels/drawing7.xml.rels><?xml version="1.0" encoding="UTF-8" standalone="yes"?>
<Relationships xmlns="http://schemas.openxmlformats.org/package/2006/relationships"><Relationship Id="rId1" Type="http://schemas.openxmlformats.org/officeDocument/2006/relationships/image" Target="../media/image9.tiff"/></Relationships>
</file>

<file path=xl/drawings/_rels/drawing8.xml.rels><?xml version="1.0" encoding="UTF-8" standalone="yes"?>
<Relationships xmlns="http://schemas.openxmlformats.org/package/2006/relationships"><Relationship Id="rId1" Type="http://schemas.openxmlformats.org/officeDocument/2006/relationships/image" Target="../media/image9.tiff"/></Relationships>
</file>

<file path=xl/drawings/_rels/drawing9.xml.rels><?xml version="1.0" encoding="UTF-8" standalone="yes"?>
<Relationships xmlns="http://schemas.openxmlformats.org/package/2006/relationships"><Relationship Id="rId1" Type="http://schemas.openxmlformats.org/officeDocument/2006/relationships/image" Target="../media/image9.tiff"/></Relationships>
</file>

<file path=xl/drawings/_rels/vmlDrawing1.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8.emf"/></Relationships>
</file>

<file path=xl/drawings/_rels/vmlDrawing19.vml.rels><?xml version="1.0" encoding="UTF-8" standalone="yes"?>
<Relationships xmlns="http://schemas.openxmlformats.org/package/2006/relationships"><Relationship Id="rId3" Type="http://schemas.openxmlformats.org/officeDocument/2006/relationships/image" Target="../media/image49.tiff"/><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50.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70.emf"/><Relationship Id="rId1" Type="http://schemas.openxmlformats.org/officeDocument/2006/relationships/image" Target="../media/image69.emf"/></Relationships>
</file>

<file path=xl/drawings/_rels/vmlDrawing21.vml.rels><?xml version="1.0" encoding="UTF-8" standalone="yes"?>
<Relationships xmlns="http://schemas.openxmlformats.org/package/2006/relationships"><Relationship Id="rId3" Type="http://schemas.openxmlformats.org/officeDocument/2006/relationships/image" Target="../media/image73.emf"/><Relationship Id="rId2" Type="http://schemas.openxmlformats.org/officeDocument/2006/relationships/image" Target="../media/image72.emf"/><Relationship Id="rId1" Type="http://schemas.openxmlformats.org/officeDocument/2006/relationships/image" Target="../media/image71.emf"/><Relationship Id="rId6" Type="http://schemas.openxmlformats.org/officeDocument/2006/relationships/image" Target="../media/image81.emf"/><Relationship Id="rId5" Type="http://schemas.openxmlformats.org/officeDocument/2006/relationships/image" Target="../media/image80.emf"/><Relationship Id="rId4" Type="http://schemas.openxmlformats.org/officeDocument/2006/relationships/image" Target="../media/image74.emf"/></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06.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jpeg"/></Relationships>
</file>

<file path=xl/drawings/_rels/vmlDrawing5.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295275</xdr:colOff>
          <xdr:row>17</xdr:row>
          <xdr:rowOff>28575</xdr:rowOff>
        </xdr:from>
        <xdr:to>
          <xdr:col>9</xdr:col>
          <xdr:colOff>0</xdr:colOff>
          <xdr:row>17</xdr:row>
          <xdr:rowOff>219075</xdr:rowOff>
        </xdr:to>
        <xdr:sp macro="" textlink="">
          <xdr:nvSpPr>
            <xdr:cNvPr id="2543246" name="Check Box 2702" hidden="1">
              <a:extLst>
                <a:ext uri="{63B3BB69-23CF-44E3-9099-C40C66FF867C}">
                  <a14:compatExt spid="_x0000_s2543246"/>
                </a:ext>
                <a:ext uri="{FF2B5EF4-FFF2-40B4-BE49-F238E27FC236}">
                  <a16:creationId xmlns:a16="http://schemas.microsoft.com/office/drawing/2014/main" id="{00000000-0008-0000-0200-00008E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76200</xdr:colOff>
          <xdr:row>17</xdr:row>
          <xdr:rowOff>9525</xdr:rowOff>
        </xdr:from>
        <xdr:to>
          <xdr:col>12</xdr:col>
          <xdr:colOff>180975</xdr:colOff>
          <xdr:row>17</xdr:row>
          <xdr:rowOff>219075</xdr:rowOff>
        </xdr:to>
        <xdr:sp macro="" textlink="">
          <xdr:nvSpPr>
            <xdr:cNvPr id="2543247" name="Check Box 2703" hidden="1">
              <a:extLst>
                <a:ext uri="{63B3BB69-23CF-44E3-9099-C40C66FF867C}">
                  <a14:compatExt spid="_x0000_s2543247"/>
                </a:ext>
                <a:ext uri="{FF2B5EF4-FFF2-40B4-BE49-F238E27FC236}">
                  <a16:creationId xmlns:a16="http://schemas.microsoft.com/office/drawing/2014/main" id="{00000000-0008-0000-0200-00008F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Replacement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18</xdr:row>
          <xdr:rowOff>28575</xdr:rowOff>
        </xdr:from>
        <xdr:to>
          <xdr:col>7</xdr:col>
          <xdr:colOff>38100</xdr:colOff>
          <xdr:row>19</xdr:row>
          <xdr:rowOff>0</xdr:rowOff>
        </xdr:to>
        <xdr:sp macro="" textlink="">
          <xdr:nvSpPr>
            <xdr:cNvPr id="2543251" name="Check Box 2707" hidden="1">
              <a:extLst>
                <a:ext uri="{63B3BB69-23CF-44E3-9099-C40C66FF867C}">
                  <a14:compatExt spid="_x0000_s2543251"/>
                </a:ext>
                <a:ext uri="{FF2B5EF4-FFF2-40B4-BE49-F238E27FC236}">
                  <a16:creationId xmlns:a16="http://schemas.microsoft.com/office/drawing/2014/main" id="{00000000-0008-0000-0200-000093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Residential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18</xdr:row>
          <xdr:rowOff>9525</xdr:rowOff>
        </xdr:from>
        <xdr:to>
          <xdr:col>11</xdr:col>
          <xdr:colOff>142875</xdr:colOff>
          <xdr:row>19</xdr:row>
          <xdr:rowOff>9525</xdr:rowOff>
        </xdr:to>
        <xdr:sp macro="" textlink="">
          <xdr:nvSpPr>
            <xdr:cNvPr id="2543252" name="Check Box 2708" hidden="1">
              <a:extLst>
                <a:ext uri="{63B3BB69-23CF-44E3-9099-C40C66FF867C}">
                  <a14:compatExt spid="_x0000_s2543252"/>
                </a:ext>
                <a:ext uri="{FF2B5EF4-FFF2-40B4-BE49-F238E27FC236}">
                  <a16:creationId xmlns:a16="http://schemas.microsoft.com/office/drawing/2014/main" id="{00000000-0008-0000-0200-000094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Other Establishment: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304800</xdr:colOff>
          <xdr:row>25</xdr:row>
          <xdr:rowOff>66675</xdr:rowOff>
        </xdr:from>
        <xdr:to>
          <xdr:col>12</xdr:col>
          <xdr:colOff>114300</xdr:colOff>
          <xdr:row>27</xdr:row>
          <xdr:rowOff>0</xdr:rowOff>
        </xdr:to>
        <xdr:sp macro="" textlink="">
          <xdr:nvSpPr>
            <xdr:cNvPr id="2543258" name="Check Box 2714" hidden="1">
              <a:extLst>
                <a:ext uri="{63B3BB69-23CF-44E3-9099-C40C66FF867C}">
                  <a14:compatExt spid="_x0000_s2543258"/>
                </a:ext>
                <a:ext uri="{FF2B5EF4-FFF2-40B4-BE49-F238E27FC236}">
                  <a16:creationId xmlns:a16="http://schemas.microsoft.com/office/drawing/2014/main" id="{00000000-0008-0000-0200-00009A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Garbage Disposal/Grinder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304800</xdr:colOff>
          <xdr:row>28</xdr:row>
          <xdr:rowOff>9525</xdr:rowOff>
        </xdr:from>
        <xdr:to>
          <xdr:col>12</xdr:col>
          <xdr:colOff>114300</xdr:colOff>
          <xdr:row>29</xdr:row>
          <xdr:rowOff>0</xdr:rowOff>
        </xdr:to>
        <xdr:sp macro="" textlink="">
          <xdr:nvSpPr>
            <xdr:cNvPr id="2543260" name="Check Box 2716" hidden="1">
              <a:extLst>
                <a:ext uri="{63B3BB69-23CF-44E3-9099-C40C66FF867C}">
                  <a14:compatExt spid="_x0000_s2543260"/>
                </a:ext>
                <a:ext uri="{FF2B5EF4-FFF2-40B4-BE49-F238E27FC236}">
                  <a16:creationId xmlns:a16="http://schemas.microsoft.com/office/drawing/2014/main" id="{00000000-0008-0000-0200-00009C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Large Bathtub &gt;40 gallons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123825</xdr:colOff>
          <xdr:row>27</xdr:row>
          <xdr:rowOff>190500</xdr:rowOff>
        </xdr:from>
        <xdr:to>
          <xdr:col>20</xdr:col>
          <xdr:colOff>142875</xdr:colOff>
          <xdr:row>29</xdr:row>
          <xdr:rowOff>0</xdr:rowOff>
        </xdr:to>
        <xdr:sp macro="" textlink="">
          <xdr:nvSpPr>
            <xdr:cNvPr id="2543261" name="Check Box 2717" hidden="1">
              <a:extLst>
                <a:ext uri="{63B3BB69-23CF-44E3-9099-C40C66FF867C}">
                  <a14:compatExt spid="_x0000_s2543261"/>
                </a:ext>
                <a:ext uri="{FF2B5EF4-FFF2-40B4-BE49-F238E27FC236}">
                  <a16:creationId xmlns:a16="http://schemas.microsoft.com/office/drawing/2014/main" id="{00000000-0008-0000-0200-00009D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Self-Cleaning Humidifier*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180975</xdr:colOff>
          <xdr:row>27</xdr:row>
          <xdr:rowOff>0</xdr:rowOff>
        </xdr:from>
        <xdr:to>
          <xdr:col>15</xdr:col>
          <xdr:colOff>104775</xdr:colOff>
          <xdr:row>27</xdr:row>
          <xdr:rowOff>190500</xdr:rowOff>
        </xdr:to>
        <xdr:sp macro="" textlink="">
          <xdr:nvSpPr>
            <xdr:cNvPr id="2543262" name="Check Box 2718" hidden="1">
              <a:extLst>
                <a:ext uri="{63B3BB69-23CF-44E3-9099-C40C66FF867C}">
                  <a14:compatExt spid="_x0000_s2543262"/>
                </a:ext>
                <a:ext uri="{FF2B5EF4-FFF2-40B4-BE49-F238E27FC236}">
                  <a16:creationId xmlns:a16="http://schemas.microsoft.com/office/drawing/2014/main" id="{00000000-0008-0000-0200-00009E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Water Softener*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123825</xdr:colOff>
          <xdr:row>26</xdr:row>
          <xdr:rowOff>190500</xdr:rowOff>
        </xdr:from>
        <xdr:to>
          <xdr:col>19</xdr:col>
          <xdr:colOff>66675</xdr:colOff>
          <xdr:row>27</xdr:row>
          <xdr:rowOff>190500</xdr:rowOff>
        </xdr:to>
        <xdr:sp macro="" textlink="">
          <xdr:nvSpPr>
            <xdr:cNvPr id="2543263" name="Check Box 2719" hidden="1">
              <a:extLst>
                <a:ext uri="{63B3BB69-23CF-44E3-9099-C40C66FF867C}">
                  <a14:compatExt spid="_x0000_s2543263"/>
                </a:ext>
                <a:ext uri="{FF2B5EF4-FFF2-40B4-BE49-F238E27FC236}">
                  <a16:creationId xmlns:a16="http://schemas.microsoft.com/office/drawing/2014/main" id="{00000000-0008-0000-0200-00009F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Sump Pump*</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180975</xdr:colOff>
          <xdr:row>29</xdr:row>
          <xdr:rowOff>0</xdr:rowOff>
        </xdr:from>
        <xdr:to>
          <xdr:col>15</xdr:col>
          <xdr:colOff>180975</xdr:colOff>
          <xdr:row>29</xdr:row>
          <xdr:rowOff>190500</xdr:rowOff>
        </xdr:to>
        <xdr:sp macro="" textlink="">
          <xdr:nvSpPr>
            <xdr:cNvPr id="2543264" name="Check Box 2720" hidden="1">
              <a:extLst>
                <a:ext uri="{63B3BB69-23CF-44E3-9099-C40C66FF867C}">
                  <a14:compatExt spid="_x0000_s2543264"/>
                </a:ext>
                <a:ext uri="{FF2B5EF4-FFF2-40B4-BE49-F238E27FC236}">
                  <a16:creationId xmlns:a16="http://schemas.microsoft.com/office/drawing/2014/main" id="{00000000-0008-0000-0200-0000A0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High Eff. Furnace*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123825</xdr:colOff>
          <xdr:row>26</xdr:row>
          <xdr:rowOff>0</xdr:rowOff>
        </xdr:from>
        <xdr:to>
          <xdr:col>18</xdr:col>
          <xdr:colOff>200025</xdr:colOff>
          <xdr:row>26</xdr:row>
          <xdr:rowOff>180975</xdr:rowOff>
        </xdr:to>
        <xdr:sp macro="" textlink="">
          <xdr:nvSpPr>
            <xdr:cNvPr id="2543265" name="Check Box 2721" hidden="1">
              <a:extLst>
                <a:ext uri="{63B3BB69-23CF-44E3-9099-C40C66FF867C}">
                  <a14:compatExt spid="_x0000_s2543265"/>
                </a:ext>
                <a:ext uri="{FF2B5EF4-FFF2-40B4-BE49-F238E27FC236}">
                  <a16:creationId xmlns:a16="http://schemas.microsoft.com/office/drawing/2014/main" id="{00000000-0008-0000-0200-0000A1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Hot Tub*</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180975</xdr:colOff>
          <xdr:row>28</xdr:row>
          <xdr:rowOff>9525</xdr:rowOff>
        </xdr:from>
        <xdr:to>
          <xdr:col>14</xdr:col>
          <xdr:colOff>152400</xdr:colOff>
          <xdr:row>28</xdr:row>
          <xdr:rowOff>190500</xdr:rowOff>
        </xdr:to>
        <xdr:sp macro="" textlink="">
          <xdr:nvSpPr>
            <xdr:cNvPr id="2543266" name="Check Box 2722" hidden="1">
              <a:extLst>
                <a:ext uri="{63B3BB69-23CF-44E3-9099-C40C66FF867C}">
                  <a14:compatExt spid="_x0000_s2543266"/>
                </a:ext>
                <a:ext uri="{FF2B5EF4-FFF2-40B4-BE49-F238E27FC236}">
                  <a16:creationId xmlns:a16="http://schemas.microsoft.com/office/drawing/2014/main" id="{00000000-0008-0000-0200-0000A2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Iron Filter*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257175</xdr:colOff>
          <xdr:row>75</xdr:row>
          <xdr:rowOff>47625</xdr:rowOff>
        </xdr:from>
        <xdr:to>
          <xdr:col>11</xdr:col>
          <xdr:colOff>114300</xdr:colOff>
          <xdr:row>77</xdr:row>
          <xdr:rowOff>28575</xdr:rowOff>
        </xdr:to>
        <xdr:sp macro="" textlink="">
          <xdr:nvSpPr>
            <xdr:cNvPr id="2543300" name="Check Box 2756" hidden="1">
              <a:extLst>
                <a:ext uri="{63B3BB69-23CF-44E3-9099-C40C66FF867C}">
                  <a14:compatExt spid="_x0000_s2543300"/>
                </a:ext>
                <a:ext uri="{FF2B5EF4-FFF2-40B4-BE49-F238E27FC236}">
                  <a16:creationId xmlns:a16="http://schemas.microsoft.com/office/drawing/2014/main" id="{00000000-0008-0000-0200-0000C4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Survey</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219075</xdr:colOff>
          <xdr:row>75</xdr:row>
          <xdr:rowOff>38100</xdr:rowOff>
        </xdr:from>
        <xdr:to>
          <xdr:col>16</xdr:col>
          <xdr:colOff>0</xdr:colOff>
          <xdr:row>77</xdr:row>
          <xdr:rowOff>38100</xdr:rowOff>
        </xdr:to>
        <xdr:sp macro="" textlink="">
          <xdr:nvSpPr>
            <xdr:cNvPr id="2543301" name="Check Box 2757" hidden="1">
              <a:extLst>
                <a:ext uri="{63B3BB69-23CF-44E3-9099-C40C66FF867C}">
                  <a14:compatExt spid="_x0000_s2543301"/>
                </a:ext>
                <a:ext uri="{FF2B5EF4-FFF2-40B4-BE49-F238E27FC236}">
                  <a16:creationId xmlns:a16="http://schemas.microsoft.com/office/drawing/2014/main" id="{00000000-0008-0000-0200-0000C5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Plat Map</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78</xdr:row>
          <xdr:rowOff>219075</xdr:rowOff>
        </xdr:from>
        <xdr:to>
          <xdr:col>14</xdr:col>
          <xdr:colOff>9525</xdr:colOff>
          <xdr:row>80</xdr:row>
          <xdr:rowOff>28575</xdr:rowOff>
        </xdr:to>
        <xdr:sp macro="" textlink="">
          <xdr:nvSpPr>
            <xdr:cNvPr id="2543305" name="Check Box 2761" hidden="1">
              <a:extLst>
                <a:ext uri="{63B3BB69-23CF-44E3-9099-C40C66FF867C}">
                  <a14:compatExt spid="_x0000_s2543305"/>
                </a:ext>
                <a:ext uri="{FF2B5EF4-FFF2-40B4-BE49-F238E27FC236}">
                  <a16:creationId xmlns:a16="http://schemas.microsoft.com/office/drawing/2014/main" id="{00000000-0008-0000-0200-0000C9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Property Lines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161925</xdr:colOff>
          <xdr:row>79</xdr:row>
          <xdr:rowOff>28575</xdr:rowOff>
        </xdr:from>
        <xdr:to>
          <xdr:col>18</xdr:col>
          <xdr:colOff>85725</xdr:colOff>
          <xdr:row>79</xdr:row>
          <xdr:rowOff>200025</xdr:rowOff>
        </xdr:to>
        <xdr:sp macro="" textlink="">
          <xdr:nvSpPr>
            <xdr:cNvPr id="2543306" name="Check Box 2762" hidden="1">
              <a:extLst>
                <a:ext uri="{63B3BB69-23CF-44E3-9099-C40C66FF867C}">
                  <a14:compatExt spid="_x0000_s2543306"/>
                </a:ext>
                <a:ext uri="{FF2B5EF4-FFF2-40B4-BE49-F238E27FC236}">
                  <a16:creationId xmlns:a16="http://schemas.microsoft.com/office/drawing/2014/main" id="{00000000-0008-0000-0200-0000CA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228600</xdr:colOff>
          <xdr:row>79</xdr:row>
          <xdr:rowOff>9525</xdr:rowOff>
        </xdr:from>
        <xdr:to>
          <xdr:col>16</xdr:col>
          <xdr:colOff>66675</xdr:colOff>
          <xdr:row>80</xdr:row>
          <xdr:rowOff>0</xdr:rowOff>
        </xdr:to>
        <xdr:sp macro="" textlink="">
          <xdr:nvSpPr>
            <xdr:cNvPr id="2543307" name="Check Box 2763" hidden="1">
              <a:extLst>
                <a:ext uri="{63B3BB69-23CF-44E3-9099-C40C66FF867C}">
                  <a14:compatExt spid="_x0000_s2543307"/>
                </a:ext>
                <a:ext uri="{FF2B5EF4-FFF2-40B4-BE49-F238E27FC236}">
                  <a16:creationId xmlns:a16="http://schemas.microsoft.com/office/drawing/2014/main" id="{00000000-0008-0000-0200-0000CB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OHWL</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78</xdr:row>
          <xdr:rowOff>0</xdr:rowOff>
        </xdr:from>
        <xdr:to>
          <xdr:col>14</xdr:col>
          <xdr:colOff>0</xdr:colOff>
          <xdr:row>78</xdr:row>
          <xdr:rowOff>219075</xdr:rowOff>
        </xdr:to>
        <xdr:sp macro="" textlink="">
          <xdr:nvSpPr>
            <xdr:cNvPr id="2543308" name="Check Box 2764" hidden="1">
              <a:extLst>
                <a:ext uri="{63B3BB69-23CF-44E3-9099-C40C66FF867C}">
                  <a14:compatExt spid="_x0000_s2543308"/>
                </a:ext>
                <a:ext uri="{FF2B5EF4-FFF2-40B4-BE49-F238E27FC236}">
                  <a16:creationId xmlns:a16="http://schemas.microsoft.com/office/drawing/2014/main" id="{00000000-0008-0000-0200-0000CC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Easements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257175</xdr:colOff>
          <xdr:row>78</xdr:row>
          <xdr:rowOff>9525</xdr:rowOff>
        </xdr:from>
        <xdr:to>
          <xdr:col>11</xdr:col>
          <xdr:colOff>114300</xdr:colOff>
          <xdr:row>78</xdr:row>
          <xdr:rowOff>219075</xdr:rowOff>
        </xdr:to>
        <xdr:sp macro="" textlink="">
          <xdr:nvSpPr>
            <xdr:cNvPr id="2543309" name="Check Box 2765" hidden="1">
              <a:extLst>
                <a:ext uri="{63B3BB69-23CF-44E3-9099-C40C66FF867C}">
                  <a14:compatExt spid="_x0000_s2543309"/>
                </a:ext>
                <a:ext uri="{FF2B5EF4-FFF2-40B4-BE49-F238E27FC236}">
                  <a16:creationId xmlns:a16="http://schemas.microsoft.com/office/drawing/2014/main" id="{00000000-0008-0000-0200-0000CD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Water Supply Pipes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219075</xdr:colOff>
          <xdr:row>78</xdr:row>
          <xdr:rowOff>9525</xdr:rowOff>
        </xdr:from>
        <xdr:to>
          <xdr:col>16</xdr:col>
          <xdr:colOff>219075</xdr:colOff>
          <xdr:row>78</xdr:row>
          <xdr:rowOff>219075</xdr:rowOff>
        </xdr:to>
        <xdr:sp macro="" textlink="">
          <xdr:nvSpPr>
            <xdr:cNvPr id="2543310" name="Check Box 2766" hidden="1">
              <a:extLst>
                <a:ext uri="{63B3BB69-23CF-44E3-9099-C40C66FF867C}">
                  <a14:compatExt spid="_x0000_s2543310"/>
                </a:ext>
                <a:ext uri="{FF2B5EF4-FFF2-40B4-BE49-F238E27FC236}">
                  <a16:creationId xmlns:a16="http://schemas.microsoft.com/office/drawing/2014/main" id="{00000000-0008-0000-0200-0000CE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Well(s)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114300</xdr:colOff>
          <xdr:row>17</xdr:row>
          <xdr:rowOff>0</xdr:rowOff>
        </xdr:from>
        <xdr:to>
          <xdr:col>19</xdr:col>
          <xdr:colOff>161925</xdr:colOff>
          <xdr:row>17</xdr:row>
          <xdr:rowOff>219075</xdr:rowOff>
        </xdr:to>
        <xdr:sp macro="" textlink="">
          <xdr:nvSpPr>
            <xdr:cNvPr id="2543331" name="Check Box 2787" hidden="1">
              <a:extLst>
                <a:ext uri="{63B3BB69-23CF-44E3-9099-C40C66FF867C}">
                  <a14:compatExt spid="_x0000_s2543331"/>
                </a:ext>
                <a:ext uri="{FF2B5EF4-FFF2-40B4-BE49-F238E27FC236}">
                  <a16:creationId xmlns:a16="http://schemas.microsoft.com/office/drawing/2014/main" id="{00000000-0008-0000-0200-0000E3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Repair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304800</xdr:colOff>
          <xdr:row>29</xdr:row>
          <xdr:rowOff>0</xdr:rowOff>
        </xdr:from>
        <xdr:to>
          <xdr:col>12</xdr:col>
          <xdr:colOff>85725</xdr:colOff>
          <xdr:row>29</xdr:row>
          <xdr:rowOff>190500</xdr:rowOff>
        </xdr:to>
        <xdr:sp macro="" textlink="">
          <xdr:nvSpPr>
            <xdr:cNvPr id="2543334" name="Check Box 2790" hidden="1">
              <a:extLst>
                <a:ext uri="{63B3BB69-23CF-44E3-9099-C40C66FF867C}">
                  <a14:compatExt spid="_x0000_s2543334"/>
                </a:ext>
                <a:ext uri="{FF2B5EF4-FFF2-40B4-BE49-F238E27FC236}">
                  <a16:creationId xmlns:a16="http://schemas.microsoft.com/office/drawing/2014/main" id="{00000000-0008-0000-0200-0000E6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Clothes Washing Machine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304800</xdr:colOff>
          <xdr:row>27</xdr:row>
          <xdr:rowOff>0</xdr:rowOff>
        </xdr:from>
        <xdr:to>
          <xdr:col>12</xdr:col>
          <xdr:colOff>114300</xdr:colOff>
          <xdr:row>28</xdr:row>
          <xdr:rowOff>0</xdr:rowOff>
        </xdr:to>
        <xdr:sp macro="" textlink="">
          <xdr:nvSpPr>
            <xdr:cNvPr id="2543335" name="Check Box 2791" hidden="1">
              <a:extLst>
                <a:ext uri="{63B3BB69-23CF-44E3-9099-C40C66FF867C}">
                  <a14:compatExt spid="_x0000_s2543335"/>
                </a:ext>
                <a:ext uri="{FF2B5EF4-FFF2-40B4-BE49-F238E27FC236}">
                  <a16:creationId xmlns:a16="http://schemas.microsoft.com/office/drawing/2014/main" id="{00000000-0008-0000-0200-0000E7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Sewage pump in basement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123825</xdr:colOff>
          <xdr:row>29</xdr:row>
          <xdr:rowOff>0</xdr:rowOff>
        </xdr:from>
        <xdr:to>
          <xdr:col>18</xdr:col>
          <xdr:colOff>28575</xdr:colOff>
          <xdr:row>29</xdr:row>
          <xdr:rowOff>190500</xdr:rowOff>
        </xdr:to>
        <xdr:sp macro="" textlink="">
          <xdr:nvSpPr>
            <xdr:cNvPr id="2543338" name="Check Box 2794" hidden="1">
              <a:extLst>
                <a:ext uri="{63B3BB69-23CF-44E3-9099-C40C66FF867C}">
                  <a14:compatExt spid="_x0000_s2543338"/>
                </a:ext>
                <a:ext uri="{FF2B5EF4-FFF2-40B4-BE49-F238E27FC236}">
                  <a16:creationId xmlns:a16="http://schemas.microsoft.com/office/drawing/2014/main" id="{00000000-0008-0000-0200-0000EA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180975</xdr:colOff>
          <xdr:row>26</xdr:row>
          <xdr:rowOff>0</xdr:rowOff>
        </xdr:from>
        <xdr:to>
          <xdr:col>15</xdr:col>
          <xdr:colOff>180975</xdr:colOff>
          <xdr:row>27</xdr:row>
          <xdr:rowOff>9525</xdr:rowOff>
        </xdr:to>
        <xdr:sp macro="" textlink="">
          <xdr:nvSpPr>
            <xdr:cNvPr id="2543339" name="Check Box 2795" hidden="1">
              <a:extLst>
                <a:ext uri="{63B3BB69-23CF-44E3-9099-C40C66FF867C}">
                  <a14:compatExt spid="_x0000_s2543339"/>
                </a:ext>
                <a:ext uri="{FF2B5EF4-FFF2-40B4-BE49-F238E27FC236}">
                  <a16:creationId xmlns:a16="http://schemas.microsoft.com/office/drawing/2014/main" id="{00000000-0008-0000-0200-0000EB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Dishwasher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257175</xdr:colOff>
          <xdr:row>79</xdr:row>
          <xdr:rowOff>38100</xdr:rowOff>
        </xdr:from>
        <xdr:to>
          <xdr:col>11</xdr:col>
          <xdr:colOff>257175</xdr:colOff>
          <xdr:row>79</xdr:row>
          <xdr:rowOff>200025</xdr:rowOff>
        </xdr:to>
        <xdr:sp macro="" textlink="">
          <xdr:nvSpPr>
            <xdr:cNvPr id="2543349" name="Check Box 2805" hidden="1">
              <a:extLst>
                <a:ext uri="{63B3BB69-23CF-44E3-9099-C40C66FF867C}">
                  <a14:compatExt spid="_x0000_s2543349"/>
                </a:ext>
                <a:ext uri="{FF2B5EF4-FFF2-40B4-BE49-F238E27FC236}">
                  <a16:creationId xmlns:a16="http://schemas.microsoft.com/office/drawing/2014/main" id="{00000000-0008-0000-0200-0000F5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Building(s)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219075</xdr:colOff>
          <xdr:row>75</xdr:row>
          <xdr:rowOff>47625</xdr:rowOff>
        </xdr:from>
        <xdr:to>
          <xdr:col>9</xdr:col>
          <xdr:colOff>142875</xdr:colOff>
          <xdr:row>77</xdr:row>
          <xdr:rowOff>28575</xdr:rowOff>
        </xdr:to>
        <xdr:sp macro="" textlink="">
          <xdr:nvSpPr>
            <xdr:cNvPr id="2543351" name="Check Box 2807" hidden="1">
              <a:extLst>
                <a:ext uri="{63B3BB69-23CF-44E3-9099-C40C66FF867C}">
                  <a14:compatExt spid="_x0000_s2543351"/>
                </a:ext>
                <a:ext uri="{FF2B5EF4-FFF2-40B4-BE49-F238E27FC236}">
                  <a16:creationId xmlns:a16="http://schemas.microsoft.com/office/drawing/2014/main" id="{00000000-0008-0000-0200-0000F7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Owner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75</xdr:row>
          <xdr:rowOff>47625</xdr:rowOff>
        </xdr:from>
        <xdr:to>
          <xdr:col>14</xdr:col>
          <xdr:colOff>104775</xdr:colOff>
          <xdr:row>77</xdr:row>
          <xdr:rowOff>28575</xdr:rowOff>
        </xdr:to>
        <xdr:sp macro="" textlink="">
          <xdr:nvSpPr>
            <xdr:cNvPr id="2543352" name="Check Box 2808" hidden="1">
              <a:extLst>
                <a:ext uri="{63B3BB69-23CF-44E3-9099-C40C66FF867C}">
                  <a14:compatExt spid="_x0000_s2543352"/>
                </a:ext>
                <a:ext uri="{FF2B5EF4-FFF2-40B4-BE49-F238E27FC236}">
                  <a16:creationId xmlns:a16="http://schemas.microsoft.com/office/drawing/2014/main" id="{00000000-0008-0000-0200-0000F8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County GIS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161925</xdr:colOff>
          <xdr:row>76</xdr:row>
          <xdr:rowOff>0</xdr:rowOff>
        </xdr:from>
        <xdr:to>
          <xdr:col>17</xdr:col>
          <xdr:colOff>152400</xdr:colOff>
          <xdr:row>77</xdr:row>
          <xdr:rowOff>0</xdr:rowOff>
        </xdr:to>
        <xdr:sp macro="" textlink="">
          <xdr:nvSpPr>
            <xdr:cNvPr id="2543359" name="Check Box 2815" hidden="1">
              <a:extLst>
                <a:ext uri="{63B3BB69-23CF-44E3-9099-C40C66FF867C}">
                  <a14:compatExt spid="_x0000_s2543359"/>
                </a:ext>
                <a:ext uri="{FF2B5EF4-FFF2-40B4-BE49-F238E27FC236}">
                  <a16:creationId xmlns:a16="http://schemas.microsoft.com/office/drawing/2014/main" id="{00000000-0008-0000-0200-0000FFCE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314325</xdr:colOff>
          <xdr:row>17</xdr:row>
          <xdr:rowOff>0</xdr:rowOff>
        </xdr:from>
        <xdr:to>
          <xdr:col>16</xdr:col>
          <xdr:colOff>28575</xdr:colOff>
          <xdr:row>17</xdr:row>
          <xdr:rowOff>219075</xdr:rowOff>
        </xdr:to>
        <xdr:sp macro="" textlink="">
          <xdr:nvSpPr>
            <xdr:cNvPr id="2543364" name="Check Box 2820" hidden="1">
              <a:extLst>
                <a:ext uri="{63B3BB69-23CF-44E3-9099-C40C66FF867C}">
                  <a14:compatExt spid="_x0000_s2543364"/>
                </a:ext>
                <a:ext uri="{FF2B5EF4-FFF2-40B4-BE49-F238E27FC236}">
                  <a16:creationId xmlns:a16="http://schemas.microsoft.com/office/drawing/2014/main" id="{00000000-0008-0000-0200-000004CF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Expansion</a:t>
              </a:r>
            </a:p>
          </xdr:txBody>
        </xdr:sp>
        <xdr:clientData/>
      </xdr:twoCellAnchor>
    </mc:Choice>
    <mc:Fallback/>
  </mc:AlternateContent>
  <xdr:twoCellAnchor editAs="oneCell">
    <xdr:from>
      <xdr:col>22</xdr:col>
      <xdr:colOff>190500</xdr:colOff>
      <xdr:row>20</xdr:row>
      <xdr:rowOff>85725</xdr:rowOff>
    </xdr:from>
    <xdr:to>
      <xdr:col>31</xdr:col>
      <xdr:colOff>294617</xdr:colOff>
      <xdr:row>45</xdr:row>
      <xdr:rowOff>26277</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819900" y="3171825"/>
          <a:ext cx="5590517" cy="425537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2</xdr:row>
          <xdr:rowOff>28575</xdr:rowOff>
        </xdr:from>
        <xdr:to>
          <xdr:col>6</xdr:col>
          <xdr:colOff>114300</xdr:colOff>
          <xdr:row>2</xdr:row>
          <xdr:rowOff>238125</xdr:rowOff>
        </xdr:to>
        <xdr:sp macro="" textlink="">
          <xdr:nvSpPr>
            <xdr:cNvPr id="5553153" name="Check Box 1" hidden="1">
              <a:extLst>
                <a:ext uri="{63B3BB69-23CF-44E3-9099-C40C66FF867C}">
                  <a14:compatExt spid="_x0000_s5553153"/>
                </a:ext>
                <a:ext uri="{FF2B5EF4-FFF2-40B4-BE49-F238E27FC236}">
                  <a16:creationId xmlns:a16="http://schemas.microsoft.com/office/drawing/2014/main" id="{00000000-0008-0000-0B00-000001BC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2</xdr:row>
          <xdr:rowOff>28575</xdr:rowOff>
        </xdr:from>
        <xdr:to>
          <xdr:col>7</xdr:col>
          <xdr:colOff>257175</xdr:colOff>
          <xdr:row>2</xdr:row>
          <xdr:rowOff>238125</xdr:rowOff>
        </xdr:to>
        <xdr:sp macro="" textlink="">
          <xdr:nvSpPr>
            <xdr:cNvPr id="5553154" name="Check Box 2" hidden="1">
              <a:extLst>
                <a:ext uri="{63B3BB69-23CF-44E3-9099-C40C66FF867C}">
                  <a14:compatExt spid="_x0000_s5553154"/>
                </a:ext>
                <a:ext uri="{FF2B5EF4-FFF2-40B4-BE49-F238E27FC236}">
                  <a16:creationId xmlns:a16="http://schemas.microsoft.com/office/drawing/2014/main" id="{00000000-0008-0000-0B00-000002BC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2</xdr:row>
          <xdr:rowOff>28575</xdr:rowOff>
        </xdr:from>
        <xdr:to>
          <xdr:col>7</xdr:col>
          <xdr:colOff>952500</xdr:colOff>
          <xdr:row>2</xdr:row>
          <xdr:rowOff>238125</xdr:rowOff>
        </xdr:to>
        <xdr:sp macro="" textlink="">
          <xdr:nvSpPr>
            <xdr:cNvPr id="5553155" name="Check Box 3" hidden="1">
              <a:extLst>
                <a:ext uri="{63B3BB69-23CF-44E3-9099-C40C66FF867C}">
                  <a14:compatExt spid="_x0000_s5553155"/>
                </a:ext>
                <a:ext uri="{FF2B5EF4-FFF2-40B4-BE49-F238E27FC236}">
                  <a16:creationId xmlns:a16="http://schemas.microsoft.com/office/drawing/2014/main" id="{00000000-0008-0000-0B00-000003BC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428625</xdr:colOff>
          <xdr:row>2</xdr:row>
          <xdr:rowOff>28575</xdr:rowOff>
        </xdr:from>
        <xdr:to>
          <xdr:col>8</xdr:col>
          <xdr:colOff>485775</xdr:colOff>
          <xdr:row>2</xdr:row>
          <xdr:rowOff>238125</xdr:rowOff>
        </xdr:to>
        <xdr:sp macro="" textlink="">
          <xdr:nvSpPr>
            <xdr:cNvPr id="5553156" name="Check Box 4" hidden="1">
              <a:extLst>
                <a:ext uri="{63B3BB69-23CF-44E3-9099-C40C66FF867C}">
                  <a14:compatExt spid="_x0000_s5553156"/>
                </a:ext>
                <a:ext uri="{FF2B5EF4-FFF2-40B4-BE49-F238E27FC236}">
                  <a16:creationId xmlns:a16="http://schemas.microsoft.com/office/drawing/2014/main" id="{00000000-0008-0000-0B00-000004BC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819150</xdr:colOff>
          <xdr:row>2</xdr:row>
          <xdr:rowOff>28575</xdr:rowOff>
        </xdr:from>
        <xdr:to>
          <xdr:col>9</xdr:col>
          <xdr:colOff>114300</xdr:colOff>
          <xdr:row>2</xdr:row>
          <xdr:rowOff>238125</xdr:rowOff>
        </xdr:to>
        <xdr:sp macro="" textlink="">
          <xdr:nvSpPr>
            <xdr:cNvPr id="5553157" name="Check Box 5" hidden="1">
              <a:extLst>
                <a:ext uri="{63B3BB69-23CF-44E3-9099-C40C66FF867C}">
                  <a14:compatExt spid="_x0000_s5553157"/>
                </a:ext>
                <a:ext uri="{FF2B5EF4-FFF2-40B4-BE49-F238E27FC236}">
                  <a16:creationId xmlns:a16="http://schemas.microsoft.com/office/drawing/2014/main" id="{00000000-0008-0000-0B00-000005BC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485775</xdr:colOff>
          <xdr:row>2</xdr:row>
          <xdr:rowOff>28575</xdr:rowOff>
        </xdr:from>
        <xdr:to>
          <xdr:col>9</xdr:col>
          <xdr:colOff>733425</xdr:colOff>
          <xdr:row>2</xdr:row>
          <xdr:rowOff>238125</xdr:rowOff>
        </xdr:to>
        <xdr:sp macro="" textlink="">
          <xdr:nvSpPr>
            <xdr:cNvPr id="5553158" name="Check Box 6" hidden="1">
              <a:extLst>
                <a:ext uri="{63B3BB69-23CF-44E3-9099-C40C66FF867C}">
                  <a14:compatExt spid="_x0000_s5553158"/>
                </a:ext>
                <a:ext uri="{FF2B5EF4-FFF2-40B4-BE49-F238E27FC236}">
                  <a16:creationId xmlns:a16="http://schemas.microsoft.com/office/drawing/2014/main" id="{00000000-0008-0000-0B00-000006BC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352425</xdr:colOff>
          <xdr:row>2</xdr:row>
          <xdr:rowOff>28575</xdr:rowOff>
        </xdr:from>
        <xdr:to>
          <xdr:col>10</xdr:col>
          <xdr:colOff>600075</xdr:colOff>
          <xdr:row>2</xdr:row>
          <xdr:rowOff>238125</xdr:rowOff>
        </xdr:to>
        <xdr:sp macro="" textlink="">
          <xdr:nvSpPr>
            <xdr:cNvPr id="5553159" name="Check Box 7" hidden="1">
              <a:extLst>
                <a:ext uri="{63B3BB69-23CF-44E3-9099-C40C66FF867C}">
                  <a14:compatExt spid="_x0000_s5553159"/>
                </a:ext>
                <a:ext uri="{FF2B5EF4-FFF2-40B4-BE49-F238E27FC236}">
                  <a16:creationId xmlns:a16="http://schemas.microsoft.com/office/drawing/2014/main" id="{00000000-0008-0000-0B00-000007BC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xdr:twoCellAnchor editAs="oneCell">
    <xdr:from>
      <xdr:col>0</xdr:col>
      <xdr:colOff>38100</xdr:colOff>
      <xdr:row>0</xdr:row>
      <xdr:rowOff>9525</xdr:rowOff>
    </xdr:from>
    <xdr:to>
      <xdr:col>1</xdr:col>
      <xdr:colOff>722688</xdr:colOff>
      <xdr:row>0</xdr:row>
      <xdr:rowOff>558165</xdr:rowOff>
    </xdr:to>
    <xdr:pic>
      <xdr:nvPicPr>
        <xdr:cNvPr id="2" name="Picture 1">
          <a:extLst>
            <a:ext uri="{FF2B5EF4-FFF2-40B4-BE49-F238E27FC236}">
              <a16:creationId xmlns:a16="http://schemas.microsoft.com/office/drawing/2014/main" id="{C0412827-1691-4322-9687-0D94289EBAB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9525"/>
          <a:ext cx="1414838" cy="548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523875</xdr:colOff>
          <xdr:row>2</xdr:row>
          <xdr:rowOff>28575</xdr:rowOff>
        </xdr:from>
        <xdr:to>
          <xdr:col>11</xdr:col>
          <xdr:colOff>400050</xdr:colOff>
          <xdr:row>2</xdr:row>
          <xdr:rowOff>238125</xdr:rowOff>
        </xdr:to>
        <xdr:sp macro="" textlink="">
          <xdr:nvSpPr>
            <xdr:cNvPr id="5553160" name="Check Box 8" hidden="1">
              <a:extLst>
                <a:ext uri="{63B3BB69-23CF-44E3-9099-C40C66FF867C}">
                  <a14:compatExt spid="_x0000_s5553160"/>
                </a:ext>
                <a:ext uri="{FF2B5EF4-FFF2-40B4-BE49-F238E27FC236}">
                  <a16:creationId xmlns:a16="http://schemas.microsoft.com/office/drawing/2014/main" id="{00000000-0008-0000-0B00-000008BC5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Disturbed/Fill</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2</xdr:row>
          <xdr:rowOff>28575</xdr:rowOff>
        </xdr:from>
        <xdr:to>
          <xdr:col>6</xdr:col>
          <xdr:colOff>114300</xdr:colOff>
          <xdr:row>2</xdr:row>
          <xdr:rowOff>238125</xdr:rowOff>
        </xdr:to>
        <xdr:sp macro="" textlink="">
          <xdr:nvSpPr>
            <xdr:cNvPr id="5554177" name="Check Box 1" hidden="1">
              <a:extLst>
                <a:ext uri="{63B3BB69-23CF-44E3-9099-C40C66FF867C}">
                  <a14:compatExt spid="_x0000_s5554177"/>
                </a:ext>
                <a:ext uri="{FF2B5EF4-FFF2-40B4-BE49-F238E27FC236}">
                  <a16:creationId xmlns:a16="http://schemas.microsoft.com/office/drawing/2014/main" id="{00000000-0008-0000-0C00-000001C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2</xdr:row>
          <xdr:rowOff>28575</xdr:rowOff>
        </xdr:from>
        <xdr:to>
          <xdr:col>7</xdr:col>
          <xdr:colOff>257175</xdr:colOff>
          <xdr:row>2</xdr:row>
          <xdr:rowOff>238125</xdr:rowOff>
        </xdr:to>
        <xdr:sp macro="" textlink="">
          <xdr:nvSpPr>
            <xdr:cNvPr id="5554178" name="Check Box 2" hidden="1">
              <a:extLst>
                <a:ext uri="{63B3BB69-23CF-44E3-9099-C40C66FF867C}">
                  <a14:compatExt spid="_x0000_s5554178"/>
                </a:ext>
                <a:ext uri="{FF2B5EF4-FFF2-40B4-BE49-F238E27FC236}">
                  <a16:creationId xmlns:a16="http://schemas.microsoft.com/office/drawing/2014/main" id="{00000000-0008-0000-0C00-000002C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2</xdr:row>
          <xdr:rowOff>28575</xdr:rowOff>
        </xdr:from>
        <xdr:to>
          <xdr:col>7</xdr:col>
          <xdr:colOff>952500</xdr:colOff>
          <xdr:row>2</xdr:row>
          <xdr:rowOff>238125</xdr:rowOff>
        </xdr:to>
        <xdr:sp macro="" textlink="">
          <xdr:nvSpPr>
            <xdr:cNvPr id="5554179" name="Check Box 3" hidden="1">
              <a:extLst>
                <a:ext uri="{63B3BB69-23CF-44E3-9099-C40C66FF867C}">
                  <a14:compatExt spid="_x0000_s5554179"/>
                </a:ext>
                <a:ext uri="{FF2B5EF4-FFF2-40B4-BE49-F238E27FC236}">
                  <a16:creationId xmlns:a16="http://schemas.microsoft.com/office/drawing/2014/main" id="{00000000-0008-0000-0C00-000003C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428625</xdr:colOff>
          <xdr:row>2</xdr:row>
          <xdr:rowOff>28575</xdr:rowOff>
        </xdr:from>
        <xdr:to>
          <xdr:col>8</xdr:col>
          <xdr:colOff>485775</xdr:colOff>
          <xdr:row>2</xdr:row>
          <xdr:rowOff>238125</xdr:rowOff>
        </xdr:to>
        <xdr:sp macro="" textlink="">
          <xdr:nvSpPr>
            <xdr:cNvPr id="5554180" name="Check Box 4" hidden="1">
              <a:extLst>
                <a:ext uri="{63B3BB69-23CF-44E3-9099-C40C66FF867C}">
                  <a14:compatExt spid="_x0000_s5554180"/>
                </a:ext>
                <a:ext uri="{FF2B5EF4-FFF2-40B4-BE49-F238E27FC236}">
                  <a16:creationId xmlns:a16="http://schemas.microsoft.com/office/drawing/2014/main" id="{00000000-0008-0000-0C00-000004C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819150</xdr:colOff>
          <xdr:row>2</xdr:row>
          <xdr:rowOff>28575</xdr:rowOff>
        </xdr:from>
        <xdr:to>
          <xdr:col>9</xdr:col>
          <xdr:colOff>114300</xdr:colOff>
          <xdr:row>2</xdr:row>
          <xdr:rowOff>238125</xdr:rowOff>
        </xdr:to>
        <xdr:sp macro="" textlink="">
          <xdr:nvSpPr>
            <xdr:cNvPr id="5554181" name="Check Box 5" hidden="1">
              <a:extLst>
                <a:ext uri="{63B3BB69-23CF-44E3-9099-C40C66FF867C}">
                  <a14:compatExt spid="_x0000_s5554181"/>
                </a:ext>
                <a:ext uri="{FF2B5EF4-FFF2-40B4-BE49-F238E27FC236}">
                  <a16:creationId xmlns:a16="http://schemas.microsoft.com/office/drawing/2014/main" id="{00000000-0008-0000-0C00-000005C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485775</xdr:colOff>
          <xdr:row>2</xdr:row>
          <xdr:rowOff>28575</xdr:rowOff>
        </xdr:from>
        <xdr:to>
          <xdr:col>9</xdr:col>
          <xdr:colOff>733425</xdr:colOff>
          <xdr:row>2</xdr:row>
          <xdr:rowOff>238125</xdr:rowOff>
        </xdr:to>
        <xdr:sp macro="" textlink="">
          <xdr:nvSpPr>
            <xdr:cNvPr id="5554182" name="Check Box 6" hidden="1">
              <a:extLst>
                <a:ext uri="{63B3BB69-23CF-44E3-9099-C40C66FF867C}">
                  <a14:compatExt spid="_x0000_s5554182"/>
                </a:ext>
                <a:ext uri="{FF2B5EF4-FFF2-40B4-BE49-F238E27FC236}">
                  <a16:creationId xmlns:a16="http://schemas.microsoft.com/office/drawing/2014/main" id="{00000000-0008-0000-0C00-000006C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352425</xdr:colOff>
          <xdr:row>2</xdr:row>
          <xdr:rowOff>28575</xdr:rowOff>
        </xdr:from>
        <xdr:to>
          <xdr:col>10</xdr:col>
          <xdr:colOff>600075</xdr:colOff>
          <xdr:row>2</xdr:row>
          <xdr:rowOff>238125</xdr:rowOff>
        </xdr:to>
        <xdr:sp macro="" textlink="">
          <xdr:nvSpPr>
            <xdr:cNvPr id="5554183" name="Check Box 7" hidden="1">
              <a:extLst>
                <a:ext uri="{63B3BB69-23CF-44E3-9099-C40C66FF867C}">
                  <a14:compatExt spid="_x0000_s5554183"/>
                </a:ext>
                <a:ext uri="{FF2B5EF4-FFF2-40B4-BE49-F238E27FC236}">
                  <a16:creationId xmlns:a16="http://schemas.microsoft.com/office/drawing/2014/main" id="{00000000-0008-0000-0C00-000007C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xdr:twoCellAnchor editAs="oneCell">
    <xdr:from>
      <xdr:col>0</xdr:col>
      <xdr:colOff>38100</xdr:colOff>
      <xdr:row>0</xdr:row>
      <xdr:rowOff>9525</xdr:rowOff>
    </xdr:from>
    <xdr:to>
      <xdr:col>1</xdr:col>
      <xdr:colOff>722688</xdr:colOff>
      <xdr:row>0</xdr:row>
      <xdr:rowOff>558165</xdr:rowOff>
    </xdr:to>
    <xdr:pic>
      <xdr:nvPicPr>
        <xdr:cNvPr id="2" name="Picture 1">
          <a:extLst>
            <a:ext uri="{FF2B5EF4-FFF2-40B4-BE49-F238E27FC236}">
              <a16:creationId xmlns:a16="http://schemas.microsoft.com/office/drawing/2014/main" id="{84F1D5B3-05D3-4F59-9029-218F208FE3A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9525"/>
          <a:ext cx="1414838" cy="548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523875</xdr:colOff>
          <xdr:row>2</xdr:row>
          <xdr:rowOff>28575</xdr:rowOff>
        </xdr:from>
        <xdr:to>
          <xdr:col>11</xdr:col>
          <xdr:colOff>400050</xdr:colOff>
          <xdr:row>2</xdr:row>
          <xdr:rowOff>238125</xdr:rowOff>
        </xdr:to>
        <xdr:sp macro="" textlink="">
          <xdr:nvSpPr>
            <xdr:cNvPr id="5554184" name="Check Box 8" hidden="1">
              <a:extLst>
                <a:ext uri="{63B3BB69-23CF-44E3-9099-C40C66FF867C}">
                  <a14:compatExt spid="_x0000_s5554184"/>
                </a:ext>
                <a:ext uri="{FF2B5EF4-FFF2-40B4-BE49-F238E27FC236}">
                  <a16:creationId xmlns:a16="http://schemas.microsoft.com/office/drawing/2014/main" id="{00000000-0008-0000-0C00-000008C05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Disturbed/Fill</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2</xdr:row>
          <xdr:rowOff>28575</xdr:rowOff>
        </xdr:from>
        <xdr:to>
          <xdr:col>6</xdr:col>
          <xdr:colOff>114300</xdr:colOff>
          <xdr:row>2</xdr:row>
          <xdr:rowOff>238125</xdr:rowOff>
        </xdr:to>
        <xdr:sp macro="" textlink="">
          <xdr:nvSpPr>
            <xdr:cNvPr id="5555201" name="Check Box 1" hidden="1">
              <a:extLst>
                <a:ext uri="{63B3BB69-23CF-44E3-9099-C40C66FF867C}">
                  <a14:compatExt spid="_x0000_s5555201"/>
                </a:ext>
                <a:ext uri="{FF2B5EF4-FFF2-40B4-BE49-F238E27FC236}">
                  <a16:creationId xmlns:a16="http://schemas.microsoft.com/office/drawing/2014/main" id="{00000000-0008-0000-0D00-000001C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2</xdr:row>
          <xdr:rowOff>28575</xdr:rowOff>
        </xdr:from>
        <xdr:to>
          <xdr:col>7</xdr:col>
          <xdr:colOff>257175</xdr:colOff>
          <xdr:row>2</xdr:row>
          <xdr:rowOff>238125</xdr:rowOff>
        </xdr:to>
        <xdr:sp macro="" textlink="">
          <xdr:nvSpPr>
            <xdr:cNvPr id="5555202" name="Check Box 2" hidden="1">
              <a:extLst>
                <a:ext uri="{63B3BB69-23CF-44E3-9099-C40C66FF867C}">
                  <a14:compatExt spid="_x0000_s5555202"/>
                </a:ext>
                <a:ext uri="{FF2B5EF4-FFF2-40B4-BE49-F238E27FC236}">
                  <a16:creationId xmlns:a16="http://schemas.microsoft.com/office/drawing/2014/main" id="{00000000-0008-0000-0D00-000002C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2</xdr:row>
          <xdr:rowOff>28575</xdr:rowOff>
        </xdr:from>
        <xdr:to>
          <xdr:col>7</xdr:col>
          <xdr:colOff>952500</xdr:colOff>
          <xdr:row>2</xdr:row>
          <xdr:rowOff>238125</xdr:rowOff>
        </xdr:to>
        <xdr:sp macro="" textlink="">
          <xdr:nvSpPr>
            <xdr:cNvPr id="5555203" name="Check Box 3" hidden="1">
              <a:extLst>
                <a:ext uri="{63B3BB69-23CF-44E3-9099-C40C66FF867C}">
                  <a14:compatExt spid="_x0000_s5555203"/>
                </a:ext>
                <a:ext uri="{FF2B5EF4-FFF2-40B4-BE49-F238E27FC236}">
                  <a16:creationId xmlns:a16="http://schemas.microsoft.com/office/drawing/2014/main" id="{00000000-0008-0000-0D00-000003C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428625</xdr:colOff>
          <xdr:row>2</xdr:row>
          <xdr:rowOff>28575</xdr:rowOff>
        </xdr:from>
        <xdr:to>
          <xdr:col>8</xdr:col>
          <xdr:colOff>485775</xdr:colOff>
          <xdr:row>2</xdr:row>
          <xdr:rowOff>238125</xdr:rowOff>
        </xdr:to>
        <xdr:sp macro="" textlink="">
          <xdr:nvSpPr>
            <xdr:cNvPr id="5555204" name="Check Box 4" hidden="1">
              <a:extLst>
                <a:ext uri="{63B3BB69-23CF-44E3-9099-C40C66FF867C}">
                  <a14:compatExt spid="_x0000_s5555204"/>
                </a:ext>
                <a:ext uri="{FF2B5EF4-FFF2-40B4-BE49-F238E27FC236}">
                  <a16:creationId xmlns:a16="http://schemas.microsoft.com/office/drawing/2014/main" id="{00000000-0008-0000-0D00-000004C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819150</xdr:colOff>
          <xdr:row>2</xdr:row>
          <xdr:rowOff>28575</xdr:rowOff>
        </xdr:from>
        <xdr:to>
          <xdr:col>9</xdr:col>
          <xdr:colOff>114300</xdr:colOff>
          <xdr:row>2</xdr:row>
          <xdr:rowOff>238125</xdr:rowOff>
        </xdr:to>
        <xdr:sp macro="" textlink="">
          <xdr:nvSpPr>
            <xdr:cNvPr id="5555205" name="Check Box 5" hidden="1">
              <a:extLst>
                <a:ext uri="{63B3BB69-23CF-44E3-9099-C40C66FF867C}">
                  <a14:compatExt spid="_x0000_s5555205"/>
                </a:ext>
                <a:ext uri="{FF2B5EF4-FFF2-40B4-BE49-F238E27FC236}">
                  <a16:creationId xmlns:a16="http://schemas.microsoft.com/office/drawing/2014/main" id="{00000000-0008-0000-0D00-000005C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485775</xdr:colOff>
          <xdr:row>2</xdr:row>
          <xdr:rowOff>28575</xdr:rowOff>
        </xdr:from>
        <xdr:to>
          <xdr:col>9</xdr:col>
          <xdr:colOff>733425</xdr:colOff>
          <xdr:row>2</xdr:row>
          <xdr:rowOff>238125</xdr:rowOff>
        </xdr:to>
        <xdr:sp macro="" textlink="">
          <xdr:nvSpPr>
            <xdr:cNvPr id="5555206" name="Check Box 6" hidden="1">
              <a:extLst>
                <a:ext uri="{63B3BB69-23CF-44E3-9099-C40C66FF867C}">
                  <a14:compatExt spid="_x0000_s5555206"/>
                </a:ext>
                <a:ext uri="{FF2B5EF4-FFF2-40B4-BE49-F238E27FC236}">
                  <a16:creationId xmlns:a16="http://schemas.microsoft.com/office/drawing/2014/main" id="{00000000-0008-0000-0D00-000006C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352425</xdr:colOff>
          <xdr:row>2</xdr:row>
          <xdr:rowOff>28575</xdr:rowOff>
        </xdr:from>
        <xdr:to>
          <xdr:col>10</xdr:col>
          <xdr:colOff>600075</xdr:colOff>
          <xdr:row>2</xdr:row>
          <xdr:rowOff>238125</xdr:rowOff>
        </xdr:to>
        <xdr:sp macro="" textlink="">
          <xdr:nvSpPr>
            <xdr:cNvPr id="5555207" name="Check Box 7" hidden="1">
              <a:extLst>
                <a:ext uri="{63B3BB69-23CF-44E3-9099-C40C66FF867C}">
                  <a14:compatExt spid="_x0000_s5555207"/>
                </a:ext>
                <a:ext uri="{FF2B5EF4-FFF2-40B4-BE49-F238E27FC236}">
                  <a16:creationId xmlns:a16="http://schemas.microsoft.com/office/drawing/2014/main" id="{00000000-0008-0000-0D00-000007C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xdr:twoCellAnchor editAs="oneCell">
    <xdr:from>
      <xdr:col>0</xdr:col>
      <xdr:colOff>38100</xdr:colOff>
      <xdr:row>0</xdr:row>
      <xdr:rowOff>9525</xdr:rowOff>
    </xdr:from>
    <xdr:to>
      <xdr:col>1</xdr:col>
      <xdr:colOff>722688</xdr:colOff>
      <xdr:row>0</xdr:row>
      <xdr:rowOff>558165</xdr:rowOff>
    </xdr:to>
    <xdr:pic>
      <xdr:nvPicPr>
        <xdr:cNvPr id="2" name="Picture 1">
          <a:extLst>
            <a:ext uri="{FF2B5EF4-FFF2-40B4-BE49-F238E27FC236}">
              <a16:creationId xmlns:a16="http://schemas.microsoft.com/office/drawing/2014/main" id="{92AE0979-978E-4A81-9340-F035638E81A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9525"/>
          <a:ext cx="1414838" cy="548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523875</xdr:colOff>
          <xdr:row>2</xdr:row>
          <xdr:rowOff>28575</xdr:rowOff>
        </xdr:from>
        <xdr:to>
          <xdr:col>11</xdr:col>
          <xdr:colOff>400050</xdr:colOff>
          <xdr:row>2</xdr:row>
          <xdr:rowOff>238125</xdr:rowOff>
        </xdr:to>
        <xdr:sp macro="" textlink="">
          <xdr:nvSpPr>
            <xdr:cNvPr id="5555208" name="Check Box 8" hidden="1">
              <a:extLst>
                <a:ext uri="{63B3BB69-23CF-44E3-9099-C40C66FF867C}">
                  <a14:compatExt spid="_x0000_s5555208"/>
                </a:ext>
                <a:ext uri="{FF2B5EF4-FFF2-40B4-BE49-F238E27FC236}">
                  <a16:creationId xmlns:a16="http://schemas.microsoft.com/office/drawing/2014/main" id="{00000000-0008-0000-0D00-000008C45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Disturbed/Fill</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xdr:oneCellAnchor>
    <xdr:from>
      <xdr:col>13</xdr:col>
      <xdr:colOff>72082</xdr:colOff>
      <xdr:row>15</xdr:row>
      <xdr:rowOff>51177</xdr:rowOff>
    </xdr:from>
    <xdr:ext cx="2915304" cy="1429528"/>
    <xdr:pic>
      <xdr:nvPicPr>
        <xdr:cNvPr id="2" name="Picture 9">
          <a:extLst>
            <a:ext uri="{FF2B5EF4-FFF2-40B4-BE49-F238E27FC236}">
              <a16:creationId xmlns:a16="http://schemas.microsoft.com/office/drawing/2014/main" id="{BCC23C85-2909-4A63-B4A1-53BF06068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9557" y="2775327"/>
          <a:ext cx="2915304" cy="14295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14</xdr:col>
          <xdr:colOff>9525</xdr:colOff>
          <xdr:row>30</xdr:row>
          <xdr:rowOff>38100</xdr:rowOff>
        </xdr:from>
        <xdr:to>
          <xdr:col>17</xdr:col>
          <xdr:colOff>733425</xdr:colOff>
          <xdr:row>39</xdr:row>
          <xdr:rowOff>152400</xdr:rowOff>
        </xdr:to>
        <xdr:sp macro="" textlink="">
          <xdr:nvSpPr>
            <xdr:cNvPr id="5511169" name="Object 1" hidden="1">
              <a:extLst>
                <a:ext uri="{63B3BB69-23CF-44E3-9099-C40C66FF867C}">
                  <a14:compatExt spid="_x0000_s5511169"/>
                </a:ext>
                <a:ext uri="{FF2B5EF4-FFF2-40B4-BE49-F238E27FC236}">
                  <a16:creationId xmlns:a16="http://schemas.microsoft.com/office/drawing/2014/main" id="{00000000-0008-0000-0E00-0000011854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13</xdr:col>
      <xdr:colOff>63498</xdr:colOff>
      <xdr:row>0</xdr:row>
      <xdr:rowOff>0</xdr:rowOff>
    </xdr:from>
    <xdr:to>
      <xdr:col>17</xdr:col>
      <xdr:colOff>739741</xdr:colOff>
      <xdr:row>15</xdr:row>
      <xdr:rowOff>10382</xdr:rowOff>
    </xdr:to>
    <xdr:pic>
      <xdr:nvPicPr>
        <xdr:cNvPr id="3" name="Picture 2">
          <a:extLst>
            <a:ext uri="{FF2B5EF4-FFF2-40B4-BE49-F238E27FC236}">
              <a16:creationId xmlns:a16="http://schemas.microsoft.com/office/drawing/2014/main" id="{3F05DC58-8ECF-4427-9CE6-5173A50A4030}"/>
            </a:ext>
          </a:extLst>
        </xdr:cNvPr>
        <xdr:cNvPicPr>
          <a:picLocks noChangeAspect="1"/>
        </xdr:cNvPicPr>
      </xdr:nvPicPr>
      <xdr:blipFill>
        <a:blip xmlns:r="http://schemas.openxmlformats.org/officeDocument/2006/relationships" r:embed="rId2"/>
        <a:stretch>
          <a:fillRect/>
        </a:stretch>
      </xdr:blipFill>
      <xdr:spPr>
        <a:xfrm>
          <a:off x="6530973" y="0"/>
          <a:ext cx="2905093" cy="273453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438978</xdr:colOff>
      <xdr:row>50</xdr:row>
      <xdr:rowOff>132522</xdr:rowOff>
    </xdr:from>
    <xdr:to>
      <xdr:col>8</xdr:col>
      <xdr:colOff>668847</xdr:colOff>
      <xdr:row>50</xdr:row>
      <xdr:rowOff>681162</xdr:rowOff>
    </xdr:to>
    <xdr:pic>
      <xdr:nvPicPr>
        <xdr:cNvPr id="14" name="Picture 13">
          <a:extLst>
            <a:ext uri="{FF2B5EF4-FFF2-40B4-BE49-F238E27FC236}">
              <a16:creationId xmlns:a16="http://schemas.microsoft.com/office/drawing/2014/main" id="{00000000-0008-0000-0F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4935" y="9525000"/>
          <a:ext cx="1786999" cy="548640"/>
        </a:xfrm>
        <a:prstGeom prst="rect">
          <a:avLst/>
        </a:prstGeom>
      </xdr:spPr>
    </xdr:pic>
    <xdr:clientData/>
  </xdr:twoCellAnchor>
  <xdr:twoCellAnchor editAs="oneCell">
    <xdr:from>
      <xdr:col>0</xdr:col>
      <xdr:colOff>124238</xdr:colOff>
      <xdr:row>50</xdr:row>
      <xdr:rowOff>82826</xdr:rowOff>
    </xdr:from>
    <xdr:to>
      <xdr:col>1</xdr:col>
      <xdr:colOff>726798</xdr:colOff>
      <xdr:row>50</xdr:row>
      <xdr:rowOff>631466</xdr:rowOff>
    </xdr:to>
    <xdr:pic>
      <xdr:nvPicPr>
        <xdr:cNvPr id="18" name="Picture 17">
          <a:extLst>
            <a:ext uri="{FF2B5EF4-FFF2-40B4-BE49-F238E27FC236}">
              <a16:creationId xmlns:a16="http://schemas.microsoft.com/office/drawing/2014/main" id="{00000000-0008-0000-0F00-00001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238" y="9525000"/>
          <a:ext cx="1381125" cy="548640"/>
        </a:xfrm>
        <a:prstGeom prst="rect">
          <a:avLst/>
        </a:prstGeom>
      </xdr:spPr>
    </xdr:pic>
    <xdr:clientData/>
  </xdr:twoCellAnchor>
  <xdr:twoCellAnchor editAs="oneCell">
    <xdr:from>
      <xdr:col>9</xdr:col>
      <xdr:colOff>74544</xdr:colOff>
      <xdr:row>50</xdr:row>
      <xdr:rowOff>107675</xdr:rowOff>
    </xdr:from>
    <xdr:to>
      <xdr:col>10</xdr:col>
      <xdr:colOff>726386</xdr:colOff>
      <xdr:row>50</xdr:row>
      <xdr:rowOff>656315</xdr:rowOff>
    </xdr:to>
    <xdr:pic>
      <xdr:nvPicPr>
        <xdr:cNvPr id="19" name="Picture 18">
          <a:extLst>
            <a:ext uri="{FF2B5EF4-FFF2-40B4-BE49-F238E27FC236}">
              <a16:creationId xmlns:a16="http://schemas.microsoft.com/office/drawing/2014/main" id="{00000000-0008-0000-0F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36196" y="9500153"/>
          <a:ext cx="1381125" cy="548640"/>
        </a:xfrm>
        <a:prstGeom prst="rect">
          <a:avLst/>
        </a:prstGeom>
      </xdr:spPr>
    </xdr:pic>
    <xdr:clientData/>
  </xdr:twoCellAnchor>
  <xdr:twoCellAnchor editAs="oneCell">
    <xdr:from>
      <xdr:col>14</xdr:col>
      <xdr:colOff>144118</xdr:colOff>
      <xdr:row>50</xdr:row>
      <xdr:rowOff>94422</xdr:rowOff>
    </xdr:from>
    <xdr:to>
      <xdr:col>16</xdr:col>
      <xdr:colOff>398834</xdr:colOff>
      <xdr:row>50</xdr:row>
      <xdr:rowOff>643062</xdr:rowOff>
    </xdr:to>
    <xdr:pic>
      <xdr:nvPicPr>
        <xdr:cNvPr id="20" name="Picture 19">
          <a:extLst>
            <a:ext uri="{FF2B5EF4-FFF2-40B4-BE49-F238E27FC236}">
              <a16:creationId xmlns:a16="http://schemas.microsoft.com/office/drawing/2014/main" id="{00000000-0008-0000-0F00-00001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16379" y="9486900"/>
          <a:ext cx="1786999" cy="548640"/>
        </a:xfrm>
        <a:prstGeom prst="rect">
          <a:avLst/>
        </a:prstGeom>
      </xdr:spPr>
    </xdr:pic>
    <xdr:clientData/>
  </xdr:twoCellAnchor>
  <xdr:oneCellAnchor>
    <xdr:from>
      <xdr:col>6</xdr:col>
      <xdr:colOff>438978</xdr:colOff>
      <xdr:row>0</xdr:row>
      <xdr:rowOff>132522</xdr:rowOff>
    </xdr:from>
    <xdr:ext cx="1786999" cy="548640"/>
    <xdr:pic>
      <xdr:nvPicPr>
        <xdr:cNvPr id="21" name="Picture 20">
          <a:extLst>
            <a:ext uri="{FF2B5EF4-FFF2-40B4-BE49-F238E27FC236}">
              <a16:creationId xmlns:a16="http://schemas.microsoft.com/office/drawing/2014/main" id="{00000000-0008-0000-0F00-00001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64935" y="9525000"/>
          <a:ext cx="1786999" cy="548640"/>
        </a:xfrm>
        <a:prstGeom prst="rect">
          <a:avLst/>
        </a:prstGeom>
      </xdr:spPr>
    </xdr:pic>
    <xdr:clientData/>
  </xdr:oneCellAnchor>
  <xdr:oneCellAnchor>
    <xdr:from>
      <xdr:col>0</xdr:col>
      <xdr:colOff>124238</xdr:colOff>
      <xdr:row>0</xdr:row>
      <xdr:rowOff>107674</xdr:rowOff>
    </xdr:from>
    <xdr:ext cx="1381125" cy="548640"/>
    <xdr:pic>
      <xdr:nvPicPr>
        <xdr:cNvPr id="22" name="Picture 21">
          <a:extLst>
            <a:ext uri="{FF2B5EF4-FFF2-40B4-BE49-F238E27FC236}">
              <a16:creationId xmlns:a16="http://schemas.microsoft.com/office/drawing/2014/main" id="{00000000-0008-0000-0F00-00001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238" y="9500152"/>
          <a:ext cx="1381125" cy="548640"/>
        </a:xfrm>
        <a:prstGeom prst="rect">
          <a:avLst/>
        </a:prstGeom>
      </xdr:spPr>
    </xdr:pic>
    <xdr:clientData/>
  </xdr:oneCellAnchor>
  <xdr:oneCellAnchor>
    <xdr:from>
      <xdr:col>9</xdr:col>
      <xdr:colOff>74544</xdr:colOff>
      <xdr:row>0</xdr:row>
      <xdr:rowOff>107675</xdr:rowOff>
    </xdr:from>
    <xdr:ext cx="1381125" cy="548640"/>
    <xdr:pic>
      <xdr:nvPicPr>
        <xdr:cNvPr id="23" name="Picture 22">
          <a:extLst>
            <a:ext uri="{FF2B5EF4-FFF2-40B4-BE49-F238E27FC236}">
              <a16:creationId xmlns:a16="http://schemas.microsoft.com/office/drawing/2014/main" id="{00000000-0008-0000-0F00-00001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36196" y="9500153"/>
          <a:ext cx="1381125" cy="548640"/>
        </a:xfrm>
        <a:prstGeom prst="rect">
          <a:avLst/>
        </a:prstGeom>
      </xdr:spPr>
    </xdr:pic>
    <xdr:clientData/>
  </xdr:oneCellAnchor>
  <xdr:oneCellAnchor>
    <xdr:from>
      <xdr:col>14</xdr:col>
      <xdr:colOff>144118</xdr:colOff>
      <xdr:row>0</xdr:row>
      <xdr:rowOff>94422</xdr:rowOff>
    </xdr:from>
    <xdr:ext cx="1786999" cy="548640"/>
    <xdr:pic>
      <xdr:nvPicPr>
        <xdr:cNvPr id="24" name="Picture 23">
          <a:extLst>
            <a:ext uri="{FF2B5EF4-FFF2-40B4-BE49-F238E27FC236}">
              <a16:creationId xmlns:a16="http://schemas.microsoft.com/office/drawing/2014/main" id="{00000000-0008-0000-0F00-00001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116379" y="9486900"/>
          <a:ext cx="1786999" cy="54864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42</xdr:row>
          <xdr:rowOff>0</xdr:rowOff>
        </xdr:from>
        <xdr:to>
          <xdr:col>7</xdr:col>
          <xdr:colOff>0</xdr:colOff>
          <xdr:row>43</xdr:row>
          <xdr:rowOff>28575</xdr:rowOff>
        </xdr:to>
        <xdr:sp macro="" textlink="">
          <xdr:nvSpPr>
            <xdr:cNvPr id="2550646" name="Check Box 1910" hidden="1">
              <a:extLst>
                <a:ext uri="{63B3BB69-23CF-44E3-9099-C40C66FF867C}">
                  <a14:compatExt spid="_x0000_s2550646"/>
                </a:ext>
                <a:ext uri="{FF2B5EF4-FFF2-40B4-BE49-F238E27FC236}">
                  <a16:creationId xmlns:a16="http://schemas.microsoft.com/office/drawing/2014/main" id="{00000000-0008-0000-1000-000076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Lot Dimensions/Property Lines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43</xdr:row>
          <xdr:rowOff>66675</xdr:rowOff>
        </xdr:from>
        <xdr:to>
          <xdr:col>7</xdr:col>
          <xdr:colOff>0</xdr:colOff>
          <xdr:row>44</xdr:row>
          <xdr:rowOff>85725</xdr:rowOff>
        </xdr:to>
        <xdr:sp macro="" textlink="">
          <xdr:nvSpPr>
            <xdr:cNvPr id="2550647" name="Check Box 1911" hidden="1">
              <a:extLst>
                <a:ext uri="{63B3BB69-23CF-44E3-9099-C40C66FF867C}">
                  <a14:compatExt spid="_x0000_s2550647"/>
                </a:ext>
                <a:ext uri="{FF2B5EF4-FFF2-40B4-BE49-F238E27FC236}">
                  <a16:creationId xmlns:a16="http://schemas.microsoft.com/office/drawing/2014/main" id="{00000000-0008-0000-1000-000077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Dwellings and Other Improvements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44</xdr:row>
          <xdr:rowOff>114300</xdr:rowOff>
        </xdr:from>
        <xdr:to>
          <xdr:col>7</xdr:col>
          <xdr:colOff>0</xdr:colOff>
          <xdr:row>45</xdr:row>
          <xdr:rowOff>142875</xdr:rowOff>
        </xdr:to>
        <xdr:sp macro="" textlink="">
          <xdr:nvSpPr>
            <xdr:cNvPr id="2550648" name="Check Box 1912" hidden="1">
              <a:extLst>
                <a:ext uri="{63B3BB69-23CF-44E3-9099-C40C66FF867C}">
                  <a14:compatExt spid="_x0000_s2550648"/>
                </a:ext>
                <a:ext uri="{FF2B5EF4-FFF2-40B4-BE49-F238E27FC236}">
                  <a16:creationId xmlns:a16="http://schemas.microsoft.com/office/drawing/2014/main" id="{00000000-0008-0000-1000-000078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Existing or Proposed System(s)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45</xdr:row>
          <xdr:rowOff>180975</xdr:rowOff>
        </xdr:from>
        <xdr:to>
          <xdr:col>7</xdr:col>
          <xdr:colOff>0</xdr:colOff>
          <xdr:row>47</xdr:row>
          <xdr:rowOff>9525</xdr:rowOff>
        </xdr:to>
        <xdr:sp macro="" textlink="">
          <xdr:nvSpPr>
            <xdr:cNvPr id="2550649" name="Check Box 1913" hidden="1">
              <a:extLst>
                <a:ext uri="{63B3BB69-23CF-44E3-9099-C40C66FF867C}">
                  <a14:compatExt spid="_x0000_s2550649"/>
                </a:ext>
                <a:ext uri="{FF2B5EF4-FFF2-40B4-BE49-F238E27FC236}">
                  <a16:creationId xmlns:a16="http://schemas.microsoft.com/office/drawing/2014/main" id="{00000000-0008-0000-1000-000079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Replacement Area</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47</xdr:row>
          <xdr:rowOff>38100</xdr:rowOff>
        </xdr:from>
        <xdr:to>
          <xdr:col>7</xdr:col>
          <xdr:colOff>0</xdr:colOff>
          <xdr:row>48</xdr:row>
          <xdr:rowOff>66675</xdr:rowOff>
        </xdr:to>
        <xdr:sp macro="" textlink="">
          <xdr:nvSpPr>
            <xdr:cNvPr id="2550650" name="Check Box 1914" hidden="1">
              <a:extLst>
                <a:ext uri="{63B3BB69-23CF-44E3-9099-C40C66FF867C}">
                  <a14:compatExt spid="_x0000_s2550650"/>
                </a:ext>
                <a:ext uri="{FF2B5EF4-FFF2-40B4-BE49-F238E27FC236}">
                  <a16:creationId xmlns:a16="http://schemas.microsoft.com/office/drawing/2014/main" id="{00000000-0008-0000-1000-00007A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Unsuitable Area(s)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48</xdr:row>
          <xdr:rowOff>104775</xdr:rowOff>
        </xdr:from>
        <xdr:to>
          <xdr:col>7</xdr:col>
          <xdr:colOff>0</xdr:colOff>
          <xdr:row>49</xdr:row>
          <xdr:rowOff>123825</xdr:rowOff>
        </xdr:to>
        <xdr:sp macro="" textlink="">
          <xdr:nvSpPr>
            <xdr:cNvPr id="2550651" name="Check Box 1915" hidden="1">
              <a:extLst>
                <a:ext uri="{63B3BB69-23CF-44E3-9099-C40C66FF867C}">
                  <a14:compatExt spid="_x0000_s2550651"/>
                </a:ext>
                <a:ext uri="{FF2B5EF4-FFF2-40B4-BE49-F238E27FC236}">
                  <a16:creationId xmlns:a16="http://schemas.microsoft.com/office/drawing/2014/main" id="{00000000-0008-0000-1000-00007B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Public Water Supply Wells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49</xdr:row>
          <xdr:rowOff>152400</xdr:rowOff>
        </xdr:from>
        <xdr:to>
          <xdr:col>7</xdr:col>
          <xdr:colOff>0</xdr:colOff>
          <xdr:row>50</xdr:row>
          <xdr:rowOff>180975</xdr:rowOff>
        </xdr:to>
        <xdr:sp macro="" textlink="">
          <xdr:nvSpPr>
            <xdr:cNvPr id="2550652" name="Check Box 1916" hidden="1">
              <a:extLst>
                <a:ext uri="{63B3BB69-23CF-44E3-9099-C40C66FF867C}">
                  <a14:compatExt spid="_x0000_s2550652"/>
                </a:ext>
                <a:ext uri="{FF2B5EF4-FFF2-40B4-BE49-F238E27FC236}">
                  <a16:creationId xmlns:a16="http://schemas.microsoft.com/office/drawing/2014/main" id="{00000000-0008-0000-1000-00007C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Pumping Access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51</xdr:row>
          <xdr:rowOff>28575</xdr:rowOff>
        </xdr:from>
        <xdr:to>
          <xdr:col>7</xdr:col>
          <xdr:colOff>0</xdr:colOff>
          <xdr:row>52</xdr:row>
          <xdr:rowOff>47625</xdr:rowOff>
        </xdr:to>
        <xdr:sp macro="" textlink="">
          <xdr:nvSpPr>
            <xdr:cNvPr id="2550653" name="Check Box 1917" hidden="1">
              <a:extLst>
                <a:ext uri="{63B3BB69-23CF-44E3-9099-C40C66FF867C}">
                  <a14:compatExt spid="_x0000_s2550653"/>
                </a:ext>
                <a:ext uri="{FF2B5EF4-FFF2-40B4-BE49-F238E27FC236}">
                  <a16:creationId xmlns:a16="http://schemas.microsoft.com/office/drawing/2014/main" id="{00000000-0008-0000-1000-00007D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Inner Wellhead Zone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42</xdr:row>
          <xdr:rowOff>47625</xdr:rowOff>
        </xdr:from>
        <xdr:to>
          <xdr:col>15</xdr:col>
          <xdr:colOff>180975</xdr:colOff>
          <xdr:row>43</xdr:row>
          <xdr:rowOff>76200</xdr:rowOff>
        </xdr:to>
        <xdr:sp macro="" textlink="">
          <xdr:nvSpPr>
            <xdr:cNvPr id="2550654" name="Check Box 1918" hidden="1">
              <a:extLst>
                <a:ext uri="{63B3BB69-23CF-44E3-9099-C40C66FF867C}">
                  <a14:compatExt spid="_x0000_s2550654"/>
                </a:ext>
                <a:ext uri="{FF2B5EF4-FFF2-40B4-BE49-F238E27FC236}">
                  <a16:creationId xmlns:a16="http://schemas.microsoft.com/office/drawing/2014/main" id="{00000000-0008-0000-1000-00007E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104775</xdr:rowOff>
        </xdr:from>
        <xdr:to>
          <xdr:col>16</xdr:col>
          <xdr:colOff>9525</xdr:colOff>
          <xdr:row>44</xdr:row>
          <xdr:rowOff>142875</xdr:rowOff>
        </xdr:to>
        <xdr:sp macro="" textlink="">
          <xdr:nvSpPr>
            <xdr:cNvPr id="2550655" name="Check Box 1919" hidden="1">
              <a:extLst>
                <a:ext uri="{63B3BB69-23CF-44E3-9099-C40C66FF867C}">
                  <a14:compatExt spid="_x0000_s2550655"/>
                </a:ext>
                <a:ext uri="{FF2B5EF4-FFF2-40B4-BE49-F238E27FC236}">
                  <a16:creationId xmlns:a16="http://schemas.microsoft.com/office/drawing/2014/main" id="{00000000-0008-0000-1000-00007F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Electric</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44</xdr:row>
          <xdr:rowOff>161925</xdr:rowOff>
        </xdr:from>
        <xdr:to>
          <xdr:col>15</xdr:col>
          <xdr:colOff>180975</xdr:colOff>
          <xdr:row>46</xdr:row>
          <xdr:rowOff>0</xdr:rowOff>
        </xdr:to>
        <xdr:sp macro="" textlink="">
          <xdr:nvSpPr>
            <xdr:cNvPr id="2550656" name="Check Box 1920" hidden="1">
              <a:extLst>
                <a:ext uri="{63B3BB69-23CF-44E3-9099-C40C66FF867C}">
                  <a14:compatExt spid="_x0000_s2550656"/>
                </a:ext>
                <a:ext uri="{FF2B5EF4-FFF2-40B4-BE49-F238E27FC236}">
                  <a16:creationId xmlns:a16="http://schemas.microsoft.com/office/drawing/2014/main" id="{00000000-0008-0000-1000-000080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Gas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47</xdr:row>
          <xdr:rowOff>47625</xdr:rowOff>
        </xdr:from>
        <xdr:to>
          <xdr:col>16</xdr:col>
          <xdr:colOff>161925</xdr:colOff>
          <xdr:row>48</xdr:row>
          <xdr:rowOff>76200</xdr:rowOff>
        </xdr:to>
        <xdr:sp macro="" textlink="">
          <xdr:nvSpPr>
            <xdr:cNvPr id="2550657" name="Check Box 1921" hidden="1">
              <a:extLst>
                <a:ext uri="{63B3BB69-23CF-44E3-9099-C40C66FF867C}">
                  <a14:compatExt spid="_x0000_s2550657"/>
                </a:ext>
                <a:ext uri="{FF2B5EF4-FFF2-40B4-BE49-F238E27FC236}">
                  <a16:creationId xmlns:a16="http://schemas.microsoft.com/office/drawing/2014/main" id="{00000000-0008-0000-1000-000081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Benchmark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48</xdr:row>
          <xdr:rowOff>104775</xdr:rowOff>
        </xdr:from>
        <xdr:to>
          <xdr:col>20</xdr:col>
          <xdr:colOff>0</xdr:colOff>
          <xdr:row>49</xdr:row>
          <xdr:rowOff>142875</xdr:rowOff>
        </xdr:to>
        <xdr:sp macro="" textlink="">
          <xdr:nvSpPr>
            <xdr:cNvPr id="2550658" name="Check Box 1922" hidden="1">
              <a:extLst>
                <a:ext uri="{63B3BB69-23CF-44E3-9099-C40C66FF867C}">
                  <a14:compatExt spid="_x0000_s2550658"/>
                </a:ext>
                <a:ext uri="{FF2B5EF4-FFF2-40B4-BE49-F238E27FC236}">
                  <a16:creationId xmlns:a16="http://schemas.microsoft.com/office/drawing/2014/main" id="{00000000-0008-0000-1000-000082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Borings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49</xdr:row>
          <xdr:rowOff>161925</xdr:rowOff>
        </xdr:from>
        <xdr:to>
          <xdr:col>20</xdr:col>
          <xdr:colOff>0</xdr:colOff>
          <xdr:row>51</xdr:row>
          <xdr:rowOff>0</xdr:rowOff>
        </xdr:to>
        <xdr:sp macro="" textlink="">
          <xdr:nvSpPr>
            <xdr:cNvPr id="2550659" name="Check Box 1923" hidden="1">
              <a:extLst>
                <a:ext uri="{63B3BB69-23CF-44E3-9099-C40C66FF867C}">
                  <a14:compatExt spid="_x0000_s2550659"/>
                </a:ext>
                <a:ext uri="{FF2B5EF4-FFF2-40B4-BE49-F238E27FC236}">
                  <a16:creationId xmlns:a16="http://schemas.microsoft.com/office/drawing/2014/main" id="{00000000-0008-0000-1000-000083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Perc Tests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51</xdr:row>
          <xdr:rowOff>28575</xdr:rowOff>
        </xdr:from>
        <xdr:to>
          <xdr:col>18</xdr:col>
          <xdr:colOff>104775</xdr:colOff>
          <xdr:row>52</xdr:row>
          <xdr:rowOff>66675</xdr:rowOff>
        </xdr:to>
        <xdr:sp macro="" textlink="">
          <xdr:nvSpPr>
            <xdr:cNvPr id="2550660" name="Check Box 1924" hidden="1">
              <a:extLst>
                <a:ext uri="{63B3BB69-23CF-44E3-9099-C40C66FF867C}">
                  <a14:compatExt spid="_x0000_s2550660"/>
                </a:ext>
                <a:ext uri="{FF2B5EF4-FFF2-40B4-BE49-F238E27FC236}">
                  <a16:creationId xmlns:a16="http://schemas.microsoft.com/office/drawing/2014/main" id="{00000000-0008-0000-1000-000084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Horizontal and Vertical Reference Points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42</xdr:row>
          <xdr:rowOff>28575</xdr:rowOff>
        </xdr:from>
        <xdr:to>
          <xdr:col>18</xdr:col>
          <xdr:colOff>66675</xdr:colOff>
          <xdr:row>43</xdr:row>
          <xdr:rowOff>66675</xdr:rowOff>
        </xdr:to>
        <xdr:sp macro="" textlink="">
          <xdr:nvSpPr>
            <xdr:cNvPr id="2550661" name="Check Box 1925" hidden="1">
              <a:extLst>
                <a:ext uri="{63B3BB69-23CF-44E3-9099-C40C66FF867C}">
                  <a14:compatExt spid="_x0000_s2550661"/>
                </a:ext>
                <a:ext uri="{FF2B5EF4-FFF2-40B4-BE49-F238E27FC236}">
                  <a16:creationId xmlns:a16="http://schemas.microsoft.com/office/drawing/2014/main" id="{00000000-0008-0000-1000-000085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Building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43</xdr:row>
          <xdr:rowOff>85725</xdr:rowOff>
        </xdr:from>
        <xdr:to>
          <xdr:col>27</xdr:col>
          <xdr:colOff>28575</xdr:colOff>
          <xdr:row>44</xdr:row>
          <xdr:rowOff>114300</xdr:rowOff>
        </xdr:to>
        <xdr:sp macro="" textlink="">
          <xdr:nvSpPr>
            <xdr:cNvPr id="2550662" name="Check Box 1926" hidden="1">
              <a:extLst>
                <a:ext uri="{63B3BB69-23CF-44E3-9099-C40C66FF867C}">
                  <a14:compatExt spid="_x0000_s2550662"/>
                </a:ext>
                <a:ext uri="{FF2B5EF4-FFF2-40B4-BE49-F238E27FC236}">
                  <a16:creationId xmlns:a16="http://schemas.microsoft.com/office/drawing/2014/main" id="{00000000-0008-0000-1000-000086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 water wells within 100 feet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44</xdr:row>
          <xdr:rowOff>142875</xdr:rowOff>
        </xdr:from>
        <xdr:to>
          <xdr:col>27</xdr:col>
          <xdr:colOff>28575</xdr:colOff>
          <xdr:row>45</xdr:row>
          <xdr:rowOff>180975</xdr:rowOff>
        </xdr:to>
        <xdr:sp macro="" textlink="">
          <xdr:nvSpPr>
            <xdr:cNvPr id="2550663" name="Check Box 1927" hidden="1">
              <a:extLst>
                <a:ext uri="{63B3BB69-23CF-44E3-9099-C40C66FF867C}">
                  <a14:compatExt spid="_x0000_s2550663"/>
                </a:ext>
                <a:ext uri="{FF2B5EF4-FFF2-40B4-BE49-F238E27FC236}">
                  <a16:creationId xmlns:a16="http://schemas.microsoft.com/office/drawing/2014/main" id="{00000000-0008-0000-1000-000087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Pressure Pipe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46</xdr:row>
          <xdr:rowOff>9525</xdr:rowOff>
        </xdr:from>
        <xdr:to>
          <xdr:col>27</xdr:col>
          <xdr:colOff>28575</xdr:colOff>
          <xdr:row>47</xdr:row>
          <xdr:rowOff>38100</xdr:rowOff>
        </xdr:to>
        <xdr:sp macro="" textlink="">
          <xdr:nvSpPr>
            <xdr:cNvPr id="2550664" name="Check Box 1928" hidden="1">
              <a:extLst>
                <a:ext uri="{63B3BB69-23CF-44E3-9099-C40C66FF867C}">
                  <a14:compatExt spid="_x0000_s2550664"/>
                </a:ext>
                <a:ext uri="{FF2B5EF4-FFF2-40B4-BE49-F238E27FC236}">
                  <a16:creationId xmlns:a16="http://schemas.microsoft.com/office/drawing/2014/main" id="{00000000-0008-0000-1000-000088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Water Suction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47</xdr:row>
          <xdr:rowOff>66675</xdr:rowOff>
        </xdr:from>
        <xdr:to>
          <xdr:col>27</xdr:col>
          <xdr:colOff>28575</xdr:colOff>
          <xdr:row>48</xdr:row>
          <xdr:rowOff>85725</xdr:rowOff>
        </xdr:to>
        <xdr:sp macro="" textlink="">
          <xdr:nvSpPr>
            <xdr:cNvPr id="2550665" name="Check Box 1929" hidden="1">
              <a:extLst>
                <a:ext uri="{63B3BB69-23CF-44E3-9099-C40C66FF867C}">
                  <a14:compatExt spid="_x0000_s2550665"/>
                </a:ext>
                <a:ext uri="{FF2B5EF4-FFF2-40B4-BE49-F238E27FC236}">
                  <a16:creationId xmlns:a16="http://schemas.microsoft.com/office/drawing/2014/main" id="{00000000-0008-0000-1000-000089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Streams, Lakes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48</xdr:row>
          <xdr:rowOff>123825</xdr:rowOff>
        </xdr:from>
        <xdr:to>
          <xdr:col>27</xdr:col>
          <xdr:colOff>28575</xdr:colOff>
          <xdr:row>49</xdr:row>
          <xdr:rowOff>152400</xdr:rowOff>
        </xdr:to>
        <xdr:sp macro="" textlink="">
          <xdr:nvSpPr>
            <xdr:cNvPr id="2550666" name="Check Box 1930" hidden="1">
              <a:extLst>
                <a:ext uri="{63B3BB69-23CF-44E3-9099-C40C66FF867C}">
                  <a14:compatExt spid="_x0000_s2550666"/>
                </a:ext>
                <a:ext uri="{FF2B5EF4-FFF2-40B4-BE49-F238E27FC236}">
                  <a16:creationId xmlns:a16="http://schemas.microsoft.com/office/drawing/2014/main" id="{00000000-0008-0000-1000-00008A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Floodway and Fringe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161925</xdr:colOff>
          <xdr:row>26</xdr:row>
          <xdr:rowOff>66675</xdr:rowOff>
        </xdr:from>
        <xdr:to>
          <xdr:col>12</xdr:col>
          <xdr:colOff>28575</xdr:colOff>
          <xdr:row>28</xdr:row>
          <xdr:rowOff>28575</xdr:rowOff>
        </xdr:to>
        <xdr:sp macro="" textlink="">
          <xdr:nvSpPr>
            <xdr:cNvPr id="2550667" name="Check Box 1931" hidden="1">
              <a:extLst>
                <a:ext uri="{63B3BB69-23CF-44E3-9099-C40C66FF867C}">
                  <a14:compatExt spid="_x0000_s2550667"/>
                </a:ext>
                <a:ext uri="{FF2B5EF4-FFF2-40B4-BE49-F238E27FC236}">
                  <a16:creationId xmlns:a16="http://schemas.microsoft.com/office/drawing/2014/main" id="{00000000-0008-0000-1000-00008B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Indicated north</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85725</xdr:colOff>
          <xdr:row>26</xdr:row>
          <xdr:rowOff>47625</xdr:rowOff>
        </xdr:from>
        <xdr:to>
          <xdr:col>16</xdr:col>
          <xdr:colOff>142875</xdr:colOff>
          <xdr:row>28</xdr:row>
          <xdr:rowOff>28575</xdr:rowOff>
        </xdr:to>
        <xdr:sp macro="" textlink="">
          <xdr:nvSpPr>
            <xdr:cNvPr id="2550668" name="Check Box 1932" hidden="1">
              <a:extLst>
                <a:ext uri="{63B3BB69-23CF-44E3-9099-C40C66FF867C}">
                  <a14:compatExt spid="_x0000_s2550668"/>
                </a:ext>
                <a:ext uri="{FF2B5EF4-FFF2-40B4-BE49-F238E27FC236}">
                  <a16:creationId xmlns:a16="http://schemas.microsoft.com/office/drawing/2014/main" id="{00000000-0008-0000-1000-00008CEB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Show slope/contours</a:t>
              </a:r>
            </a:p>
          </xdr:txBody>
        </xdr:sp>
        <xdr:clientData/>
      </xdr:twoCellAnchor>
    </mc:Choice>
    <mc:Fallback/>
  </mc:AlternateContent>
  <xdr:twoCellAnchor editAs="oneCell">
    <xdr:from>
      <xdr:col>0</xdr:col>
      <xdr:colOff>19050</xdr:colOff>
      <xdr:row>0</xdr:row>
      <xdr:rowOff>66675</xdr:rowOff>
    </xdr:from>
    <xdr:to>
      <xdr:col>5</xdr:col>
      <xdr:colOff>19050</xdr:colOff>
      <xdr:row>0</xdr:row>
      <xdr:rowOff>615315</xdr:rowOff>
    </xdr:to>
    <xdr:pic>
      <xdr:nvPicPr>
        <xdr:cNvPr id="28" name="Picture 27">
          <a:extLst>
            <a:ext uri="{FF2B5EF4-FFF2-40B4-BE49-F238E27FC236}">
              <a16:creationId xmlns:a16="http://schemas.microsoft.com/office/drawing/2014/main" id="{00000000-0008-0000-10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66675"/>
          <a:ext cx="1428750" cy="548640"/>
        </a:xfrm>
        <a:prstGeom prst="rect">
          <a:avLst/>
        </a:prstGeom>
      </xdr:spPr>
    </xdr:pic>
    <xdr:clientData/>
  </xdr:twoCellAnchor>
  <xdr:twoCellAnchor editAs="oneCell">
    <xdr:from>
      <xdr:col>17</xdr:col>
      <xdr:colOff>28575</xdr:colOff>
      <xdr:row>0</xdr:row>
      <xdr:rowOff>66675</xdr:rowOff>
    </xdr:from>
    <xdr:to>
      <xdr:col>23</xdr:col>
      <xdr:colOff>158224</xdr:colOff>
      <xdr:row>0</xdr:row>
      <xdr:rowOff>615315</xdr:rowOff>
    </xdr:to>
    <xdr:pic>
      <xdr:nvPicPr>
        <xdr:cNvPr id="29" name="Picture 28">
          <a:extLst>
            <a:ext uri="{FF2B5EF4-FFF2-40B4-BE49-F238E27FC236}">
              <a16:creationId xmlns:a16="http://schemas.microsoft.com/office/drawing/2014/main" id="{00000000-0008-0000-1000-00001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24400" y="66675"/>
          <a:ext cx="1786999" cy="5486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xdr:colOff>
          <xdr:row>50</xdr:row>
          <xdr:rowOff>171450</xdr:rowOff>
        </xdr:from>
        <xdr:to>
          <xdr:col>11</xdr:col>
          <xdr:colOff>200025</xdr:colOff>
          <xdr:row>52</xdr:row>
          <xdr:rowOff>19050</xdr:rowOff>
        </xdr:to>
        <xdr:sp macro="" textlink="">
          <xdr:nvSpPr>
            <xdr:cNvPr id="4140033" name="Check Box 1" hidden="1">
              <a:extLst>
                <a:ext uri="{63B3BB69-23CF-44E3-9099-C40C66FF867C}">
                  <a14:compatExt spid="_x0000_s4140033"/>
                </a:ext>
                <a:ext uri="{FF2B5EF4-FFF2-40B4-BE49-F238E27FC236}">
                  <a16:creationId xmlns:a16="http://schemas.microsoft.com/office/drawing/2014/main" id="{00000000-0008-0000-1100-000001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Benchmark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51</xdr:row>
          <xdr:rowOff>161925</xdr:rowOff>
        </xdr:from>
        <xdr:to>
          <xdr:col>11</xdr:col>
          <xdr:colOff>133350</xdr:colOff>
          <xdr:row>53</xdr:row>
          <xdr:rowOff>9525</xdr:rowOff>
        </xdr:to>
        <xdr:sp macro="" textlink="">
          <xdr:nvSpPr>
            <xdr:cNvPr id="4140034" name="Check Box 2" hidden="1">
              <a:extLst>
                <a:ext uri="{63B3BB69-23CF-44E3-9099-C40C66FF867C}">
                  <a14:compatExt spid="_x0000_s4140034"/>
                </a:ext>
                <a:ext uri="{FF2B5EF4-FFF2-40B4-BE49-F238E27FC236}">
                  <a16:creationId xmlns:a16="http://schemas.microsoft.com/office/drawing/2014/main" id="{00000000-0008-0000-1100-000002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Borings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52</xdr:row>
          <xdr:rowOff>200025</xdr:rowOff>
        </xdr:from>
        <xdr:to>
          <xdr:col>11</xdr:col>
          <xdr:colOff>104775</xdr:colOff>
          <xdr:row>53</xdr:row>
          <xdr:rowOff>180975</xdr:rowOff>
        </xdr:to>
        <xdr:sp macro="" textlink="">
          <xdr:nvSpPr>
            <xdr:cNvPr id="4140035" name="Check Box 3" hidden="1">
              <a:extLst>
                <a:ext uri="{63B3BB69-23CF-44E3-9099-C40C66FF867C}">
                  <a14:compatExt spid="_x0000_s4140035"/>
                </a:ext>
                <a:ext uri="{FF2B5EF4-FFF2-40B4-BE49-F238E27FC236}">
                  <a16:creationId xmlns:a16="http://schemas.microsoft.com/office/drawing/2014/main" id="{00000000-0008-0000-1100-000003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Perc Tests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53</xdr:row>
          <xdr:rowOff>190500</xdr:rowOff>
        </xdr:from>
        <xdr:to>
          <xdr:col>14</xdr:col>
          <xdr:colOff>9525</xdr:colOff>
          <xdr:row>54</xdr:row>
          <xdr:rowOff>180975</xdr:rowOff>
        </xdr:to>
        <xdr:sp macro="" textlink="">
          <xdr:nvSpPr>
            <xdr:cNvPr id="4140036" name="Check Box 4" hidden="1">
              <a:extLst>
                <a:ext uri="{63B3BB69-23CF-44E3-9099-C40C66FF867C}">
                  <a14:compatExt spid="_x0000_s4140036"/>
                </a:ext>
                <a:ext uri="{FF2B5EF4-FFF2-40B4-BE49-F238E27FC236}">
                  <a16:creationId xmlns:a16="http://schemas.microsoft.com/office/drawing/2014/main" id="{00000000-0008-0000-1100-000004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Horizontal and Vertical Reference Points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161925</xdr:colOff>
          <xdr:row>26</xdr:row>
          <xdr:rowOff>66675</xdr:rowOff>
        </xdr:from>
        <xdr:to>
          <xdr:col>12</xdr:col>
          <xdr:colOff>28575</xdr:colOff>
          <xdr:row>28</xdr:row>
          <xdr:rowOff>28575</xdr:rowOff>
        </xdr:to>
        <xdr:sp macro="" textlink="">
          <xdr:nvSpPr>
            <xdr:cNvPr id="4140037" name="Check Box 5" hidden="1">
              <a:extLst>
                <a:ext uri="{63B3BB69-23CF-44E3-9099-C40C66FF867C}">
                  <a14:compatExt spid="_x0000_s4140037"/>
                </a:ext>
                <a:ext uri="{FF2B5EF4-FFF2-40B4-BE49-F238E27FC236}">
                  <a16:creationId xmlns:a16="http://schemas.microsoft.com/office/drawing/2014/main" id="{00000000-0008-0000-1100-000005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Indicated north</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85725</xdr:colOff>
          <xdr:row>26</xdr:row>
          <xdr:rowOff>47625</xdr:rowOff>
        </xdr:from>
        <xdr:to>
          <xdr:col>16</xdr:col>
          <xdr:colOff>142875</xdr:colOff>
          <xdr:row>28</xdr:row>
          <xdr:rowOff>28575</xdr:rowOff>
        </xdr:to>
        <xdr:sp macro="" textlink="">
          <xdr:nvSpPr>
            <xdr:cNvPr id="4140038" name="Check Box 6" hidden="1">
              <a:extLst>
                <a:ext uri="{63B3BB69-23CF-44E3-9099-C40C66FF867C}">
                  <a14:compatExt spid="_x0000_s4140038"/>
                </a:ext>
                <a:ext uri="{FF2B5EF4-FFF2-40B4-BE49-F238E27FC236}">
                  <a16:creationId xmlns:a16="http://schemas.microsoft.com/office/drawing/2014/main" id="{00000000-0008-0000-1100-000006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Show slope/contours</a:t>
              </a:r>
            </a:p>
          </xdr:txBody>
        </xdr:sp>
        <xdr:clientData/>
      </xdr:twoCellAnchor>
    </mc:Choice>
    <mc:Fallback/>
  </mc:AlternateContent>
  <xdr:twoCellAnchor editAs="oneCell">
    <xdr:from>
      <xdr:col>0</xdr:col>
      <xdr:colOff>9525</xdr:colOff>
      <xdr:row>0</xdr:row>
      <xdr:rowOff>66675</xdr:rowOff>
    </xdr:from>
    <xdr:to>
      <xdr:col>5</xdr:col>
      <xdr:colOff>9525</xdr:colOff>
      <xdr:row>0</xdr:row>
      <xdr:rowOff>615315</xdr:rowOff>
    </xdr:to>
    <xdr:pic>
      <xdr:nvPicPr>
        <xdr:cNvPr id="8" name="Picture 7">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66675"/>
          <a:ext cx="1381125" cy="548640"/>
        </a:xfrm>
        <a:prstGeom prst="rect">
          <a:avLst/>
        </a:prstGeom>
      </xdr:spPr>
    </xdr:pic>
    <xdr:clientData/>
  </xdr:twoCellAnchor>
  <xdr:twoCellAnchor editAs="oneCell">
    <xdr:from>
      <xdr:col>17</xdr:col>
      <xdr:colOff>28575</xdr:colOff>
      <xdr:row>0</xdr:row>
      <xdr:rowOff>66675</xdr:rowOff>
    </xdr:from>
    <xdr:to>
      <xdr:col>22</xdr:col>
      <xdr:colOff>177274</xdr:colOff>
      <xdr:row>0</xdr:row>
      <xdr:rowOff>615315</xdr:rowOff>
    </xdr:to>
    <xdr:pic>
      <xdr:nvPicPr>
        <xdr:cNvPr id="9" name="Picture 8">
          <a:extLst>
            <a:ext uri="{FF2B5EF4-FFF2-40B4-BE49-F238E27FC236}">
              <a16:creationId xmlns:a16="http://schemas.microsoft.com/office/drawing/2014/main" id="{00000000-0008-0000-11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1125" y="66675"/>
          <a:ext cx="1786999" cy="548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14</xdr:col>
          <xdr:colOff>28575</xdr:colOff>
          <xdr:row>52</xdr:row>
          <xdr:rowOff>47625</xdr:rowOff>
        </xdr:from>
        <xdr:to>
          <xdr:col>16</xdr:col>
          <xdr:colOff>0</xdr:colOff>
          <xdr:row>52</xdr:row>
          <xdr:rowOff>228600</xdr:rowOff>
        </xdr:to>
        <xdr:sp macro="" textlink="">
          <xdr:nvSpPr>
            <xdr:cNvPr id="4140039" name="Check Box 7" hidden="1">
              <a:extLst>
                <a:ext uri="{63B3BB69-23CF-44E3-9099-C40C66FF867C}">
                  <a14:compatExt spid="_x0000_s4140039"/>
                </a:ext>
                <a:ext uri="{FF2B5EF4-FFF2-40B4-BE49-F238E27FC236}">
                  <a16:creationId xmlns:a16="http://schemas.microsoft.com/office/drawing/2014/main" id="{00000000-0008-0000-1100-0000072C3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42</xdr:row>
          <xdr:rowOff>28575</xdr:rowOff>
        </xdr:from>
        <xdr:to>
          <xdr:col>18</xdr:col>
          <xdr:colOff>66675</xdr:colOff>
          <xdr:row>43</xdr:row>
          <xdr:rowOff>66675</xdr:rowOff>
        </xdr:to>
        <xdr:sp macro="" textlink="">
          <xdr:nvSpPr>
            <xdr:cNvPr id="4140040" name="Check Box 8" hidden="1">
              <a:extLst>
                <a:ext uri="{63B3BB69-23CF-44E3-9099-C40C66FF867C}">
                  <a14:compatExt spid="_x0000_s4140040"/>
                </a:ext>
                <a:ext uri="{FF2B5EF4-FFF2-40B4-BE49-F238E27FC236}">
                  <a16:creationId xmlns:a16="http://schemas.microsoft.com/office/drawing/2014/main" id="{00000000-0008-0000-1100-000008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Building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43</xdr:row>
          <xdr:rowOff>133350</xdr:rowOff>
        </xdr:from>
        <xdr:to>
          <xdr:col>21</xdr:col>
          <xdr:colOff>28575</xdr:colOff>
          <xdr:row>44</xdr:row>
          <xdr:rowOff>133350</xdr:rowOff>
        </xdr:to>
        <xdr:sp macro="" textlink="">
          <xdr:nvSpPr>
            <xdr:cNvPr id="4140041" name="Check Box 9" hidden="1">
              <a:extLst>
                <a:ext uri="{63B3BB69-23CF-44E3-9099-C40C66FF867C}">
                  <a14:compatExt spid="_x0000_s4140041"/>
                </a:ext>
                <a:ext uri="{FF2B5EF4-FFF2-40B4-BE49-F238E27FC236}">
                  <a16:creationId xmlns:a16="http://schemas.microsoft.com/office/drawing/2014/main" id="{00000000-0008-0000-1100-000009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 water wells within 100 feet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45</xdr:row>
          <xdr:rowOff>0</xdr:rowOff>
        </xdr:from>
        <xdr:to>
          <xdr:col>20</xdr:col>
          <xdr:colOff>114300</xdr:colOff>
          <xdr:row>46</xdr:row>
          <xdr:rowOff>38100</xdr:rowOff>
        </xdr:to>
        <xdr:sp macro="" textlink="">
          <xdr:nvSpPr>
            <xdr:cNvPr id="4140042" name="Check Box 10" hidden="1">
              <a:extLst>
                <a:ext uri="{63B3BB69-23CF-44E3-9099-C40C66FF867C}">
                  <a14:compatExt spid="_x0000_s4140042"/>
                </a:ext>
                <a:ext uri="{FF2B5EF4-FFF2-40B4-BE49-F238E27FC236}">
                  <a16:creationId xmlns:a16="http://schemas.microsoft.com/office/drawing/2014/main" id="{00000000-0008-0000-1100-00000A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Pressure Pipe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46</xdr:row>
          <xdr:rowOff>9525</xdr:rowOff>
        </xdr:from>
        <xdr:to>
          <xdr:col>20</xdr:col>
          <xdr:colOff>104775</xdr:colOff>
          <xdr:row>47</xdr:row>
          <xdr:rowOff>85725</xdr:rowOff>
        </xdr:to>
        <xdr:sp macro="" textlink="">
          <xdr:nvSpPr>
            <xdr:cNvPr id="4140043" name="Check Box 11" hidden="1">
              <a:extLst>
                <a:ext uri="{63B3BB69-23CF-44E3-9099-C40C66FF867C}">
                  <a14:compatExt spid="_x0000_s4140043"/>
                </a:ext>
                <a:ext uri="{FF2B5EF4-FFF2-40B4-BE49-F238E27FC236}">
                  <a16:creationId xmlns:a16="http://schemas.microsoft.com/office/drawing/2014/main" id="{00000000-0008-0000-1100-00000B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Water Suction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47</xdr:row>
          <xdr:rowOff>66675</xdr:rowOff>
        </xdr:from>
        <xdr:to>
          <xdr:col>19</xdr:col>
          <xdr:colOff>152400</xdr:colOff>
          <xdr:row>48</xdr:row>
          <xdr:rowOff>123825</xdr:rowOff>
        </xdr:to>
        <xdr:sp macro="" textlink="">
          <xdr:nvSpPr>
            <xdr:cNvPr id="4140044" name="Check Box 12" hidden="1">
              <a:extLst>
                <a:ext uri="{63B3BB69-23CF-44E3-9099-C40C66FF867C}">
                  <a14:compatExt spid="_x0000_s4140044"/>
                </a:ext>
                <a:ext uri="{FF2B5EF4-FFF2-40B4-BE49-F238E27FC236}">
                  <a16:creationId xmlns:a16="http://schemas.microsoft.com/office/drawing/2014/main" id="{00000000-0008-0000-1100-00000C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Streams, Lakes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48</xdr:row>
          <xdr:rowOff>123825</xdr:rowOff>
        </xdr:from>
        <xdr:to>
          <xdr:col>19</xdr:col>
          <xdr:colOff>190500</xdr:colOff>
          <xdr:row>50</xdr:row>
          <xdr:rowOff>0</xdr:rowOff>
        </xdr:to>
        <xdr:sp macro="" textlink="">
          <xdr:nvSpPr>
            <xdr:cNvPr id="4140045" name="Check Box 13" hidden="1">
              <a:extLst>
                <a:ext uri="{63B3BB69-23CF-44E3-9099-C40C66FF867C}">
                  <a14:compatExt spid="_x0000_s4140045"/>
                </a:ext>
                <a:ext uri="{FF2B5EF4-FFF2-40B4-BE49-F238E27FC236}">
                  <a16:creationId xmlns:a16="http://schemas.microsoft.com/office/drawing/2014/main" id="{00000000-0008-0000-1100-00000D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Floodway and Fringe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50</xdr:row>
          <xdr:rowOff>9525</xdr:rowOff>
        </xdr:from>
        <xdr:to>
          <xdr:col>16</xdr:col>
          <xdr:colOff>0</xdr:colOff>
          <xdr:row>51</xdr:row>
          <xdr:rowOff>0</xdr:rowOff>
        </xdr:to>
        <xdr:sp macro="" textlink="">
          <xdr:nvSpPr>
            <xdr:cNvPr id="4140046" name="Check Box 14" hidden="1">
              <a:extLst>
                <a:ext uri="{63B3BB69-23CF-44E3-9099-C40C66FF867C}">
                  <a14:compatExt spid="_x0000_s4140046"/>
                </a:ext>
                <a:ext uri="{FF2B5EF4-FFF2-40B4-BE49-F238E27FC236}">
                  <a16:creationId xmlns:a16="http://schemas.microsoft.com/office/drawing/2014/main" id="{00000000-0008-0000-1100-00000E2C3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51</xdr:row>
          <xdr:rowOff>38100</xdr:rowOff>
        </xdr:from>
        <xdr:to>
          <xdr:col>16</xdr:col>
          <xdr:colOff>0</xdr:colOff>
          <xdr:row>52</xdr:row>
          <xdr:rowOff>0</xdr:rowOff>
        </xdr:to>
        <xdr:sp macro="" textlink="">
          <xdr:nvSpPr>
            <xdr:cNvPr id="4140047" name="Check Box 15" hidden="1">
              <a:extLst>
                <a:ext uri="{63B3BB69-23CF-44E3-9099-C40C66FF867C}">
                  <a14:compatExt spid="_x0000_s4140047"/>
                </a:ext>
                <a:ext uri="{FF2B5EF4-FFF2-40B4-BE49-F238E27FC236}">
                  <a16:creationId xmlns:a16="http://schemas.microsoft.com/office/drawing/2014/main" id="{00000000-0008-0000-1100-00000F2C3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42</xdr:row>
          <xdr:rowOff>47625</xdr:rowOff>
        </xdr:from>
        <xdr:to>
          <xdr:col>10</xdr:col>
          <xdr:colOff>28575</xdr:colOff>
          <xdr:row>43</xdr:row>
          <xdr:rowOff>123825</xdr:rowOff>
        </xdr:to>
        <xdr:sp macro="" textlink="">
          <xdr:nvSpPr>
            <xdr:cNvPr id="4140048" name="Check Box 16" hidden="1">
              <a:extLst>
                <a:ext uri="{63B3BB69-23CF-44E3-9099-C40C66FF867C}">
                  <a14:compatExt spid="_x0000_s4140048"/>
                </a:ext>
                <a:ext uri="{FF2B5EF4-FFF2-40B4-BE49-F238E27FC236}">
                  <a16:creationId xmlns:a16="http://schemas.microsoft.com/office/drawing/2014/main" id="{00000000-0008-0000-1100-000010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104775</xdr:rowOff>
        </xdr:from>
        <xdr:to>
          <xdr:col>11</xdr:col>
          <xdr:colOff>180975</xdr:colOff>
          <xdr:row>44</xdr:row>
          <xdr:rowOff>133350</xdr:rowOff>
        </xdr:to>
        <xdr:sp macro="" textlink="">
          <xdr:nvSpPr>
            <xdr:cNvPr id="4140049" name="Check Box 17" hidden="1">
              <a:extLst>
                <a:ext uri="{63B3BB69-23CF-44E3-9099-C40C66FF867C}">
                  <a14:compatExt spid="_x0000_s4140049"/>
                </a:ext>
                <a:ext uri="{FF2B5EF4-FFF2-40B4-BE49-F238E27FC236}">
                  <a16:creationId xmlns:a16="http://schemas.microsoft.com/office/drawing/2014/main" id="{00000000-0008-0000-1100-000011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Electric</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44</xdr:row>
          <xdr:rowOff>161925</xdr:rowOff>
        </xdr:from>
        <xdr:to>
          <xdr:col>9</xdr:col>
          <xdr:colOff>266700</xdr:colOff>
          <xdr:row>46</xdr:row>
          <xdr:rowOff>19050</xdr:rowOff>
        </xdr:to>
        <xdr:sp macro="" textlink="">
          <xdr:nvSpPr>
            <xdr:cNvPr id="4140050" name="Check Box 18" hidden="1">
              <a:extLst>
                <a:ext uri="{63B3BB69-23CF-44E3-9099-C40C66FF867C}">
                  <a14:compatExt spid="_x0000_s4140050"/>
                </a:ext>
                <a:ext uri="{FF2B5EF4-FFF2-40B4-BE49-F238E27FC236}">
                  <a16:creationId xmlns:a16="http://schemas.microsoft.com/office/drawing/2014/main" id="{00000000-0008-0000-1100-000012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Gas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46</xdr:row>
          <xdr:rowOff>28575</xdr:rowOff>
        </xdr:from>
        <xdr:to>
          <xdr:col>8</xdr:col>
          <xdr:colOff>247650</xdr:colOff>
          <xdr:row>47</xdr:row>
          <xdr:rowOff>19050</xdr:rowOff>
        </xdr:to>
        <xdr:sp macro="" textlink="">
          <xdr:nvSpPr>
            <xdr:cNvPr id="4140051" name="Check Box 19" hidden="1">
              <a:extLst>
                <a:ext uri="{63B3BB69-23CF-44E3-9099-C40C66FF867C}">
                  <a14:compatExt spid="_x0000_s4140051"/>
                </a:ext>
                <a:ext uri="{FF2B5EF4-FFF2-40B4-BE49-F238E27FC236}">
                  <a16:creationId xmlns:a16="http://schemas.microsoft.com/office/drawing/2014/main" id="{00000000-0008-0000-1100-0000132C3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47</xdr:row>
          <xdr:rowOff>57150</xdr:rowOff>
        </xdr:from>
        <xdr:to>
          <xdr:col>8</xdr:col>
          <xdr:colOff>247650</xdr:colOff>
          <xdr:row>48</xdr:row>
          <xdr:rowOff>47625</xdr:rowOff>
        </xdr:to>
        <xdr:sp macro="" textlink="">
          <xdr:nvSpPr>
            <xdr:cNvPr id="4140052" name="Check Box 20" hidden="1">
              <a:extLst>
                <a:ext uri="{63B3BB69-23CF-44E3-9099-C40C66FF867C}">
                  <a14:compatExt spid="_x0000_s4140052"/>
                </a:ext>
                <a:ext uri="{FF2B5EF4-FFF2-40B4-BE49-F238E27FC236}">
                  <a16:creationId xmlns:a16="http://schemas.microsoft.com/office/drawing/2014/main" id="{00000000-0008-0000-1100-0000142C3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42</xdr:row>
          <xdr:rowOff>0</xdr:rowOff>
        </xdr:from>
        <xdr:to>
          <xdr:col>7</xdr:col>
          <xdr:colOff>0</xdr:colOff>
          <xdr:row>43</xdr:row>
          <xdr:rowOff>28575</xdr:rowOff>
        </xdr:to>
        <xdr:sp macro="" textlink="">
          <xdr:nvSpPr>
            <xdr:cNvPr id="4140053" name="Check Box 21" hidden="1">
              <a:extLst>
                <a:ext uri="{63B3BB69-23CF-44E3-9099-C40C66FF867C}">
                  <a14:compatExt spid="_x0000_s4140053"/>
                </a:ext>
                <a:ext uri="{FF2B5EF4-FFF2-40B4-BE49-F238E27FC236}">
                  <a16:creationId xmlns:a16="http://schemas.microsoft.com/office/drawing/2014/main" id="{00000000-0008-0000-1100-000015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Lot Dimensions/Property Lines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43</xdr:row>
          <xdr:rowOff>66675</xdr:rowOff>
        </xdr:from>
        <xdr:to>
          <xdr:col>7</xdr:col>
          <xdr:colOff>0</xdr:colOff>
          <xdr:row>44</xdr:row>
          <xdr:rowOff>85725</xdr:rowOff>
        </xdr:to>
        <xdr:sp macro="" textlink="">
          <xdr:nvSpPr>
            <xdr:cNvPr id="4140054" name="Check Box 22" hidden="1">
              <a:extLst>
                <a:ext uri="{63B3BB69-23CF-44E3-9099-C40C66FF867C}">
                  <a14:compatExt spid="_x0000_s4140054"/>
                </a:ext>
                <a:ext uri="{FF2B5EF4-FFF2-40B4-BE49-F238E27FC236}">
                  <a16:creationId xmlns:a16="http://schemas.microsoft.com/office/drawing/2014/main" id="{00000000-0008-0000-1100-000016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Dwellings and Other Improvements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44</xdr:row>
          <xdr:rowOff>114300</xdr:rowOff>
        </xdr:from>
        <xdr:to>
          <xdr:col>7</xdr:col>
          <xdr:colOff>0</xdr:colOff>
          <xdr:row>45</xdr:row>
          <xdr:rowOff>142875</xdr:rowOff>
        </xdr:to>
        <xdr:sp macro="" textlink="">
          <xdr:nvSpPr>
            <xdr:cNvPr id="4140055" name="Check Box 23" hidden="1">
              <a:extLst>
                <a:ext uri="{63B3BB69-23CF-44E3-9099-C40C66FF867C}">
                  <a14:compatExt spid="_x0000_s4140055"/>
                </a:ext>
                <a:ext uri="{FF2B5EF4-FFF2-40B4-BE49-F238E27FC236}">
                  <a16:creationId xmlns:a16="http://schemas.microsoft.com/office/drawing/2014/main" id="{00000000-0008-0000-1100-000017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Existing or Proposed System(s)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45</xdr:row>
          <xdr:rowOff>180975</xdr:rowOff>
        </xdr:from>
        <xdr:to>
          <xdr:col>7</xdr:col>
          <xdr:colOff>0</xdr:colOff>
          <xdr:row>47</xdr:row>
          <xdr:rowOff>9525</xdr:rowOff>
        </xdr:to>
        <xdr:sp macro="" textlink="">
          <xdr:nvSpPr>
            <xdr:cNvPr id="4140056" name="Check Box 24" hidden="1">
              <a:extLst>
                <a:ext uri="{63B3BB69-23CF-44E3-9099-C40C66FF867C}">
                  <a14:compatExt spid="_x0000_s4140056"/>
                </a:ext>
                <a:ext uri="{FF2B5EF4-FFF2-40B4-BE49-F238E27FC236}">
                  <a16:creationId xmlns:a16="http://schemas.microsoft.com/office/drawing/2014/main" id="{00000000-0008-0000-1100-000018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Replacement Area</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47</xdr:row>
          <xdr:rowOff>38100</xdr:rowOff>
        </xdr:from>
        <xdr:to>
          <xdr:col>7</xdr:col>
          <xdr:colOff>0</xdr:colOff>
          <xdr:row>48</xdr:row>
          <xdr:rowOff>66675</xdr:rowOff>
        </xdr:to>
        <xdr:sp macro="" textlink="">
          <xdr:nvSpPr>
            <xdr:cNvPr id="4140057" name="Check Box 25" hidden="1">
              <a:extLst>
                <a:ext uri="{63B3BB69-23CF-44E3-9099-C40C66FF867C}">
                  <a14:compatExt spid="_x0000_s4140057"/>
                </a:ext>
                <a:ext uri="{FF2B5EF4-FFF2-40B4-BE49-F238E27FC236}">
                  <a16:creationId xmlns:a16="http://schemas.microsoft.com/office/drawing/2014/main" id="{00000000-0008-0000-1100-000019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Unsuitable Area(s)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48</xdr:row>
          <xdr:rowOff>104775</xdr:rowOff>
        </xdr:from>
        <xdr:to>
          <xdr:col>7</xdr:col>
          <xdr:colOff>0</xdr:colOff>
          <xdr:row>49</xdr:row>
          <xdr:rowOff>123825</xdr:rowOff>
        </xdr:to>
        <xdr:sp macro="" textlink="">
          <xdr:nvSpPr>
            <xdr:cNvPr id="4140058" name="Check Box 26" hidden="1">
              <a:extLst>
                <a:ext uri="{63B3BB69-23CF-44E3-9099-C40C66FF867C}">
                  <a14:compatExt spid="_x0000_s4140058"/>
                </a:ext>
                <a:ext uri="{FF2B5EF4-FFF2-40B4-BE49-F238E27FC236}">
                  <a16:creationId xmlns:a16="http://schemas.microsoft.com/office/drawing/2014/main" id="{00000000-0008-0000-1100-00001A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Public Water Supply Wells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49</xdr:row>
          <xdr:rowOff>152400</xdr:rowOff>
        </xdr:from>
        <xdr:to>
          <xdr:col>7</xdr:col>
          <xdr:colOff>0</xdr:colOff>
          <xdr:row>50</xdr:row>
          <xdr:rowOff>180975</xdr:rowOff>
        </xdr:to>
        <xdr:sp macro="" textlink="">
          <xdr:nvSpPr>
            <xdr:cNvPr id="4140059" name="Check Box 27" hidden="1">
              <a:extLst>
                <a:ext uri="{63B3BB69-23CF-44E3-9099-C40C66FF867C}">
                  <a14:compatExt spid="_x0000_s4140059"/>
                </a:ext>
                <a:ext uri="{FF2B5EF4-FFF2-40B4-BE49-F238E27FC236}">
                  <a16:creationId xmlns:a16="http://schemas.microsoft.com/office/drawing/2014/main" id="{00000000-0008-0000-1100-00001B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Pumping Access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50</xdr:row>
          <xdr:rowOff>152400</xdr:rowOff>
        </xdr:from>
        <xdr:to>
          <xdr:col>7</xdr:col>
          <xdr:colOff>0</xdr:colOff>
          <xdr:row>52</xdr:row>
          <xdr:rowOff>9525</xdr:rowOff>
        </xdr:to>
        <xdr:sp macro="" textlink="">
          <xdr:nvSpPr>
            <xdr:cNvPr id="4140060" name="Check Box 28" hidden="1">
              <a:extLst>
                <a:ext uri="{63B3BB69-23CF-44E3-9099-C40C66FF867C}">
                  <a14:compatExt spid="_x0000_s4140060"/>
                </a:ext>
                <a:ext uri="{FF2B5EF4-FFF2-40B4-BE49-F238E27FC236}">
                  <a16:creationId xmlns:a16="http://schemas.microsoft.com/office/drawing/2014/main" id="{00000000-0008-0000-1100-00001C2C3F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Inner Wellhead Zone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28575</xdr:rowOff>
        </xdr:from>
        <xdr:to>
          <xdr:col>1</xdr:col>
          <xdr:colOff>247650</xdr:colOff>
          <xdr:row>52</xdr:row>
          <xdr:rowOff>209550</xdr:rowOff>
        </xdr:to>
        <xdr:sp macro="" textlink="">
          <xdr:nvSpPr>
            <xdr:cNvPr id="4140061" name="Check Box 29" hidden="1">
              <a:extLst>
                <a:ext uri="{63B3BB69-23CF-44E3-9099-C40C66FF867C}">
                  <a14:compatExt spid="_x0000_s4140061"/>
                </a:ext>
                <a:ext uri="{FF2B5EF4-FFF2-40B4-BE49-F238E27FC236}">
                  <a16:creationId xmlns:a16="http://schemas.microsoft.com/office/drawing/2014/main" id="{00000000-0008-0000-1100-00001D2C3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28575</xdr:rowOff>
        </xdr:from>
        <xdr:to>
          <xdr:col>1</xdr:col>
          <xdr:colOff>247650</xdr:colOff>
          <xdr:row>54</xdr:row>
          <xdr:rowOff>19050</xdr:rowOff>
        </xdr:to>
        <xdr:sp macro="" textlink="">
          <xdr:nvSpPr>
            <xdr:cNvPr id="4140062" name="Check Box 30" hidden="1">
              <a:extLst>
                <a:ext uri="{63B3BB69-23CF-44E3-9099-C40C66FF867C}">
                  <a14:compatExt spid="_x0000_s4140062"/>
                </a:ext>
                <a:ext uri="{FF2B5EF4-FFF2-40B4-BE49-F238E27FC236}">
                  <a16:creationId xmlns:a16="http://schemas.microsoft.com/office/drawing/2014/main" id="{00000000-0008-0000-1100-00001E2C3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xdr:oneCellAnchor>
    <xdr:from>
      <xdr:col>1</xdr:col>
      <xdr:colOff>5443</xdr:colOff>
      <xdr:row>59</xdr:row>
      <xdr:rowOff>66675</xdr:rowOff>
    </xdr:from>
    <xdr:ext cx="1490870" cy="558165"/>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1668" y="66675"/>
          <a:ext cx="1490870" cy="558165"/>
        </a:xfrm>
        <a:prstGeom prst="rect">
          <a:avLst/>
        </a:prstGeom>
      </xdr:spPr>
    </xdr:pic>
    <xdr:clientData/>
  </xdr:oneCellAnchor>
  <xdr:oneCellAnchor>
    <xdr:from>
      <xdr:col>17</xdr:col>
      <xdr:colOff>400050</xdr:colOff>
      <xdr:row>59</xdr:row>
      <xdr:rowOff>85725</xdr:rowOff>
    </xdr:from>
    <xdr:ext cx="1910824" cy="558165"/>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2600" y="17373600"/>
          <a:ext cx="1910824" cy="558165"/>
        </a:xfrm>
        <a:prstGeom prst="rect">
          <a:avLst/>
        </a:prstGeom>
      </xdr:spPr>
    </xdr:pic>
    <xdr:clientData/>
  </xdr:oneCellAnchor>
  <xdr:oneCellAnchor>
    <xdr:from>
      <xdr:col>1</xdr:col>
      <xdr:colOff>5443</xdr:colOff>
      <xdr:row>59</xdr:row>
      <xdr:rowOff>66675</xdr:rowOff>
    </xdr:from>
    <xdr:ext cx="1490870" cy="558165"/>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1668" y="66675"/>
          <a:ext cx="1490870" cy="558165"/>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22</xdr:col>
      <xdr:colOff>127000</xdr:colOff>
      <xdr:row>63</xdr:row>
      <xdr:rowOff>60325</xdr:rowOff>
    </xdr:from>
    <xdr:to>
      <xdr:col>38</xdr:col>
      <xdr:colOff>219873</xdr:colOff>
      <xdr:row>95</xdr:row>
      <xdr:rowOff>127725</xdr:rowOff>
    </xdr:to>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stretch>
          <a:fillRect/>
        </a:stretch>
      </xdr:blipFill>
      <xdr:spPr>
        <a:xfrm>
          <a:off x="6851650" y="8785225"/>
          <a:ext cx="5712623" cy="5191850"/>
        </a:xfrm>
        <a:prstGeom prst="rect">
          <a:avLst/>
        </a:prstGeom>
      </xdr:spPr>
    </xdr:pic>
    <xdr:clientData/>
  </xdr:twoCellAnchor>
  <xdr:twoCellAnchor editAs="oneCell">
    <xdr:from>
      <xdr:col>22</xdr:col>
      <xdr:colOff>171450</xdr:colOff>
      <xdr:row>105</xdr:row>
      <xdr:rowOff>19050</xdr:rowOff>
    </xdr:from>
    <xdr:to>
      <xdr:col>38</xdr:col>
      <xdr:colOff>171450</xdr:colOff>
      <xdr:row>129</xdr:row>
      <xdr:rowOff>75881</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a:stretch>
          <a:fillRect/>
        </a:stretch>
      </xdr:blipFill>
      <xdr:spPr>
        <a:xfrm>
          <a:off x="6896100" y="15173325"/>
          <a:ext cx="5619750" cy="3247706"/>
        </a:xfrm>
        <a:prstGeom prst="rect">
          <a:avLst/>
        </a:prstGeom>
      </xdr:spPr>
    </xdr:pic>
    <xdr:clientData/>
  </xdr:twoCellAnchor>
  <xdr:twoCellAnchor editAs="oneCell">
    <xdr:from>
      <xdr:col>22</xdr:col>
      <xdr:colOff>133349</xdr:colOff>
      <xdr:row>31</xdr:row>
      <xdr:rowOff>47625</xdr:rowOff>
    </xdr:from>
    <xdr:to>
      <xdr:col>38</xdr:col>
      <xdr:colOff>123824</xdr:colOff>
      <xdr:row>44</xdr:row>
      <xdr:rowOff>210210</xdr:rowOff>
    </xdr:to>
    <xdr:pic>
      <xdr:nvPicPr>
        <xdr:cNvPr id="6" name="Picture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3"/>
        <a:stretch>
          <a:fillRect/>
        </a:stretch>
      </xdr:blipFill>
      <xdr:spPr>
        <a:xfrm>
          <a:off x="6857999" y="4467225"/>
          <a:ext cx="5610225" cy="2048535"/>
        </a:xfrm>
        <a:prstGeom prst="rect">
          <a:avLst/>
        </a:prstGeom>
      </xdr:spPr>
    </xdr:pic>
    <xdr:clientData/>
  </xdr:twoCellAnchor>
  <xdr:twoCellAnchor editAs="oneCell">
    <xdr:from>
      <xdr:col>22</xdr:col>
      <xdr:colOff>133350</xdr:colOff>
      <xdr:row>46</xdr:row>
      <xdr:rowOff>0</xdr:rowOff>
    </xdr:from>
    <xdr:to>
      <xdr:col>37</xdr:col>
      <xdr:colOff>73025</xdr:colOff>
      <xdr:row>60</xdr:row>
      <xdr:rowOff>87789</xdr:rowOff>
    </xdr:to>
    <xdr:pic>
      <xdr:nvPicPr>
        <xdr:cNvPr id="11" name="Picture 10">
          <a:extLst>
            <a:ext uri="{FF2B5EF4-FFF2-40B4-BE49-F238E27FC236}">
              <a16:creationId xmlns:a16="http://schemas.microsoft.com/office/drawing/2014/main" id="{00000000-0008-0000-12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858000" y="6381750"/>
          <a:ext cx="5235575" cy="204993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14</xdr:col>
      <xdr:colOff>38101</xdr:colOff>
      <xdr:row>29</xdr:row>
      <xdr:rowOff>85725</xdr:rowOff>
    </xdr:from>
    <xdr:to>
      <xdr:col>17</xdr:col>
      <xdr:colOff>247651</xdr:colOff>
      <xdr:row>36</xdr:row>
      <xdr:rowOff>76200</xdr:rowOff>
    </xdr:to>
    <xdr:pic>
      <xdr:nvPicPr>
        <xdr:cNvPr id="2992307" name="Picture 66">
          <a:extLst>
            <a:ext uri="{FF2B5EF4-FFF2-40B4-BE49-F238E27FC236}">
              <a16:creationId xmlns:a16="http://schemas.microsoft.com/office/drawing/2014/main" id="{00000000-0008-0000-1300-0000B3A82D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1076" y="5124450"/>
          <a:ext cx="13906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95250</xdr:colOff>
      <xdr:row>0</xdr:row>
      <xdr:rowOff>57150</xdr:rowOff>
    </xdr:from>
    <xdr:to>
      <xdr:col>17</xdr:col>
      <xdr:colOff>282049</xdr:colOff>
      <xdr:row>0</xdr:row>
      <xdr:rowOff>605790</xdr:rowOff>
    </xdr:to>
    <xdr:pic>
      <xdr:nvPicPr>
        <xdr:cNvPr id="11" name="Picture 10">
          <a:extLst>
            <a:ext uri="{FF2B5EF4-FFF2-40B4-BE49-F238E27FC236}">
              <a16:creationId xmlns:a16="http://schemas.microsoft.com/office/drawing/2014/main" id="{00000000-0008-0000-13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0" y="57150"/>
          <a:ext cx="1786999" cy="548640"/>
        </a:xfrm>
        <a:prstGeom prst="rect">
          <a:avLst/>
        </a:prstGeom>
      </xdr:spPr>
    </xdr:pic>
    <xdr:clientData/>
  </xdr:twoCellAnchor>
  <xdr:twoCellAnchor editAs="oneCell">
    <xdr:from>
      <xdr:col>1</xdr:col>
      <xdr:colOff>38100</xdr:colOff>
      <xdr:row>0</xdr:row>
      <xdr:rowOff>104775</xdr:rowOff>
    </xdr:from>
    <xdr:to>
      <xdr:col>5</xdr:col>
      <xdr:colOff>69850</xdr:colOff>
      <xdr:row>0</xdr:row>
      <xdr:rowOff>656590</xdr:rowOff>
    </xdr:to>
    <xdr:pic>
      <xdr:nvPicPr>
        <xdr:cNvPr id="12" name="Picture 11">
          <a:extLst>
            <a:ext uri="{FF2B5EF4-FFF2-40B4-BE49-F238E27FC236}">
              <a16:creationId xmlns:a16="http://schemas.microsoft.com/office/drawing/2014/main" id="{00000000-0008-0000-13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9550" y="104775"/>
          <a:ext cx="1381125" cy="548640"/>
        </a:xfrm>
        <a:prstGeom prst="rect">
          <a:avLst/>
        </a:prstGeom>
      </xdr:spPr>
    </xdr:pic>
    <xdr:clientData/>
  </xdr:twoCellAnchor>
  <xdr:twoCellAnchor editAs="oneCell">
    <xdr:from>
      <xdr:col>5</xdr:col>
      <xdr:colOff>273050</xdr:colOff>
      <xdr:row>90</xdr:row>
      <xdr:rowOff>98425</xdr:rowOff>
    </xdr:from>
    <xdr:to>
      <xdr:col>9</xdr:col>
      <xdr:colOff>228600</xdr:colOff>
      <xdr:row>104</xdr:row>
      <xdr:rowOff>93811</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4"/>
        <a:stretch>
          <a:fillRect/>
        </a:stretch>
      </xdr:blipFill>
      <xdr:spPr>
        <a:xfrm>
          <a:off x="1749425" y="15624175"/>
          <a:ext cx="1403350" cy="2852886"/>
        </a:xfrm>
        <a:prstGeom prst="rect">
          <a:avLst/>
        </a:prstGeom>
      </xdr:spPr>
    </xdr:pic>
    <xdr:clientData/>
  </xdr:twoCellAnchor>
  <xdr:twoCellAnchor editAs="oneCell">
    <xdr:from>
      <xdr:col>5</xdr:col>
      <xdr:colOff>323850</xdr:colOff>
      <xdr:row>95</xdr:row>
      <xdr:rowOff>161925</xdr:rowOff>
    </xdr:from>
    <xdr:to>
      <xdr:col>8</xdr:col>
      <xdr:colOff>314325</xdr:colOff>
      <xdr:row>104</xdr:row>
      <xdr:rowOff>76200</xdr:rowOff>
    </xdr:to>
    <xdr:pic>
      <xdr:nvPicPr>
        <xdr:cNvPr id="4" name="Picture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00225" y="16678275"/>
          <a:ext cx="1076325" cy="17811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13</xdr:col>
      <xdr:colOff>0</xdr:colOff>
      <xdr:row>0</xdr:row>
      <xdr:rowOff>95250</xdr:rowOff>
    </xdr:from>
    <xdr:to>
      <xdr:col>17</xdr:col>
      <xdr:colOff>186799</xdr:colOff>
      <xdr:row>0</xdr:row>
      <xdr:rowOff>643890</xdr:rowOff>
    </xdr:to>
    <xdr:pic>
      <xdr:nvPicPr>
        <xdr:cNvPr id="9" name="Picture 8">
          <a:extLst>
            <a:ext uri="{FF2B5EF4-FFF2-40B4-BE49-F238E27FC236}">
              <a16:creationId xmlns:a16="http://schemas.microsoft.com/office/drawing/2014/main" id="{00000000-0008-0000-14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0" y="95250"/>
          <a:ext cx="1786999" cy="548640"/>
        </a:xfrm>
        <a:prstGeom prst="rect">
          <a:avLst/>
        </a:prstGeom>
      </xdr:spPr>
    </xdr:pic>
    <xdr:clientData/>
  </xdr:twoCellAnchor>
  <xdr:twoCellAnchor editAs="oneCell">
    <xdr:from>
      <xdr:col>1</xdr:col>
      <xdr:colOff>85725</xdr:colOff>
      <xdr:row>0</xdr:row>
      <xdr:rowOff>85725</xdr:rowOff>
    </xdr:from>
    <xdr:to>
      <xdr:col>5</xdr:col>
      <xdr:colOff>114300</xdr:colOff>
      <xdr:row>0</xdr:row>
      <xdr:rowOff>634365</xdr:rowOff>
    </xdr:to>
    <xdr:pic>
      <xdr:nvPicPr>
        <xdr:cNvPr id="10" name="Picture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175" y="85725"/>
          <a:ext cx="1381125" cy="548640"/>
        </a:xfrm>
        <a:prstGeom prst="rect">
          <a:avLst/>
        </a:prstGeom>
      </xdr:spPr>
    </xdr:pic>
    <xdr:clientData/>
  </xdr:twoCellAnchor>
  <xdr:twoCellAnchor editAs="oneCell">
    <xdr:from>
      <xdr:col>6</xdr:col>
      <xdr:colOff>57150</xdr:colOff>
      <xdr:row>77</xdr:row>
      <xdr:rowOff>47625</xdr:rowOff>
    </xdr:from>
    <xdr:to>
      <xdr:col>16</xdr:col>
      <xdr:colOff>1445</xdr:colOff>
      <xdr:row>84</xdr:row>
      <xdr:rowOff>66674</xdr:rowOff>
    </xdr:to>
    <xdr:pic>
      <xdr:nvPicPr>
        <xdr:cNvPr id="11" name="Picture 10">
          <a:extLst>
            <a:ext uri="{FF2B5EF4-FFF2-40B4-BE49-F238E27FC236}">
              <a16:creationId xmlns:a16="http://schemas.microsoft.com/office/drawing/2014/main" id="{00000000-0008-0000-1400-00000B000000}"/>
            </a:ext>
          </a:extLst>
        </xdr:cNvPr>
        <xdr:cNvPicPr>
          <a:picLocks noChangeAspect="1"/>
        </xdr:cNvPicPr>
      </xdr:nvPicPr>
      <xdr:blipFill>
        <a:blip xmlns:r="http://schemas.openxmlformats.org/officeDocument/2006/relationships" r:embed="rId3"/>
        <a:stretch>
          <a:fillRect/>
        </a:stretch>
      </xdr:blipFill>
      <xdr:spPr>
        <a:xfrm>
          <a:off x="1895475" y="11630025"/>
          <a:ext cx="3563795" cy="1619250"/>
        </a:xfrm>
        <a:prstGeom prst="rect">
          <a:avLst/>
        </a:prstGeom>
      </xdr:spPr>
    </xdr:pic>
    <xdr:clientData/>
  </xdr:twoCellAnchor>
  <xdr:twoCellAnchor editAs="oneCell">
    <xdr:from>
      <xdr:col>4</xdr:col>
      <xdr:colOff>30592</xdr:colOff>
      <xdr:row>62</xdr:row>
      <xdr:rowOff>117355</xdr:rowOff>
    </xdr:from>
    <xdr:to>
      <xdr:col>11</xdr:col>
      <xdr:colOff>324390</xdr:colOff>
      <xdr:row>71</xdr:row>
      <xdr:rowOff>257175</xdr:rowOff>
    </xdr:to>
    <xdr:pic>
      <xdr:nvPicPr>
        <xdr:cNvPr id="12" name="Picture 11">
          <a:extLst>
            <a:ext uri="{FF2B5EF4-FFF2-40B4-BE49-F238E27FC236}">
              <a16:creationId xmlns:a16="http://schemas.microsoft.com/office/drawing/2014/main" id="{00000000-0008-0000-1400-00000C000000}"/>
            </a:ext>
          </a:extLst>
        </xdr:cNvPr>
        <xdr:cNvPicPr>
          <a:picLocks noChangeAspect="1"/>
        </xdr:cNvPicPr>
      </xdr:nvPicPr>
      <xdr:blipFill>
        <a:blip xmlns:r="http://schemas.openxmlformats.org/officeDocument/2006/relationships" r:embed="rId4"/>
        <a:stretch>
          <a:fillRect/>
        </a:stretch>
      </xdr:blipFill>
      <xdr:spPr>
        <a:xfrm>
          <a:off x="1145017" y="9299455"/>
          <a:ext cx="2827448" cy="21495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219075</xdr:colOff>
          <xdr:row>8</xdr:row>
          <xdr:rowOff>0</xdr:rowOff>
        </xdr:from>
        <xdr:to>
          <xdr:col>9</xdr:col>
          <xdr:colOff>304800</xdr:colOff>
          <xdr:row>9</xdr:row>
          <xdr:rowOff>9525</xdr:rowOff>
        </xdr:to>
        <xdr:sp macro="" textlink="">
          <xdr:nvSpPr>
            <xdr:cNvPr id="2544279" name="Check Box 2711" hidden="1">
              <a:extLst>
                <a:ext uri="{63B3BB69-23CF-44E3-9099-C40C66FF867C}">
                  <a14:compatExt spid="_x0000_s2544279"/>
                </a:ext>
                <a:ext uri="{FF2B5EF4-FFF2-40B4-BE49-F238E27FC236}">
                  <a16:creationId xmlns:a16="http://schemas.microsoft.com/office/drawing/2014/main" id="{00000000-0008-0000-0300-000097D2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Gopher State One Call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152400</xdr:colOff>
          <xdr:row>8</xdr:row>
          <xdr:rowOff>9525</xdr:rowOff>
        </xdr:from>
        <xdr:to>
          <xdr:col>16</xdr:col>
          <xdr:colOff>304800</xdr:colOff>
          <xdr:row>9</xdr:row>
          <xdr:rowOff>0</xdr:rowOff>
        </xdr:to>
        <xdr:sp macro="" textlink="">
          <xdr:nvSpPr>
            <xdr:cNvPr id="2544280" name="Check Box 2712" hidden="1">
              <a:extLst>
                <a:ext uri="{63B3BB69-23CF-44E3-9099-C40C66FF867C}">
                  <a14:compatExt spid="_x0000_s2544280"/>
                </a:ext>
                <a:ext uri="{FF2B5EF4-FFF2-40B4-BE49-F238E27FC236}">
                  <a16:creationId xmlns:a16="http://schemas.microsoft.com/office/drawing/2014/main" id="{00000000-0008-0000-0300-000098D2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Any Private Utilities: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66675</xdr:colOff>
          <xdr:row>10</xdr:row>
          <xdr:rowOff>28575</xdr:rowOff>
        </xdr:from>
        <xdr:to>
          <xdr:col>12</xdr:col>
          <xdr:colOff>66675</xdr:colOff>
          <xdr:row>10</xdr:row>
          <xdr:rowOff>219075</xdr:rowOff>
        </xdr:to>
        <xdr:sp macro="" textlink="">
          <xdr:nvSpPr>
            <xdr:cNvPr id="2544285" name="Check Box 2717" hidden="1">
              <a:extLst>
                <a:ext uri="{63B3BB69-23CF-44E3-9099-C40C66FF867C}">
                  <a14:compatExt spid="_x0000_s2544285"/>
                </a:ext>
                <a:ext uri="{FF2B5EF4-FFF2-40B4-BE49-F238E27FC236}">
                  <a16:creationId xmlns:a16="http://schemas.microsoft.com/office/drawing/2014/main" id="{00000000-0008-0000-0300-00009DD2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Existing Buildings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219075</xdr:colOff>
          <xdr:row>10</xdr:row>
          <xdr:rowOff>28575</xdr:rowOff>
        </xdr:from>
        <xdr:to>
          <xdr:col>15</xdr:col>
          <xdr:colOff>76200</xdr:colOff>
          <xdr:row>10</xdr:row>
          <xdr:rowOff>219075</xdr:rowOff>
        </xdr:to>
        <xdr:sp macro="" textlink="">
          <xdr:nvSpPr>
            <xdr:cNvPr id="2544286" name="Check Box 2718" hidden="1">
              <a:extLst>
                <a:ext uri="{63B3BB69-23CF-44E3-9099-C40C66FF867C}">
                  <a14:compatExt spid="_x0000_s2544286"/>
                </a:ext>
                <a:ext uri="{FF2B5EF4-FFF2-40B4-BE49-F238E27FC236}">
                  <a16:creationId xmlns:a16="http://schemas.microsoft.com/office/drawing/2014/main" id="{00000000-0008-0000-0300-00009ED2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Improvements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38100</xdr:colOff>
          <xdr:row>10</xdr:row>
          <xdr:rowOff>28575</xdr:rowOff>
        </xdr:from>
        <xdr:to>
          <xdr:col>17</xdr:col>
          <xdr:colOff>304800</xdr:colOff>
          <xdr:row>10</xdr:row>
          <xdr:rowOff>219075</xdr:rowOff>
        </xdr:to>
        <xdr:sp macro="" textlink="">
          <xdr:nvSpPr>
            <xdr:cNvPr id="2544287" name="Check Box 2719" hidden="1">
              <a:extLst>
                <a:ext uri="{63B3BB69-23CF-44E3-9099-C40C66FF867C}">
                  <a14:compatExt spid="_x0000_s2544287"/>
                </a:ext>
                <a:ext uri="{FF2B5EF4-FFF2-40B4-BE49-F238E27FC236}">
                  <a16:creationId xmlns:a16="http://schemas.microsoft.com/office/drawing/2014/main" id="{00000000-0008-0000-0300-00009FD2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Easements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10</xdr:row>
          <xdr:rowOff>9525</xdr:rowOff>
        </xdr:from>
        <xdr:to>
          <xdr:col>20</xdr:col>
          <xdr:colOff>295275</xdr:colOff>
          <xdr:row>11</xdr:row>
          <xdr:rowOff>0</xdr:rowOff>
        </xdr:to>
        <xdr:sp macro="" textlink="">
          <xdr:nvSpPr>
            <xdr:cNvPr id="2544288" name="Check Box 2720" hidden="1">
              <a:extLst>
                <a:ext uri="{63B3BB69-23CF-44E3-9099-C40C66FF867C}">
                  <a14:compatExt spid="_x0000_s2544288"/>
                </a:ext>
                <a:ext uri="{FF2B5EF4-FFF2-40B4-BE49-F238E27FC236}">
                  <a16:creationId xmlns:a16="http://schemas.microsoft.com/office/drawing/2014/main" id="{00000000-0008-0000-0300-0000A0D22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Setbacks</a:t>
              </a:r>
            </a:p>
          </xdr:txBody>
        </xdr:sp>
        <xdr:clientData/>
      </xdr:twoCellAnchor>
    </mc:Choice>
    <mc:Fallback/>
  </mc:AlternateContent>
  <xdr:twoCellAnchor editAs="oneCell">
    <xdr:from>
      <xdr:col>22</xdr:col>
      <xdr:colOff>171450</xdr:colOff>
      <xdr:row>7</xdr:row>
      <xdr:rowOff>28575</xdr:rowOff>
    </xdr:from>
    <xdr:to>
      <xdr:col>30</xdr:col>
      <xdr:colOff>123221</xdr:colOff>
      <xdr:row>27</xdr:row>
      <xdr:rowOff>91726</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6800850" y="1104900"/>
          <a:ext cx="4828571" cy="2790476"/>
        </a:xfrm>
        <a:prstGeom prst="rect">
          <a:avLst/>
        </a:prstGeom>
      </xdr:spPr>
    </xdr:pic>
    <xdr:clientData/>
  </xdr:twoCellAnchor>
  <xdr:twoCellAnchor editAs="oneCell">
    <xdr:from>
      <xdr:col>22</xdr:col>
      <xdr:colOff>171450</xdr:colOff>
      <xdr:row>27</xdr:row>
      <xdr:rowOff>85725</xdr:rowOff>
    </xdr:from>
    <xdr:to>
      <xdr:col>31</xdr:col>
      <xdr:colOff>399336</xdr:colOff>
      <xdr:row>57</xdr:row>
      <xdr:rowOff>2526</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6800850" y="4010025"/>
          <a:ext cx="5714286" cy="519047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133350</xdr:colOff>
      <xdr:row>81</xdr:row>
      <xdr:rowOff>133350</xdr:rowOff>
    </xdr:from>
    <xdr:to>
      <xdr:col>13</xdr:col>
      <xdr:colOff>94616</xdr:colOff>
      <xdr:row>92</xdr:row>
      <xdr:rowOff>44946</xdr:rowOff>
    </xdr:to>
    <xdr:pic>
      <xdr:nvPicPr>
        <xdr:cNvPr id="6" name="Picture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1"/>
        <a:stretch>
          <a:fillRect/>
        </a:stretch>
      </xdr:blipFill>
      <xdr:spPr>
        <a:xfrm>
          <a:off x="476250" y="15344775"/>
          <a:ext cx="5514341" cy="2007096"/>
        </a:xfrm>
        <a:prstGeom prst="rect">
          <a:avLst/>
        </a:prstGeom>
      </xdr:spPr>
    </xdr:pic>
    <xdr:clientData/>
  </xdr:twoCellAnchor>
  <xdr:twoCellAnchor editAs="oneCell">
    <xdr:from>
      <xdr:col>0</xdr:col>
      <xdr:colOff>104775</xdr:colOff>
      <xdr:row>68</xdr:row>
      <xdr:rowOff>9525</xdr:rowOff>
    </xdr:from>
    <xdr:to>
      <xdr:col>13</xdr:col>
      <xdr:colOff>400050</xdr:colOff>
      <xdr:row>82</xdr:row>
      <xdr:rowOff>64919</xdr:rowOff>
    </xdr:to>
    <xdr:pic>
      <xdr:nvPicPr>
        <xdr:cNvPr id="4" name="Picture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2"/>
        <a:stretch>
          <a:fillRect/>
        </a:stretch>
      </xdr:blipFill>
      <xdr:spPr>
        <a:xfrm>
          <a:off x="104775" y="11134725"/>
          <a:ext cx="6067425" cy="2722394"/>
        </a:xfrm>
        <a:prstGeom prst="rect">
          <a:avLst/>
        </a:prstGeom>
      </xdr:spPr>
    </xdr:pic>
    <xdr:clientData/>
  </xdr:twoCellAnchor>
  <xdr:twoCellAnchor>
    <xdr:from>
      <xdr:col>2</xdr:col>
      <xdr:colOff>232410</xdr:colOff>
      <xdr:row>74</xdr:row>
      <xdr:rowOff>66675</xdr:rowOff>
    </xdr:from>
    <xdr:to>
      <xdr:col>3</xdr:col>
      <xdr:colOff>347011</xdr:colOff>
      <xdr:row>75</xdr:row>
      <xdr:rowOff>95250</xdr:rowOff>
    </xdr:to>
    <xdr:sp macro="" textlink="K59">
      <xdr:nvSpPr>
        <xdr:cNvPr id="56088" name="Text Box 67">
          <a:extLst>
            <a:ext uri="{FF2B5EF4-FFF2-40B4-BE49-F238E27FC236}">
              <a16:creationId xmlns:a16="http://schemas.microsoft.com/office/drawing/2014/main" id="{00000000-0008-0000-1500-000018DB0000}"/>
            </a:ext>
          </a:extLst>
        </xdr:cNvPr>
        <xdr:cNvSpPr txBox="1">
          <a:spLocks noChangeArrowheads="1"/>
        </xdr:cNvSpPr>
      </xdr:nvSpPr>
      <xdr:spPr bwMode="auto">
        <a:xfrm>
          <a:off x="556260" y="12334875"/>
          <a:ext cx="609901" cy="219075"/>
        </a:xfrm>
        <a:prstGeom prst="rect">
          <a:avLst/>
        </a:prstGeom>
        <a:solidFill>
          <a:srgbClr val="CEE5ED"/>
        </a:solidFill>
        <a:ln w="9525">
          <a:solidFill>
            <a:srgbClr val="000000"/>
          </a:solidFill>
          <a:miter lim="800000"/>
          <a:headEnd/>
          <a:tailEnd/>
        </a:ln>
      </xdr:spPr>
      <xdr:txBody>
        <a:bodyPr anchor="ctr"/>
        <a:lstStyle/>
        <a:p>
          <a:pPr algn="ctr"/>
          <a:fld id="{F9D47719-2F71-414B-9797-42C3F5CFF578}" type="TxLink">
            <a:rPr lang="en-US" sz="1200" b="1" i="0" u="none" strike="noStrike">
              <a:solidFill>
                <a:srgbClr val="000000"/>
              </a:solidFill>
              <a:latin typeface="Trebuchet MS"/>
            </a:rPr>
            <a:pPr algn="ctr"/>
            <a:t> </a:t>
          </a:fld>
          <a:endParaRPr lang="en-US"/>
        </a:p>
      </xdr:txBody>
    </xdr:sp>
    <xdr:clientData/>
  </xdr:twoCellAnchor>
  <xdr:twoCellAnchor>
    <xdr:from>
      <xdr:col>5</xdr:col>
      <xdr:colOff>485775</xdr:colOff>
      <xdr:row>69</xdr:row>
      <xdr:rowOff>114300</xdr:rowOff>
    </xdr:from>
    <xdr:to>
      <xdr:col>7</xdr:col>
      <xdr:colOff>146904</xdr:colOff>
      <xdr:row>70</xdr:row>
      <xdr:rowOff>152400</xdr:rowOff>
    </xdr:to>
    <xdr:sp macro="" textlink="$K$41">
      <xdr:nvSpPr>
        <xdr:cNvPr id="56090" name="Text Box 69">
          <a:extLst>
            <a:ext uri="{FF2B5EF4-FFF2-40B4-BE49-F238E27FC236}">
              <a16:creationId xmlns:a16="http://schemas.microsoft.com/office/drawing/2014/main" id="{00000000-0008-0000-1500-00001ADB0000}"/>
            </a:ext>
          </a:extLst>
        </xdr:cNvPr>
        <xdr:cNvSpPr txBox="1">
          <a:spLocks noChangeArrowheads="1"/>
        </xdr:cNvSpPr>
      </xdr:nvSpPr>
      <xdr:spPr bwMode="auto">
        <a:xfrm>
          <a:off x="2295525" y="11430000"/>
          <a:ext cx="651729" cy="228600"/>
        </a:xfrm>
        <a:prstGeom prst="rect">
          <a:avLst/>
        </a:prstGeom>
        <a:solidFill>
          <a:srgbClr val="CEE5ED"/>
        </a:solidFill>
        <a:ln w="9525">
          <a:solidFill>
            <a:srgbClr val="000000"/>
          </a:solidFill>
          <a:miter lim="800000"/>
          <a:headEnd/>
          <a:tailEnd/>
        </a:ln>
      </xdr:spPr>
      <xdr:txBody>
        <a:bodyPr anchor="ctr"/>
        <a:lstStyle/>
        <a:p>
          <a:pPr algn="ctr"/>
          <a:fld id="{39036884-5E71-4F13-B211-F5E3AA756F0D}" type="TxLink">
            <a:rPr lang="en-US" sz="1200" b="1" i="0" u="none" strike="noStrike">
              <a:solidFill>
                <a:srgbClr val="000000"/>
              </a:solidFill>
              <a:latin typeface="Trebuchet MS"/>
            </a:rPr>
            <a:pPr algn="ctr"/>
            <a:t> </a:t>
          </a:fld>
          <a:endParaRPr lang="en-US"/>
        </a:p>
      </xdr:txBody>
    </xdr:sp>
    <xdr:clientData/>
  </xdr:twoCellAnchor>
  <xdr:twoCellAnchor>
    <xdr:from>
      <xdr:col>5</xdr:col>
      <xdr:colOff>489585</xdr:colOff>
      <xdr:row>75</xdr:row>
      <xdr:rowOff>123825</xdr:rowOff>
    </xdr:from>
    <xdr:to>
      <xdr:col>7</xdr:col>
      <xdr:colOff>162502</xdr:colOff>
      <xdr:row>76</xdr:row>
      <xdr:rowOff>144846</xdr:rowOff>
    </xdr:to>
    <xdr:sp macro="" textlink="$K$54">
      <xdr:nvSpPr>
        <xdr:cNvPr id="56091" name="Text Box 70">
          <a:extLst>
            <a:ext uri="{FF2B5EF4-FFF2-40B4-BE49-F238E27FC236}">
              <a16:creationId xmlns:a16="http://schemas.microsoft.com/office/drawing/2014/main" id="{00000000-0008-0000-1500-00001BDB0000}"/>
            </a:ext>
          </a:extLst>
        </xdr:cNvPr>
        <xdr:cNvSpPr txBox="1">
          <a:spLocks noChangeArrowheads="1"/>
        </xdr:cNvSpPr>
      </xdr:nvSpPr>
      <xdr:spPr bwMode="auto">
        <a:xfrm>
          <a:off x="2299335" y="12582525"/>
          <a:ext cx="663517" cy="211521"/>
        </a:xfrm>
        <a:prstGeom prst="rect">
          <a:avLst/>
        </a:prstGeom>
        <a:solidFill>
          <a:srgbClr val="CEE5ED"/>
        </a:solidFill>
        <a:ln w="9525">
          <a:solidFill>
            <a:srgbClr val="000000"/>
          </a:solidFill>
          <a:miter lim="800000"/>
          <a:headEnd/>
          <a:tailEnd/>
        </a:ln>
      </xdr:spPr>
      <xdr:txBody>
        <a:bodyPr anchor="ctr"/>
        <a:lstStyle/>
        <a:p>
          <a:pPr algn="ctr"/>
          <a:fld id="{4D61A677-CAC7-48CC-8B39-73CE44EEE199}" type="TxLink">
            <a:rPr lang="en-US" sz="1200" b="1" i="0" u="none" strike="noStrike">
              <a:solidFill>
                <a:srgbClr val="000000"/>
              </a:solidFill>
              <a:latin typeface="Trebuchet MS"/>
            </a:rPr>
            <a:pPr algn="ctr"/>
            <a:t> </a:t>
          </a:fld>
          <a:endParaRPr lang="en-US"/>
        </a:p>
      </xdr:txBody>
    </xdr:sp>
    <xdr:clientData/>
  </xdr:twoCellAnchor>
  <xdr:twoCellAnchor>
    <xdr:from>
      <xdr:col>0</xdr:col>
      <xdr:colOff>85725</xdr:colOff>
      <xdr:row>70</xdr:row>
      <xdr:rowOff>182880</xdr:rowOff>
    </xdr:from>
    <xdr:to>
      <xdr:col>1</xdr:col>
      <xdr:colOff>133350</xdr:colOff>
      <xdr:row>74</xdr:row>
      <xdr:rowOff>85747</xdr:rowOff>
    </xdr:to>
    <xdr:sp macro="" textlink="I61">
      <xdr:nvSpPr>
        <xdr:cNvPr id="56092" name="Text Box 71">
          <a:extLst>
            <a:ext uri="{FF2B5EF4-FFF2-40B4-BE49-F238E27FC236}">
              <a16:creationId xmlns:a16="http://schemas.microsoft.com/office/drawing/2014/main" id="{00000000-0008-0000-1500-00001CDB0000}"/>
            </a:ext>
          </a:extLst>
        </xdr:cNvPr>
        <xdr:cNvSpPr txBox="1">
          <a:spLocks noChangeArrowheads="1"/>
        </xdr:cNvSpPr>
      </xdr:nvSpPr>
      <xdr:spPr bwMode="auto">
        <a:xfrm>
          <a:off x="85725" y="13298805"/>
          <a:ext cx="219075" cy="664867"/>
        </a:xfrm>
        <a:prstGeom prst="rect">
          <a:avLst/>
        </a:prstGeom>
        <a:solidFill>
          <a:srgbClr val="CEE5ED"/>
        </a:solidFill>
        <a:ln w="9525">
          <a:solidFill>
            <a:srgbClr val="000000"/>
          </a:solidFill>
          <a:miter lim="800000"/>
          <a:headEnd/>
          <a:tailEnd/>
        </a:ln>
      </xdr:spPr>
      <xdr:txBody>
        <a:bodyPr vert="vert270" anchor="ctr" anchorCtr="1"/>
        <a:lstStyle/>
        <a:p>
          <a:fld id="{4124A64E-7EFB-40F3-BBF0-193817F71335}" type="TxLink">
            <a:rPr lang="en-US" sz="1200" b="1" i="0" u="none" strike="noStrike">
              <a:solidFill>
                <a:srgbClr val="000000"/>
              </a:solidFill>
              <a:latin typeface="Trebuchet MS"/>
            </a:rPr>
            <a:pPr/>
            <a:t> </a:t>
          </a:fld>
          <a:endParaRPr lang="en-US"/>
        </a:p>
      </xdr:txBody>
    </xdr:sp>
    <xdr:clientData/>
  </xdr:twoCellAnchor>
  <xdr:twoCellAnchor>
    <xdr:from>
      <xdr:col>6</xdr:col>
      <xdr:colOff>200025</xdr:colOff>
      <xdr:row>79</xdr:row>
      <xdr:rowOff>57150</xdr:rowOff>
    </xdr:from>
    <xdr:to>
      <xdr:col>8</xdr:col>
      <xdr:colOff>61341</xdr:colOff>
      <xdr:row>80</xdr:row>
      <xdr:rowOff>78171</xdr:rowOff>
    </xdr:to>
    <xdr:sp macro="" textlink="L63">
      <xdr:nvSpPr>
        <xdr:cNvPr id="56093" name="Text Box 72">
          <a:extLst>
            <a:ext uri="{FF2B5EF4-FFF2-40B4-BE49-F238E27FC236}">
              <a16:creationId xmlns:a16="http://schemas.microsoft.com/office/drawing/2014/main" id="{00000000-0008-0000-1500-00001DDB0000}"/>
            </a:ext>
          </a:extLst>
        </xdr:cNvPr>
        <xdr:cNvSpPr txBox="1">
          <a:spLocks noChangeArrowheads="1"/>
        </xdr:cNvSpPr>
      </xdr:nvSpPr>
      <xdr:spPr bwMode="auto">
        <a:xfrm>
          <a:off x="2505075" y="13277850"/>
          <a:ext cx="851916" cy="211521"/>
        </a:xfrm>
        <a:prstGeom prst="rect">
          <a:avLst/>
        </a:prstGeom>
        <a:solidFill>
          <a:srgbClr val="CEE5ED"/>
        </a:solidFill>
        <a:ln w="9525">
          <a:solidFill>
            <a:srgbClr val="000000"/>
          </a:solidFill>
          <a:miter lim="800000"/>
          <a:headEnd/>
          <a:tailEnd/>
        </a:ln>
      </xdr:spPr>
      <xdr:txBody>
        <a:bodyPr anchor="ctr"/>
        <a:lstStyle/>
        <a:p>
          <a:pPr algn="ctr"/>
          <a:fld id="{DC467CBC-A206-45B1-B5B0-AC6B44E8C64E}" type="TxLink">
            <a:rPr lang="en-US" sz="1200" b="1" i="0" u="none" strike="noStrike">
              <a:solidFill>
                <a:srgbClr val="000000"/>
              </a:solidFill>
              <a:latin typeface="Trebuchet MS"/>
            </a:rPr>
            <a:pPr algn="ctr"/>
            <a:t> </a:t>
          </a:fld>
          <a:endParaRPr lang="en-US"/>
        </a:p>
      </xdr:txBody>
    </xdr:sp>
    <xdr:clientData/>
  </xdr:twoCellAnchor>
  <xdr:twoCellAnchor>
    <xdr:from>
      <xdr:col>9</xdr:col>
      <xdr:colOff>9525</xdr:colOff>
      <xdr:row>72</xdr:row>
      <xdr:rowOff>114300</xdr:rowOff>
    </xdr:from>
    <xdr:to>
      <xdr:col>10</xdr:col>
      <xdr:colOff>76199</xdr:colOff>
      <xdr:row>73</xdr:row>
      <xdr:rowOff>173635</xdr:rowOff>
    </xdr:to>
    <xdr:sp macro="" textlink="K8">
      <xdr:nvSpPr>
        <xdr:cNvPr id="56094" name="Text Box 73">
          <a:extLst>
            <a:ext uri="{FF2B5EF4-FFF2-40B4-BE49-F238E27FC236}">
              <a16:creationId xmlns:a16="http://schemas.microsoft.com/office/drawing/2014/main" id="{00000000-0008-0000-1500-00001EDB0000}"/>
            </a:ext>
          </a:extLst>
        </xdr:cNvPr>
        <xdr:cNvSpPr txBox="1">
          <a:spLocks noChangeArrowheads="1"/>
        </xdr:cNvSpPr>
      </xdr:nvSpPr>
      <xdr:spPr bwMode="auto">
        <a:xfrm>
          <a:off x="3800475" y="12001500"/>
          <a:ext cx="561974" cy="249835"/>
        </a:xfrm>
        <a:prstGeom prst="rect">
          <a:avLst/>
        </a:prstGeom>
        <a:solidFill>
          <a:srgbClr val="CEE5ED"/>
        </a:solidFill>
        <a:ln w="9525">
          <a:solidFill>
            <a:srgbClr val="000000"/>
          </a:solidFill>
          <a:miter lim="800000"/>
          <a:headEnd/>
          <a:tailEnd/>
        </a:ln>
      </xdr:spPr>
      <xdr:txBody>
        <a:bodyPr anchor="ctr"/>
        <a:lstStyle/>
        <a:p>
          <a:pPr algn="ctr"/>
          <a:fld id="{4427215D-A462-4ECF-A930-1773234065A2}" type="TxLink">
            <a:rPr lang="en-US" sz="1200" b="1" i="0" u="none" strike="noStrike">
              <a:solidFill>
                <a:srgbClr val="000000"/>
              </a:solidFill>
              <a:latin typeface="Trebuchet MS"/>
            </a:rPr>
            <a:pPr algn="ctr"/>
            <a:t> </a:t>
          </a:fld>
          <a:endParaRPr lang="en-US"/>
        </a:p>
      </xdr:txBody>
    </xdr:sp>
    <xdr:clientData/>
  </xdr:twoCellAnchor>
  <xdr:twoCellAnchor>
    <xdr:from>
      <xdr:col>10</xdr:col>
      <xdr:colOff>238124</xdr:colOff>
      <xdr:row>72</xdr:row>
      <xdr:rowOff>114301</xdr:rowOff>
    </xdr:from>
    <xdr:to>
      <xdr:col>11</xdr:col>
      <xdr:colOff>361949</xdr:colOff>
      <xdr:row>73</xdr:row>
      <xdr:rowOff>171655</xdr:rowOff>
    </xdr:to>
    <xdr:sp macro="" textlink="F63">
      <xdr:nvSpPr>
        <xdr:cNvPr id="56095" name="Text Box 74">
          <a:extLst>
            <a:ext uri="{FF2B5EF4-FFF2-40B4-BE49-F238E27FC236}">
              <a16:creationId xmlns:a16="http://schemas.microsoft.com/office/drawing/2014/main" id="{00000000-0008-0000-1500-00001FDB0000}"/>
            </a:ext>
          </a:extLst>
        </xdr:cNvPr>
        <xdr:cNvSpPr txBox="1">
          <a:spLocks noChangeArrowheads="1"/>
        </xdr:cNvSpPr>
      </xdr:nvSpPr>
      <xdr:spPr bwMode="auto">
        <a:xfrm>
          <a:off x="4524374" y="13592176"/>
          <a:ext cx="619125" cy="247854"/>
        </a:xfrm>
        <a:prstGeom prst="rect">
          <a:avLst/>
        </a:prstGeom>
        <a:solidFill>
          <a:srgbClr val="CEE5ED"/>
        </a:solidFill>
        <a:ln w="9525">
          <a:solidFill>
            <a:srgbClr val="000000"/>
          </a:solidFill>
          <a:miter lim="800000"/>
          <a:headEnd/>
          <a:tailEnd/>
        </a:ln>
      </xdr:spPr>
      <xdr:txBody>
        <a:bodyPr anchor="ctr"/>
        <a:lstStyle/>
        <a:p>
          <a:pPr algn="ctr"/>
          <a:fld id="{F52B1918-4E79-44F8-A7F7-81705528596B}" type="TxLink">
            <a:rPr lang="en-US" sz="1000" b="0" i="0" u="none" strike="noStrike">
              <a:solidFill>
                <a:srgbClr val="000000"/>
              </a:solidFill>
              <a:latin typeface="Trebuchet MS"/>
            </a:rPr>
            <a:pPr algn="ctr"/>
            <a:t> </a:t>
          </a:fld>
          <a:endParaRPr lang="en-US" sz="1200" b="1"/>
        </a:p>
      </xdr:txBody>
    </xdr:sp>
    <xdr:clientData/>
  </xdr:twoCellAnchor>
  <xdr:twoCellAnchor>
    <xdr:from>
      <xdr:col>4</xdr:col>
      <xdr:colOff>187960</xdr:colOff>
      <xdr:row>83</xdr:row>
      <xdr:rowOff>6350</xdr:rowOff>
    </xdr:from>
    <xdr:to>
      <xdr:col>5</xdr:col>
      <xdr:colOff>217179</xdr:colOff>
      <xdr:row>83</xdr:row>
      <xdr:rowOff>187324</xdr:rowOff>
    </xdr:to>
    <xdr:sp macro="" textlink="$K$41">
      <xdr:nvSpPr>
        <xdr:cNvPr id="56096" name="Text Box 75">
          <a:extLst>
            <a:ext uri="{FF2B5EF4-FFF2-40B4-BE49-F238E27FC236}">
              <a16:creationId xmlns:a16="http://schemas.microsoft.com/office/drawing/2014/main" id="{00000000-0008-0000-1500-000020DB0000}"/>
            </a:ext>
          </a:extLst>
        </xdr:cNvPr>
        <xdr:cNvSpPr txBox="1">
          <a:spLocks noChangeArrowheads="1"/>
        </xdr:cNvSpPr>
      </xdr:nvSpPr>
      <xdr:spPr bwMode="auto">
        <a:xfrm>
          <a:off x="1540510" y="15598775"/>
          <a:ext cx="534044" cy="180974"/>
        </a:xfrm>
        <a:prstGeom prst="rect">
          <a:avLst/>
        </a:prstGeom>
        <a:solidFill>
          <a:srgbClr val="CEE5ED"/>
        </a:solidFill>
        <a:ln w="9525">
          <a:solidFill>
            <a:srgbClr val="000000"/>
          </a:solidFill>
          <a:miter lim="800000"/>
          <a:headEnd/>
          <a:tailEnd/>
        </a:ln>
      </xdr:spPr>
      <xdr:txBody>
        <a:bodyPr anchor="ctr"/>
        <a:lstStyle/>
        <a:p>
          <a:pPr algn="ctr"/>
          <a:fld id="{B1514EF5-D0BD-4EE9-B785-E5170B5C799A}" type="TxLink">
            <a:rPr lang="en-US" sz="1200" b="1" i="0" u="none" strike="noStrike">
              <a:solidFill>
                <a:srgbClr val="000000"/>
              </a:solidFill>
              <a:latin typeface="Trebuchet MS"/>
            </a:rPr>
            <a:pPr algn="ctr"/>
            <a:t> </a:t>
          </a:fld>
          <a:endParaRPr lang="en-US"/>
        </a:p>
      </xdr:txBody>
    </xdr:sp>
    <xdr:clientData/>
  </xdr:twoCellAnchor>
  <xdr:twoCellAnchor>
    <xdr:from>
      <xdr:col>6</xdr:col>
      <xdr:colOff>394335</xdr:colOff>
      <xdr:row>83</xdr:row>
      <xdr:rowOff>95250</xdr:rowOff>
    </xdr:from>
    <xdr:to>
      <xdr:col>8</xdr:col>
      <xdr:colOff>171442</xdr:colOff>
      <xdr:row>84</xdr:row>
      <xdr:rowOff>123825</xdr:rowOff>
    </xdr:to>
    <xdr:sp macro="" textlink="$K$54">
      <xdr:nvSpPr>
        <xdr:cNvPr id="56097" name="Text Box 76">
          <a:extLst>
            <a:ext uri="{FF2B5EF4-FFF2-40B4-BE49-F238E27FC236}">
              <a16:creationId xmlns:a16="http://schemas.microsoft.com/office/drawing/2014/main" id="{00000000-0008-0000-1500-000021DB0000}"/>
            </a:ext>
          </a:extLst>
        </xdr:cNvPr>
        <xdr:cNvSpPr txBox="1">
          <a:spLocks noChangeArrowheads="1"/>
        </xdr:cNvSpPr>
      </xdr:nvSpPr>
      <xdr:spPr bwMode="auto">
        <a:xfrm>
          <a:off x="2756535" y="15687675"/>
          <a:ext cx="786757" cy="219075"/>
        </a:xfrm>
        <a:prstGeom prst="rect">
          <a:avLst/>
        </a:prstGeom>
        <a:solidFill>
          <a:srgbClr val="CEE5ED"/>
        </a:solidFill>
        <a:ln w="9525">
          <a:solidFill>
            <a:srgbClr val="000000"/>
          </a:solidFill>
          <a:miter lim="800000"/>
          <a:headEnd/>
          <a:tailEnd/>
        </a:ln>
      </xdr:spPr>
      <xdr:txBody>
        <a:bodyPr anchor="ctr"/>
        <a:lstStyle/>
        <a:p>
          <a:pPr algn="ctr"/>
          <a:fld id="{0EE7A48B-9547-4204-A867-47E5749309BD}" type="TxLink">
            <a:rPr lang="en-US" sz="1200" b="1" i="0" u="none" strike="noStrike">
              <a:solidFill>
                <a:srgbClr val="000000"/>
              </a:solidFill>
              <a:latin typeface="Trebuchet MS"/>
            </a:rPr>
            <a:pPr algn="ctr"/>
            <a:t> </a:t>
          </a:fld>
          <a:endParaRPr lang="en-US"/>
        </a:p>
      </xdr:txBody>
    </xdr:sp>
    <xdr:clientData/>
  </xdr:twoCellAnchor>
  <xdr:twoCellAnchor>
    <xdr:from>
      <xdr:col>5</xdr:col>
      <xdr:colOff>474345</xdr:colOff>
      <xdr:row>88</xdr:row>
      <xdr:rowOff>157480</xdr:rowOff>
    </xdr:from>
    <xdr:to>
      <xdr:col>7</xdr:col>
      <xdr:colOff>108591</xdr:colOff>
      <xdr:row>90</xdr:row>
      <xdr:rowOff>3379</xdr:rowOff>
    </xdr:to>
    <xdr:sp macro="" textlink="K8">
      <xdr:nvSpPr>
        <xdr:cNvPr id="56098" name="Text Box 77">
          <a:extLst>
            <a:ext uri="{FF2B5EF4-FFF2-40B4-BE49-F238E27FC236}">
              <a16:creationId xmlns:a16="http://schemas.microsoft.com/office/drawing/2014/main" id="{00000000-0008-0000-1500-000022DB0000}"/>
            </a:ext>
          </a:extLst>
        </xdr:cNvPr>
        <xdr:cNvSpPr txBox="1">
          <a:spLocks noChangeArrowheads="1"/>
        </xdr:cNvSpPr>
      </xdr:nvSpPr>
      <xdr:spPr bwMode="auto">
        <a:xfrm>
          <a:off x="2331720" y="16702405"/>
          <a:ext cx="643896" cy="226899"/>
        </a:xfrm>
        <a:prstGeom prst="rect">
          <a:avLst/>
        </a:prstGeom>
        <a:solidFill>
          <a:srgbClr val="CEE5ED"/>
        </a:solidFill>
        <a:ln w="9525">
          <a:solidFill>
            <a:srgbClr val="000000"/>
          </a:solidFill>
          <a:miter lim="800000"/>
          <a:headEnd/>
          <a:tailEnd/>
        </a:ln>
      </xdr:spPr>
      <xdr:txBody>
        <a:bodyPr anchor="ctr"/>
        <a:lstStyle/>
        <a:p>
          <a:pPr algn="ctr"/>
          <a:fld id="{E6D7E215-1529-406B-BDFA-07521D44E692}" type="TxLink">
            <a:rPr lang="en-US" sz="1200" b="1" i="0" u="none" strike="noStrike">
              <a:solidFill>
                <a:srgbClr val="000000"/>
              </a:solidFill>
              <a:latin typeface="Trebuchet MS"/>
            </a:rPr>
            <a:pPr algn="ctr"/>
            <a:t> </a:t>
          </a:fld>
          <a:endParaRPr lang="en-US"/>
        </a:p>
      </xdr:txBody>
    </xdr:sp>
    <xdr:clientData/>
  </xdr:twoCellAnchor>
  <xdr:twoCellAnchor editAs="oneCell">
    <xdr:from>
      <xdr:col>14</xdr:col>
      <xdr:colOff>104775</xdr:colOff>
      <xdr:row>33</xdr:row>
      <xdr:rowOff>152400</xdr:rowOff>
    </xdr:from>
    <xdr:to>
      <xdr:col>20</xdr:col>
      <xdr:colOff>209550</xdr:colOff>
      <xdr:row>69</xdr:row>
      <xdr:rowOff>9525</xdr:rowOff>
    </xdr:to>
    <xdr:pic>
      <xdr:nvPicPr>
        <xdr:cNvPr id="2990986" name="Picture 79">
          <a:extLst>
            <a:ext uri="{FF2B5EF4-FFF2-40B4-BE49-F238E27FC236}">
              <a16:creationId xmlns:a16="http://schemas.microsoft.com/office/drawing/2014/main" id="{00000000-0008-0000-1500-00008AA32D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72225" y="5819775"/>
          <a:ext cx="2676525" cy="632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400050</xdr:colOff>
      <xdr:row>74</xdr:row>
      <xdr:rowOff>76200</xdr:rowOff>
    </xdr:from>
    <xdr:to>
      <xdr:col>13</xdr:col>
      <xdr:colOff>34490</xdr:colOff>
      <xdr:row>75</xdr:row>
      <xdr:rowOff>104775</xdr:rowOff>
    </xdr:to>
    <xdr:sp macro="" textlink="K59">
      <xdr:nvSpPr>
        <xdr:cNvPr id="21" name="Text Box 68">
          <a:extLst>
            <a:ext uri="{FF2B5EF4-FFF2-40B4-BE49-F238E27FC236}">
              <a16:creationId xmlns:a16="http://schemas.microsoft.com/office/drawing/2014/main" id="{00000000-0008-0000-1500-000015000000}"/>
            </a:ext>
          </a:extLst>
        </xdr:cNvPr>
        <xdr:cNvSpPr txBox="1">
          <a:spLocks noChangeArrowheads="1"/>
        </xdr:cNvSpPr>
      </xdr:nvSpPr>
      <xdr:spPr bwMode="auto">
        <a:xfrm>
          <a:off x="5181600" y="12344400"/>
          <a:ext cx="625040" cy="219075"/>
        </a:xfrm>
        <a:prstGeom prst="rect">
          <a:avLst/>
        </a:prstGeom>
        <a:solidFill>
          <a:srgbClr val="CEE5ED"/>
        </a:solidFill>
        <a:ln w="9525">
          <a:solidFill>
            <a:srgbClr val="000000"/>
          </a:solidFill>
          <a:miter lim="800000"/>
          <a:headEnd/>
          <a:tailEnd/>
        </a:ln>
      </xdr:spPr>
      <xdr:txBody>
        <a:bodyPr anchor="ctr"/>
        <a:lstStyle/>
        <a:p>
          <a:pPr algn="ctr"/>
          <a:fld id="{5534AACB-2A00-40A0-9634-C5C093282B09}" type="TxLink">
            <a:rPr lang="en-US" sz="1200" b="1" i="0" u="none" strike="noStrike">
              <a:solidFill>
                <a:srgbClr val="000000"/>
              </a:solidFill>
              <a:latin typeface="Trebuchet MS"/>
            </a:rPr>
            <a:pPr algn="ctr"/>
            <a:t> </a:t>
          </a:fld>
          <a:endParaRPr lang="en-US"/>
        </a:p>
      </xdr:txBody>
    </xdr:sp>
    <xdr:clientData/>
  </xdr:twoCellAnchor>
  <xdr:twoCellAnchor editAs="oneCell">
    <xdr:from>
      <xdr:col>10</xdr:col>
      <xdr:colOff>85725</xdr:colOff>
      <xdr:row>0</xdr:row>
      <xdr:rowOff>76200</xdr:rowOff>
    </xdr:from>
    <xdr:to>
      <xdr:col>13</xdr:col>
      <xdr:colOff>329674</xdr:colOff>
      <xdr:row>0</xdr:row>
      <xdr:rowOff>624840</xdr:rowOff>
    </xdr:to>
    <xdr:pic>
      <xdr:nvPicPr>
        <xdr:cNvPr id="20" name="Picture 19">
          <a:extLst>
            <a:ext uri="{FF2B5EF4-FFF2-40B4-BE49-F238E27FC236}">
              <a16:creationId xmlns:a16="http://schemas.microsoft.com/office/drawing/2014/main" id="{00000000-0008-0000-1500-00001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43425" y="76200"/>
          <a:ext cx="1786999" cy="548640"/>
        </a:xfrm>
        <a:prstGeom prst="rect">
          <a:avLst/>
        </a:prstGeom>
      </xdr:spPr>
    </xdr:pic>
    <xdr:clientData/>
  </xdr:twoCellAnchor>
  <xdr:twoCellAnchor editAs="oneCell">
    <xdr:from>
      <xdr:col>0</xdr:col>
      <xdr:colOff>152400</xdr:colOff>
      <xdr:row>0</xdr:row>
      <xdr:rowOff>85725</xdr:rowOff>
    </xdr:from>
    <xdr:to>
      <xdr:col>4</xdr:col>
      <xdr:colOff>161925</xdr:colOff>
      <xdr:row>0</xdr:row>
      <xdr:rowOff>634365</xdr:rowOff>
    </xdr:to>
    <xdr:pic>
      <xdr:nvPicPr>
        <xdr:cNvPr id="22" name="Picture 21">
          <a:extLst>
            <a:ext uri="{FF2B5EF4-FFF2-40B4-BE49-F238E27FC236}">
              <a16:creationId xmlns:a16="http://schemas.microsoft.com/office/drawing/2014/main" id="{00000000-0008-0000-1500-00001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2400" y="85725"/>
          <a:ext cx="1381125" cy="548640"/>
        </a:xfrm>
        <a:prstGeom prst="rect">
          <a:avLst/>
        </a:prstGeom>
      </xdr:spPr>
    </xdr:pic>
    <xdr:clientData/>
  </xdr:twoCellAnchor>
  <xdr:twoCellAnchor editAs="oneCell">
    <xdr:from>
      <xdr:col>0</xdr:col>
      <xdr:colOff>76200</xdr:colOff>
      <xdr:row>67</xdr:row>
      <xdr:rowOff>114300</xdr:rowOff>
    </xdr:from>
    <xdr:to>
      <xdr:col>13</xdr:col>
      <xdr:colOff>381000</xdr:colOff>
      <xdr:row>80</xdr:row>
      <xdr:rowOff>66675</xdr:rowOff>
    </xdr:to>
    <xdr:sp macro="" textlink="">
      <xdr:nvSpPr>
        <xdr:cNvPr id="3604482" name="AutoShape 2">
          <a:extLst>
            <a:ext uri="{FF2B5EF4-FFF2-40B4-BE49-F238E27FC236}">
              <a16:creationId xmlns:a16="http://schemas.microsoft.com/office/drawing/2014/main" id="{00000000-0008-0000-1500-000002003700}"/>
            </a:ext>
          </a:extLst>
        </xdr:cNvPr>
        <xdr:cNvSpPr>
          <a:spLocks noChangeAspect="1" noChangeArrowheads="1"/>
        </xdr:cNvSpPr>
      </xdr:nvSpPr>
      <xdr:spPr bwMode="auto">
        <a:xfrm>
          <a:off x="76200" y="11039475"/>
          <a:ext cx="6076950" cy="2438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112671</xdr:colOff>
      <xdr:row>0</xdr:row>
      <xdr:rowOff>152400</xdr:rowOff>
    </xdr:from>
    <xdr:to>
      <xdr:col>25</xdr:col>
      <xdr:colOff>267559</xdr:colOff>
      <xdr:row>31</xdr:row>
      <xdr:rowOff>169331</xdr:rowOff>
    </xdr:to>
    <xdr:pic>
      <xdr:nvPicPr>
        <xdr:cNvPr id="3" name="Picture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6"/>
        <a:stretch>
          <a:fillRect/>
        </a:stretch>
      </xdr:blipFill>
      <xdr:spPr>
        <a:xfrm>
          <a:off x="6380121" y="152400"/>
          <a:ext cx="4536388" cy="558270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xdr:colOff>
      <xdr:row>101</xdr:row>
      <xdr:rowOff>19050</xdr:rowOff>
    </xdr:from>
    <xdr:to>
      <xdr:col>16</xdr:col>
      <xdr:colOff>203201</xdr:colOff>
      <xdr:row>120</xdr:row>
      <xdr:rowOff>73602</xdr:rowOff>
    </xdr:to>
    <xdr:pic>
      <xdr:nvPicPr>
        <xdr:cNvPr id="3003568" name="Picture 27" descr="Updated Flat mound diag#B2D">
          <a:extLst>
            <a:ext uri="{FF2B5EF4-FFF2-40B4-BE49-F238E27FC236}">
              <a16:creationId xmlns:a16="http://schemas.microsoft.com/office/drawing/2014/main" id="{00000000-0008-0000-1600-0000B0D4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6737"/>
        <a:stretch>
          <a:fillRect/>
        </a:stretch>
      </xdr:blipFill>
      <xdr:spPr bwMode="auto">
        <a:xfrm>
          <a:off x="161926" y="17611725"/>
          <a:ext cx="5432425" cy="36454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14</xdr:row>
      <xdr:rowOff>19050</xdr:rowOff>
    </xdr:from>
    <xdr:to>
      <xdr:col>10</xdr:col>
      <xdr:colOff>19050</xdr:colOff>
      <xdr:row>23</xdr:row>
      <xdr:rowOff>76200</xdr:rowOff>
    </xdr:to>
    <xdr:pic>
      <xdr:nvPicPr>
        <xdr:cNvPr id="3003570" name="Picture 471">
          <a:extLst>
            <a:ext uri="{FF2B5EF4-FFF2-40B4-BE49-F238E27FC236}">
              <a16:creationId xmlns:a16="http://schemas.microsoft.com/office/drawing/2014/main" id="{00000000-0008-0000-1600-0000B2D4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b="1556"/>
        <a:stretch>
          <a:fillRect/>
        </a:stretch>
      </xdr:blipFill>
      <xdr:spPr bwMode="auto">
        <a:xfrm>
          <a:off x="114300" y="2771775"/>
          <a:ext cx="3048000"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133350</xdr:colOff>
      <xdr:row>119</xdr:row>
      <xdr:rowOff>19052</xdr:rowOff>
    </xdr:from>
    <xdr:to>
      <xdr:col>16</xdr:col>
      <xdr:colOff>247650</xdr:colOff>
      <xdr:row>133</xdr:row>
      <xdr:rowOff>90279</xdr:rowOff>
    </xdr:to>
    <xdr:pic>
      <xdr:nvPicPr>
        <xdr:cNvPr id="3003571" name="Picture 28" descr="Updated Flat mound diag#B2F">
          <a:extLst>
            <a:ext uri="{FF2B5EF4-FFF2-40B4-BE49-F238E27FC236}">
              <a16:creationId xmlns:a16="http://schemas.microsoft.com/office/drawing/2014/main" id="{00000000-0008-0000-1600-0000B3D42D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21497927"/>
          <a:ext cx="5343525" cy="26144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10</xdr:col>
      <xdr:colOff>0</xdr:colOff>
      <xdr:row>103</xdr:row>
      <xdr:rowOff>80010</xdr:rowOff>
    </xdr:from>
    <xdr:ext cx="1378923" cy="338938"/>
    <xdr:sp macro="" textlink="">
      <xdr:nvSpPr>
        <xdr:cNvPr id="8" name="TextBox 7">
          <a:extLst>
            <a:ext uri="{FF2B5EF4-FFF2-40B4-BE49-F238E27FC236}">
              <a16:creationId xmlns:a16="http://schemas.microsoft.com/office/drawing/2014/main" id="{00000000-0008-0000-1600-000008000000}"/>
            </a:ext>
          </a:extLst>
        </xdr:cNvPr>
        <xdr:cNvSpPr txBox="1"/>
      </xdr:nvSpPr>
      <xdr:spPr>
        <a:xfrm>
          <a:off x="3249930" y="19076670"/>
          <a:ext cx="1388482" cy="338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0"/>
            <a:t>Upslope</a:t>
          </a:r>
        </a:p>
      </xdr:txBody>
    </xdr:sp>
    <xdr:clientData/>
  </xdr:oneCellAnchor>
  <xdr:oneCellAnchor>
    <xdr:from>
      <xdr:col>11</xdr:col>
      <xdr:colOff>49530</xdr:colOff>
      <xdr:row>114</xdr:row>
      <xdr:rowOff>49530</xdr:rowOff>
    </xdr:from>
    <xdr:ext cx="1093469" cy="323707"/>
    <xdr:sp macro="" textlink="">
      <xdr:nvSpPr>
        <xdr:cNvPr id="9" name="TextBox 8">
          <a:extLst>
            <a:ext uri="{FF2B5EF4-FFF2-40B4-BE49-F238E27FC236}">
              <a16:creationId xmlns:a16="http://schemas.microsoft.com/office/drawing/2014/main" id="{00000000-0008-0000-1600-000009000000}"/>
            </a:ext>
          </a:extLst>
        </xdr:cNvPr>
        <xdr:cNvSpPr txBox="1"/>
      </xdr:nvSpPr>
      <xdr:spPr>
        <a:xfrm>
          <a:off x="3630930" y="19423380"/>
          <a:ext cx="1093469" cy="3237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0"/>
            <a:t>Downslope</a:t>
          </a:r>
        </a:p>
      </xdr:txBody>
    </xdr:sp>
    <xdr:clientData/>
  </xdr:oneCellAnchor>
  <xdr:oneCellAnchor>
    <xdr:from>
      <xdr:col>13</xdr:col>
      <xdr:colOff>70485</xdr:colOff>
      <xdr:row>107</xdr:row>
      <xdr:rowOff>53340</xdr:rowOff>
    </xdr:from>
    <xdr:ext cx="877921" cy="331235"/>
    <xdr:sp macro="" textlink="">
      <xdr:nvSpPr>
        <xdr:cNvPr id="10" name="TextBox 9">
          <a:extLst>
            <a:ext uri="{FF2B5EF4-FFF2-40B4-BE49-F238E27FC236}">
              <a16:creationId xmlns:a16="http://schemas.microsoft.com/office/drawing/2014/main" id="{00000000-0008-0000-1600-00000A000000}"/>
            </a:ext>
          </a:extLst>
        </xdr:cNvPr>
        <xdr:cNvSpPr txBox="1"/>
      </xdr:nvSpPr>
      <xdr:spPr>
        <a:xfrm>
          <a:off x="4375785" y="18093690"/>
          <a:ext cx="877921" cy="331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0"/>
            <a:t>Endslope</a:t>
          </a:r>
        </a:p>
      </xdr:txBody>
    </xdr:sp>
    <xdr:clientData/>
  </xdr:oneCellAnchor>
  <xdr:oneCellAnchor>
    <xdr:from>
      <xdr:col>3</xdr:col>
      <xdr:colOff>146685</xdr:colOff>
      <xdr:row>106</xdr:row>
      <xdr:rowOff>161925</xdr:rowOff>
    </xdr:from>
    <xdr:ext cx="991330" cy="331235"/>
    <xdr:sp macro="" textlink="">
      <xdr:nvSpPr>
        <xdr:cNvPr id="11" name="TextBox 10">
          <a:extLst>
            <a:ext uri="{FF2B5EF4-FFF2-40B4-BE49-F238E27FC236}">
              <a16:creationId xmlns:a16="http://schemas.microsoft.com/office/drawing/2014/main" id="{00000000-0008-0000-1600-00000B000000}"/>
            </a:ext>
          </a:extLst>
        </xdr:cNvPr>
        <xdr:cNvSpPr txBox="1"/>
      </xdr:nvSpPr>
      <xdr:spPr>
        <a:xfrm>
          <a:off x="862965" y="19730085"/>
          <a:ext cx="988695" cy="331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0"/>
            <a:t>Endslope </a:t>
          </a:r>
        </a:p>
      </xdr:txBody>
    </xdr:sp>
    <xdr:clientData/>
  </xdr:oneCellAnchor>
  <xdr:oneCellAnchor>
    <xdr:from>
      <xdr:col>0</xdr:col>
      <xdr:colOff>16311</xdr:colOff>
      <xdr:row>103</xdr:row>
      <xdr:rowOff>120851</xdr:rowOff>
    </xdr:from>
    <xdr:ext cx="327214" cy="2066926"/>
    <xdr:sp macro="" textlink="">
      <xdr:nvSpPr>
        <xdr:cNvPr id="14" name="TextBox 13">
          <a:extLst>
            <a:ext uri="{FF2B5EF4-FFF2-40B4-BE49-F238E27FC236}">
              <a16:creationId xmlns:a16="http://schemas.microsoft.com/office/drawing/2014/main" id="{00000000-0008-0000-1600-00000E000000}"/>
            </a:ext>
          </a:extLst>
        </xdr:cNvPr>
        <xdr:cNvSpPr txBox="1"/>
      </xdr:nvSpPr>
      <xdr:spPr>
        <a:xfrm rot="16200000">
          <a:off x="-853545" y="20261687"/>
          <a:ext cx="2066926" cy="327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0"/>
            <a:t>Total  Mound Width </a:t>
          </a:r>
        </a:p>
      </xdr:txBody>
    </xdr:sp>
    <xdr:clientData/>
  </xdr:oneCellAnchor>
  <xdr:oneCellAnchor>
    <xdr:from>
      <xdr:col>3</xdr:col>
      <xdr:colOff>250390</xdr:colOff>
      <xdr:row>116</xdr:row>
      <xdr:rowOff>92512</xdr:rowOff>
    </xdr:from>
    <xdr:ext cx="2235744" cy="338938"/>
    <xdr:sp macro="" textlink="">
      <xdr:nvSpPr>
        <xdr:cNvPr id="15" name="TextBox 14">
          <a:extLst>
            <a:ext uri="{FF2B5EF4-FFF2-40B4-BE49-F238E27FC236}">
              <a16:creationId xmlns:a16="http://schemas.microsoft.com/office/drawing/2014/main" id="{00000000-0008-0000-1600-00000F000000}"/>
            </a:ext>
          </a:extLst>
        </xdr:cNvPr>
        <xdr:cNvSpPr txBox="1"/>
      </xdr:nvSpPr>
      <xdr:spPr>
        <a:xfrm>
          <a:off x="936190" y="19847362"/>
          <a:ext cx="2235744" cy="338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0">
              <a:latin typeface="+mn-lt"/>
            </a:rPr>
            <a:t>Total Mound Length </a:t>
          </a:r>
        </a:p>
      </xdr:txBody>
    </xdr:sp>
    <xdr:clientData/>
  </xdr:oneCellAnchor>
  <xdr:oneCellAnchor>
    <xdr:from>
      <xdr:col>7</xdr:col>
      <xdr:colOff>238125</xdr:colOff>
      <xdr:row>130</xdr:row>
      <xdr:rowOff>127635</xdr:rowOff>
    </xdr:from>
    <xdr:ext cx="1727085" cy="331235"/>
    <xdr:sp macro="" textlink="">
      <xdr:nvSpPr>
        <xdr:cNvPr id="16" name="TextBox 15">
          <a:extLst>
            <a:ext uri="{FF2B5EF4-FFF2-40B4-BE49-F238E27FC236}">
              <a16:creationId xmlns:a16="http://schemas.microsoft.com/office/drawing/2014/main" id="{00000000-0008-0000-1600-000010000000}"/>
            </a:ext>
          </a:extLst>
        </xdr:cNvPr>
        <xdr:cNvSpPr txBox="1"/>
      </xdr:nvSpPr>
      <xdr:spPr>
        <a:xfrm>
          <a:off x="2371725" y="22549485"/>
          <a:ext cx="1727085" cy="331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000" b="0"/>
            <a:t>Absorption</a:t>
          </a:r>
          <a:r>
            <a:rPr lang="en-US" sz="1000" b="0" baseline="0"/>
            <a:t> Width </a:t>
          </a:r>
          <a:endParaRPr lang="en-US" sz="1000" b="0"/>
        </a:p>
      </xdr:txBody>
    </xdr:sp>
    <xdr:clientData/>
  </xdr:oneCellAnchor>
  <xdr:oneCellAnchor>
    <xdr:from>
      <xdr:col>6</xdr:col>
      <xdr:colOff>327660</xdr:colOff>
      <xdr:row>127</xdr:row>
      <xdr:rowOff>62865</xdr:rowOff>
    </xdr:from>
    <xdr:ext cx="1790721" cy="331235"/>
    <xdr:sp macro="" textlink="">
      <xdr:nvSpPr>
        <xdr:cNvPr id="17" name="TextBox 16">
          <a:extLst>
            <a:ext uri="{FF2B5EF4-FFF2-40B4-BE49-F238E27FC236}">
              <a16:creationId xmlns:a16="http://schemas.microsoft.com/office/drawing/2014/main" id="{00000000-0008-0000-1600-000011000000}"/>
            </a:ext>
          </a:extLst>
        </xdr:cNvPr>
        <xdr:cNvSpPr txBox="1"/>
      </xdr:nvSpPr>
      <xdr:spPr>
        <a:xfrm>
          <a:off x="2099310" y="21913215"/>
          <a:ext cx="1790721" cy="331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300" b="0">
              <a:solidFill>
                <a:sysClr val="windowText" lastClr="000000"/>
              </a:solidFill>
            </a:rPr>
            <a:t>Depth to Limiting </a:t>
          </a:r>
        </a:p>
      </xdr:txBody>
    </xdr:sp>
    <xdr:clientData/>
  </xdr:oneCellAnchor>
  <xdr:oneCellAnchor>
    <xdr:from>
      <xdr:col>9</xdr:col>
      <xdr:colOff>234315</xdr:colOff>
      <xdr:row>128</xdr:row>
      <xdr:rowOff>133350</xdr:rowOff>
    </xdr:from>
    <xdr:ext cx="1412414" cy="338938"/>
    <xdr:sp macro="" textlink="">
      <xdr:nvSpPr>
        <xdr:cNvPr id="18" name="TextBox 17">
          <a:extLst>
            <a:ext uri="{FF2B5EF4-FFF2-40B4-BE49-F238E27FC236}">
              <a16:creationId xmlns:a16="http://schemas.microsoft.com/office/drawing/2014/main" id="{00000000-0008-0000-1600-000012000000}"/>
            </a:ext>
          </a:extLst>
        </xdr:cNvPr>
        <xdr:cNvSpPr txBox="1"/>
      </xdr:nvSpPr>
      <xdr:spPr>
        <a:xfrm>
          <a:off x="3091815" y="22174200"/>
          <a:ext cx="1412414" cy="338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300" b="0">
              <a:solidFill>
                <a:srgbClr val="FF00FF"/>
              </a:solidFill>
            </a:rPr>
            <a:t>Limiting Condition</a:t>
          </a:r>
        </a:p>
      </xdr:txBody>
    </xdr:sp>
    <xdr:clientData/>
  </xdr:oneCellAnchor>
  <xdr:oneCellAnchor>
    <xdr:from>
      <xdr:col>2</xdr:col>
      <xdr:colOff>314325</xdr:colOff>
      <xdr:row>123</xdr:row>
      <xdr:rowOff>19050</xdr:rowOff>
    </xdr:from>
    <xdr:ext cx="1260423" cy="331235"/>
    <xdr:sp macro="" textlink="">
      <xdr:nvSpPr>
        <xdr:cNvPr id="19" name="TextBox 18">
          <a:extLst>
            <a:ext uri="{FF2B5EF4-FFF2-40B4-BE49-F238E27FC236}">
              <a16:creationId xmlns:a16="http://schemas.microsoft.com/office/drawing/2014/main" id="{00000000-0008-0000-1600-000013000000}"/>
            </a:ext>
          </a:extLst>
        </xdr:cNvPr>
        <xdr:cNvSpPr txBox="1"/>
      </xdr:nvSpPr>
      <xdr:spPr>
        <a:xfrm>
          <a:off x="638175" y="21612225"/>
          <a:ext cx="1260423" cy="331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300" b="0"/>
            <a:t>Upslope berm </a:t>
          </a:r>
        </a:p>
      </xdr:txBody>
    </xdr:sp>
    <xdr:clientData/>
  </xdr:oneCellAnchor>
  <xdr:oneCellAnchor>
    <xdr:from>
      <xdr:col>12</xdr:col>
      <xdr:colOff>51435</xdr:colOff>
      <xdr:row>123</xdr:row>
      <xdr:rowOff>30480</xdr:rowOff>
    </xdr:from>
    <xdr:ext cx="1415415" cy="236220"/>
    <xdr:sp macro="" textlink="">
      <xdr:nvSpPr>
        <xdr:cNvPr id="20" name="TextBox 19">
          <a:extLst>
            <a:ext uri="{FF2B5EF4-FFF2-40B4-BE49-F238E27FC236}">
              <a16:creationId xmlns:a16="http://schemas.microsoft.com/office/drawing/2014/main" id="{00000000-0008-0000-1600-000014000000}"/>
            </a:ext>
          </a:extLst>
        </xdr:cNvPr>
        <xdr:cNvSpPr txBox="1"/>
      </xdr:nvSpPr>
      <xdr:spPr>
        <a:xfrm>
          <a:off x="3994785" y="21623655"/>
          <a:ext cx="1415415" cy="2362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300" b="0"/>
            <a:t>Downslope berm </a:t>
          </a:r>
        </a:p>
      </xdr:txBody>
    </xdr:sp>
    <xdr:clientData/>
  </xdr:oneCellAnchor>
  <xdr:oneCellAnchor>
    <xdr:from>
      <xdr:col>9</xdr:col>
      <xdr:colOff>118110</xdr:colOff>
      <xdr:row>125</xdr:row>
      <xdr:rowOff>137160</xdr:rowOff>
    </xdr:from>
    <xdr:ext cx="1577340" cy="331235"/>
    <xdr:sp macro="" textlink="">
      <xdr:nvSpPr>
        <xdr:cNvPr id="21" name="TextBox 20">
          <a:extLst>
            <a:ext uri="{FF2B5EF4-FFF2-40B4-BE49-F238E27FC236}">
              <a16:creationId xmlns:a16="http://schemas.microsoft.com/office/drawing/2014/main" id="{00000000-0008-0000-1600-000015000000}"/>
            </a:ext>
          </a:extLst>
        </xdr:cNvPr>
        <xdr:cNvSpPr txBox="1"/>
      </xdr:nvSpPr>
      <xdr:spPr>
        <a:xfrm>
          <a:off x="2975610" y="21606510"/>
          <a:ext cx="1577340" cy="331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r>
            <a:rPr lang="en-US" sz="1300" b="0">
              <a:solidFill>
                <a:srgbClr val="0066FF"/>
              </a:solidFill>
            </a:rPr>
            <a:t> </a:t>
          </a:r>
          <a:r>
            <a:rPr lang="en-US" sz="1100" b="0">
              <a:solidFill>
                <a:srgbClr val="0066FF"/>
              </a:solidFill>
            </a:rPr>
            <a:t>Clean sand lift (6.A)</a:t>
          </a:r>
        </a:p>
      </xdr:txBody>
    </xdr:sp>
    <xdr:clientData/>
  </xdr:oneCellAnchor>
  <xdr:oneCellAnchor>
    <xdr:from>
      <xdr:col>9</xdr:col>
      <xdr:colOff>337185</xdr:colOff>
      <xdr:row>119</xdr:row>
      <xdr:rowOff>171450</xdr:rowOff>
    </xdr:from>
    <xdr:ext cx="1392243" cy="283898"/>
    <xdr:sp macro="" textlink="">
      <xdr:nvSpPr>
        <xdr:cNvPr id="22" name="TextBox 21">
          <a:extLst>
            <a:ext uri="{FF2B5EF4-FFF2-40B4-BE49-F238E27FC236}">
              <a16:creationId xmlns:a16="http://schemas.microsoft.com/office/drawing/2014/main" id="{00000000-0008-0000-1600-000016000000}"/>
            </a:ext>
          </a:extLst>
        </xdr:cNvPr>
        <xdr:cNvSpPr txBox="1"/>
      </xdr:nvSpPr>
      <xdr:spPr>
        <a:xfrm>
          <a:off x="3194685" y="21002625"/>
          <a:ext cx="1392243" cy="283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300" b="0"/>
            <a:t>18" cover on top</a:t>
          </a:r>
        </a:p>
      </xdr:txBody>
    </xdr:sp>
    <xdr:clientData/>
  </xdr:oneCellAnchor>
  <xdr:twoCellAnchor>
    <xdr:from>
      <xdr:col>9</xdr:col>
      <xdr:colOff>234315</xdr:colOff>
      <xdr:row>120</xdr:row>
      <xdr:rowOff>171452</xdr:rowOff>
    </xdr:from>
    <xdr:to>
      <xdr:col>10</xdr:col>
      <xdr:colOff>64980</xdr:colOff>
      <xdr:row>122</xdr:row>
      <xdr:rowOff>97292</xdr:rowOff>
    </xdr:to>
    <xdr:cxnSp macro="">
      <xdr:nvCxnSpPr>
        <xdr:cNvPr id="23" name="Curved Connector 22">
          <a:extLst>
            <a:ext uri="{FF2B5EF4-FFF2-40B4-BE49-F238E27FC236}">
              <a16:creationId xmlns:a16="http://schemas.microsoft.com/office/drawing/2014/main" id="{00000000-0008-0000-1600-000017000000}"/>
            </a:ext>
          </a:extLst>
        </xdr:cNvPr>
        <xdr:cNvCxnSpPr/>
      </xdr:nvCxnSpPr>
      <xdr:spPr>
        <a:xfrm rot="5400000">
          <a:off x="3034703" y="21250239"/>
          <a:ext cx="306840" cy="192615"/>
        </a:xfrm>
        <a:prstGeom prst="curvedConnector3">
          <a:avLst>
            <a:gd name="adj1" fmla="val 43792"/>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194310</xdr:colOff>
      <xdr:row>118</xdr:row>
      <xdr:rowOff>38100</xdr:rowOff>
    </xdr:from>
    <xdr:ext cx="1458152" cy="268759"/>
    <xdr:sp macro="" textlink="">
      <xdr:nvSpPr>
        <xdr:cNvPr id="24" name="TextBox 23">
          <a:extLst>
            <a:ext uri="{FF2B5EF4-FFF2-40B4-BE49-F238E27FC236}">
              <a16:creationId xmlns:a16="http://schemas.microsoft.com/office/drawing/2014/main" id="{00000000-0008-0000-1600-000018000000}"/>
            </a:ext>
          </a:extLst>
        </xdr:cNvPr>
        <xdr:cNvSpPr txBox="1"/>
      </xdr:nvSpPr>
      <xdr:spPr>
        <a:xfrm>
          <a:off x="2689860" y="20116800"/>
          <a:ext cx="1458152" cy="2687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300" b="0"/>
            <a:t>4" inspection pipe</a:t>
          </a:r>
        </a:p>
      </xdr:txBody>
    </xdr:sp>
    <xdr:clientData/>
  </xdr:oneCellAnchor>
  <xdr:twoCellAnchor>
    <xdr:from>
      <xdr:col>8</xdr:col>
      <xdr:colOff>118110</xdr:colOff>
      <xdr:row>119</xdr:row>
      <xdr:rowOff>114303</xdr:rowOff>
    </xdr:from>
    <xdr:to>
      <xdr:col>8</xdr:col>
      <xdr:colOff>343451</xdr:colOff>
      <xdr:row>121</xdr:row>
      <xdr:rowOff>47627</xdr:rowOff>
    </xdr:to>
    <xdr:cxnSp macro="">
      <xdr:nvCxnSpPr>
        <xdr:cNvPr id="25" name="Curved Connector 24">
          <a:extLst>
            <a:ext uri="{FF2B5EF4-FFF2-40B4-BE49-F238E27FC236}">
              <a16:creationId xmlns:a16="http://schemas.microsoft.com/office/drawing/2014/main" id="{00000000-0008-0000-1600-000019000000}"/>
            </a:ext>
          </a:extLst>
        </xdr:cNvPr>
        <xdr:cNvCxnSpPr/>
      </xdr:nvCxnSpPr>
      <xdr:spPr>
        <a:xfrm rot="5400000">
          <a:off x="2569169" y="20399419"/>
          <a:ext cx="314324" cy="225341"/>
        </a:xfrm>
        <a:prstGeom prst="curved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142875</xdr:colOff>
      <xdr:row>3</xdr:row>
      <xdr:rowOff>9525</xdr:rowOff>
    </xdr:from>
    <xdr:to>
      <xdr:col>17</xdr:col>
      <xdr:colOff>339725</xdr:colOff>
      <xdr:row>19</xdr:row>
      <xdr:rowOff>133350</xdr:rowOff>
    </xdr:to>
    <xdr:pic>
      <xdr:nvPicPr>
        <xdr:cNvPr id="3003589" name="Picture 25" descr="Table IXa.jpg">
          <a:extLst>
            <a:ext uri="{FF2B5EF4-FFF2-40B4-BE49-F238E27FC236}">
              <a16:creationId xmlns:a16="http://schemas.microsoft.com/office/drawing/2014/main" id="{00000000-0008-0000-1600-0000C5D42D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286125" y="1085850"/>
          <a:ext cx="2657475" cy="2752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xdr:col>
      <xdr:colOff>180974</xdr:colOff>
      <xdr:row>106</xdr:row>
      <xdr:rowOff>120016</xdr:rowOff>
    </xdr:from>
    <xdr:ext cx="1323975" cy="537210"/>
    <xdr:sp macro="" textlink="">
      <xdr:nvSpPr>
        <xdr:cNvPr id="39" name="TextBox 38">
          <a:extLst>
            <a:ext uri="{FF2B5EF4-FFF2-40B4-BE49-F238E27FC236}">
              <a16:creationId xmlns:a16="http://schemas.microsoft.com/office/drawing/2014/main" id="{00000000-0008-0000-1600-000027000000}"/>
            </a:ext>
          </a:extLst>
        </xdr:cNvPr>
        <xdr:cNvSpPr txBox="1"/>
      </xdr:nvSpPr>
      <xdr:spPr>
        <a:xfrm>
          <a:off x="2314574" y="17969866"/>
          <a:ext cx="1323975" cy="53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0">
              <a:solidFill>
                <a:srgbClr val="FF0000"/>
              </a:solidFill>
            </a:rPr>
            <a:t>Dispersal Bed</a:t>
          </a:r>
        </a:p>
        <a:p>
          <a:r>
            <a:rPr lang="en-US" sz="1400" b="0" baseline="0">
              <a:solidFill>
                <a:srgbClr val="FF0000"/>
              </a:solidFill>
            </a:rPr>
            <a:t>         X</a:t>
          </a:r>
          <a:endParaRPr lang="en-US" sz="1400" b="0">
            <a:solidFill>
              <a:srgbClr val="FF0000"/>
            </a:solidFill>
          </a:endParaRPr>
        </a:p>
      </xdr:txBody>
    </xdr:sp>
    <xdr:clientData/>
  </xdr:oneCellAnchor>
  <mc:AlternateContent xmlns:mc="http://schemas.openxmlformats.org/markup-compatibility/2006">
    <mc:Choice xmlns:a14="http://schemas.microsoft.com/office/drawing/2010/main" Requires="a14">
      <xdr:twoCellAnchor>
        <xdr:from>
          <xdr:col>0</xdr:col>
          <xdr:colOff>95251</xdr:colOff>
          <xdr:row>102</xdr:row>
          <xdr:rowOff>0</xdr:rowOff>
        </xdr:from>
        <xdr:to>
          <xdr:col>2</xdr:col>
          <xdr:colOff>38101</xdr:colOff>
          <xdr:row>105</xdr:row>
          <xdr:rowOff>161925</xdr:rowOff>
        </xdr:to>
        <xdr:pic>
          <xdr:nvPicPr>
            <xdr:cNvPr id="3003592" name="TextBox1">
              <a:extLst>
                <a:ext uri="{FF2B5EF4-FFF2-40B4-BE49-F238E27FC236}">
                  <a16:creationId xmlns:a16="http://schemas.microsoft.com/office/drawing/2014/main" id="{00000000-0008-0000-1600-0000C8D42D00}"/>
                </a:ext>
              </a:extLst>
            </xdr:cNvPr>
            <xdr:cNvPicPr preferRelativeResize="0">
              <a:picLocks noChangeArrowheads="1" noChangeShapeType="1"/>
              <a:extLst>
                <a:ext uri="{84589F7E-364E-4C9E-8A38-B11213B215E9}">
                  <a14:cameraTool cellRange="$L$91" spid="_x0000_s5443525"/>
                </a:ext>
              </a:extLst>
            </xdr:cNvPicPr>
          </xdr:nvPicPr>
          <xdr:blipFill>
            <a:blip xmlns:r="http://schemas.openxmlformats.org/officeDocument/2006/relationships" r:embed="rId5"/>
            <a:srcRect/>
            <a:stretch>
              <a:fillRect/>
            </a:stretch>
          </xdr:blipFill>
          <xdr:spPr bwMode="auto">
            <a:xfrm rot="-5400000">
              <a:off x="-138112" y="17321213"/>
              <a:ext cx="73342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109</xdr:row>
          <xdr:rowOff>57150</xdr:rowOff>
        </xdr:from>
        <xdr:to>
          <xdr:col>5</xdr:col>
          <xdr:colOff>238125</xdr:colOff>
          <xdr:row>110</xdr:row>
          <xdr:rowOff>133350</xdr:rowOff>
        </xdr:to>
        <xdr:pic>
          <xdr:nvPicPr>
            <xdr:cNvPr id="3003593" name="Picture 2">
              <a:extLst>
                <a:ext uri="{FF2B5EF4-FFF2-40B4-BE49-F238E27FC236}">
                  <a16:creationId xmlns:a16="http://schemas.microsoft.com/office/drawing/2014/main" id="{00000000-0008-0000-1600-0000C9D42D00}"/>
                </a:ext>
              </a:extLst>
            </xdr:cNvPr>
            <xdr:cNvPicPr preferRelativeResize="0">
              <a:picLocks noChangeArrowheads="1" noChangeShapeType="1"/>
              <a:extLst>
                <a:ext uri="{84589F7E-364E-4C9E-8A38-B11213B215E9}">
                  <a14:cameraTool cellRange="$I$88" spid="_x0000_s5443526"/>
                </a:ext>
              </a:extLst>
            </xdr:cNvPicPr>
          </xdr:nvPicPr>
          <xdr:blipFill>
            <a:blip xmlns:r="http://schemas.openxmlformats.org/officeDocument/2006/relationships" r:embed="rId5"/>
            <a:srcRect/>
            <a:stretch>
              <a:fillRect/>
            </a:stretch>
          </xdr:blipFill>
          <xdr:spPr bwMode="auto">
            <a:xfrm>
              <a:off x="923925" y="19173825"/>
              <a:ext cx="7239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13</xdr:col>
          <xdr:colOff>114300</xdr:colOff>
          <xdr:row>109</xdr:row>
          <xdr:rowOff>47625</xdr:rowOff>
        </xdr:from>
        <xdr:to>
          <xdr:col>15</xdr:col>
          <xdr:colOff>114300</xdr:colOff>
          <xdr:row>110</xdr:row>
          <xdr:rowOff>133350</xdr:rowOff>
        </xdr:to>
        <xdr:pic>
          <xdr:nvPicPr>
            <xdr:cNvPr id="3003594" name="Picture 3">
              <a:extLst>
                <a:ext uri="{FF2B5EF4-FFF2-40B4-BE49-F238E27FC236}">
                  <a16:creationId xmlns:a16="http://schemas.microsoft.com/office/drawing/2014/main" id="{00000000-0008-0000-1600-0000CAD42D00}"/>
                </a:ext>
              </a:extLst>
            </xdr:cNvPr>
            <xdr:cNvPicPr preferRelativeResize="0">
              <a:picLocks noChangeArrowheads="1" noChangeShapeType="1"/>
              <a:extLst>
                <a:ext uri="{84589F7E-364E-4C9E-8A38-B11213B215E9}">
                  <a14:cameraTool cellRange="$I$88" spid="_x0000_s5443527"/>
                </a:ext>
              </a:extLst>
            </xdr:cNvPicPr>
          </xdr:nvPicPr>
          <xdr:blipFill>
            <a:blip xmlns:r="http://schemas.openxmlformats.org/officeDocument/2006/relationships" r:embed="rId5"/>
            <a:srcRect/>
            <a:stretch>
              <a:fillRect/>
            </a:stretch>
          </xdr:blipFill>
          <xdr:spPr bwMode="auto">
            <a:xfrm>
              <a:off x="4419600" y="18468975"/>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104775</xdr:colOff>
          <xdr:row>114</xdr:row>
          <xdr:rowOff>66675</xdr:rowOff>
        </xdr:from>
        <xdr:to>
          <xdr:col>11</xdr:col>
          <xdr:colOff>114300</xdr:colOff>
          <xdr:row>115</xdr:row>
          <xdr:rowOff>133350</xdr:rowOff>
        </xdr:to>
        <xdr:pic>
          <xdr:nvPicPr>
            <xdr:cNvPr id="3003595" name="Picture 4">
              <a:extLst>
                <a:ext uri="{FF2B5EF4-FFF2-40B4-BE49-F238E27FC236}">
                  <a16:creationId xmlns:a16="http://schemas.microsoft.com/office/drawing/2014/main" id="{00000000-0008-0000-1600-0000CBD42D00}"/>
                </a:ext>
              </a:extLst>
            </xdr:cNvPr>
            <xdr:cNvPicPr preferRelativeResize="0">
              <a:picLocks noChangeArrowheads="1" noChangeShapeType="1"/>
              <a:extLst>
                <a:ext uri="{84589F7E-364E-4C9E-8A38-B11213B215E9}">
                  <a14:cameraTool cellRange="$I$88" spid="_x0000_s5443528"/>
                </a:ext>
              </a:extLst>
            </xdr:cNvPicPr>
          </xdr:nvPicPr>
          <xdr:blipFill>
            <a:blip xmlns:r="http://schemas.openxmlformats.org/officeDocument/2006/relationships" r:embed="rId5"/>
            <a:srcRect/>
            <a:stretch>
              <a:fillRect/>
            </a:stretch>
          </xdr:blipFill>
          <xdr:spPr bwMode="auto">
            <a:xfrm>
              <a:off x="2962275" y="19440525"/>
              <a:ext cx="733425" cy="2571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130</xdr:row>
          <xdr:rowOff>133351</xdr:rowOff>
        </xdr:from>
        <xdr:to>
          <xdr:col>8</xdr:col>
          <xdr:colOff>209550</xdr:colOff>
          <xdr:row>131</xdr:row>
          <xdr:rowOff>171451</xdr:rowOff>
        </xdr:to>
        <xdr:pic>
          <xdr:nvPicPr>
            <xdr:cNvPr id="3003596" name="Picture 5">
              <a:extLst>
                <a:ext uri="{FF2B5EF4-FFF2-40B4-BE49-F238E27FC236}">
                  <a16:creationId xmlns:a16="http://schemas.microsoft.com/office/drawing/2014/main" id="{00000000-0008-0000-1600-0000CCD42D00}"/>
                </a:ext>
              </a:extLst>
            </xdr:cNvPr>
            <xdr:cNvPicPr preferRelativeResize="0">
              <a:picLocks noChangeArrowheads="1" noChangeShapeType="1"/>
              <a:extLst>
                <a:ext uri="{84589F7E-364E-4C9E-8A38-B11213B215E9}">
                  <a14:cameraTool cellRange="$J$48" spid="_x0000_s5443529"/>
                </a:ext>
              </a:extLst>
            </xdr:cNvPicPr>
          </xdr:nvPicPr>
          <xdr:blipFill>
            <a:blip xmlns:r="http://schemas.openxmlformats.org/officeDocument/2006/relationships" r:embed="rId5"/>
            <a:srcRect/>
            <a:stretch>
              <a:fillRect/>
            </a:stretch>
          </xdr:blipFill>
          <xdr:spPr bwMode="auto">
            <a:xfrm>
              <a:off x="2171700" y="22555201"/>
              <a:ext cx="5334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12</xdr:col>
          <xdr:colOff>266700</xdr:colOff>
          <xdr:row>122</xdr:row>
          <xdr:rowOff>0</xdr:rowOff>
        </xdr:from>
        <xdr:to>
          <xdr:col>14</xdr:col>
          <xdr:colOff>266700</xdr:colOff>
          <xdr:row>123</xdr:row>
          <xdr:rowOff>85725</xdr:rowOff>
        </xdr:to>
        <xdr:pic>
          <xdr:nvPicPr>
            <xdr:cNvPr id="3003597" name="Picture 6">
              <a:extLst>
                <a:ext uri="{FF2B5EF4-FFF2-40B4-BE49-F238E27FC236}">
                  <a16:creationId xmlns:a16="http://schemas.microsoft.com/office/drawing/2014/main" id="{00000000-0008-0000-1600-0000CDD42D00}"/>
                </a:ext>
              </a:extLst>
            </xdr:cNvPr>
            <xdr:cNvPicPr preferRelativeResize="0">
              <a:picLocks noChangeArrowheads="1" noChangeShapeType="1"/>
              <a:extLst>
                <a:ext uri="{84589F7E-364E-4C9E-8A38-B11213B215E9}">
                  <a14:cameraTool cellRange="$I$88" spid="_x0000_s5443530"/>
                </a:ext>
              </a:extLst>
            </xdr:cNvPicPr>
          </xdr:nvPicPr>
          <xdr:blipFill>
            <a:blip xmlns:r="http://schemas.openxmlformats.org/officeDocument/2006/relationships" r:embed="rId5"/>
            <a:srcRect/>
            <a:stretch>
              <a:fillRect/>
            </a:stretch>
          </xdr:blipFill>
          <xdr:spPr bwMode="auto">
            <a:xfrm>
              <a:off x="4210050" y="20897850"/>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122</xdr:row>
          <xdr:rowOff>9525</xdr:rowOff>
        </xdr:from>
        <xdr:to>
          <xdr:col>5</xdr:col>
          <xdr:colOff>247650</xdr:colOff>
          <xdr:row>123</xdr:row>
          <xdr:rowOff>85725</xdr:rowOff>
        </xdr:to>
        <xdr:pic>
          <xdr:nvPicPr>
            <xdr:cNvPr id="3003598" name="Picture 7">
              <a:extLst>
                <a:ext uri="{FF2B5EF4-FFF2-40B4-BE49-F238E27FC236}">
                  <a16:creationId xmlns:a16="http://schemas.microsoft.com/office/drawing/2014/main" id="{00000000-0008-0000-1600-0000CED42D00}"/>
                </a:ext>
              </a:extLst>
            </xdr:cNvPr>
            <xdr:cNvPicPr preferRelativeResize="0">
              <a:picLocks noChangeArrowheads="1" noChangeShapeType="1"/>
              <a:extLst>
                <a:ext uri="{84589F7E-364E-4C9E-8A38-B11213B215E9}">
                  <a14:cameraTool cellRange="$I$88" spid="_x0000_s5443531"/>
                </a:ext>
              </a:extLst>
            </xdr:cNvPicPr>
          </xdr:nvPicPr>
          <xdr:blipFill>
            <a:blip xmlns:r="http://schemas.openxmlformats.org/officeDocument/2006/relationships" r:embed="rId5"/>
            <a:srcRect/>
            <a:stretch>
              <a:fillRect/>
            </a:stretch>
          </xdr:blipFill>
          <xdr:spPr bwMode="auto">
            <a:xfrm>
              <a:off x="933450" y="21412200"/>
              <a:ext cx="7239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257175</xdr:colOff>
          <xdr:row>125</xdr:row>
          <xdr:rowOff>133350</xdr:rowOff>
        </xdr:from>
        <xdr:to>
          <xdr:col>9</xdr:col>
          <xdr:colOff>257175</xdr:colOff>
          <xdr:row>127</xdr:row>
          <xdr:rowOff>28575</xdr:rowOff>
        </xdr:to>
        <xdr:pic>
          <xdr:nvPicPr>
            <xdr:cNvPr id="3003599" name="Picture 8">
              <a:extLst>
                <a:ext uri="{FF2B5EF4-FFF2-40B4-BE49-F238E27FC236}">
                  <a16:creationId xmlns:a16="http://schemas.microsoft.com/office/drawing/2014/main" id="{00000000-0008-0000-1600-0000CFD42D00}"/>
                </a:ext>
              </a:extLst>
            </xdr:cNvPr>
            <xdr:cNvPicPr preferRelativeResize="0">
              <a:picLocks noChangeArrowheads="1" noChangeShapeType="1"/>
              <a:extLst>
                <a:ext uri="{84589F7E-364E-4C9E-8A38-B11213B215E9}">
                  <a14:cameraTool cellRange="C76" spid="_x0000_s5443532"/>
                </a:ext>
              </a:extLst>
            </xdr:cNvPicPr>
          </xdr:nvPicPr>
          <xdr:blipFill>
            <a:blip xmlns:r="http://schemas.openxmlformats.org/officeDocument/2006/relationships" r:embed="rId6"/>
            <a:srcRect/>
            <a:stretch>
              <a:fillRect/>
            </a:stretch>
          </xdr:blipFill>
          <xdr:spPr bwMode="auto">
            <a:xfrm>
              <a:off x="2390775" y="21602700"/>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127</xdr:row>
          <xdr:rowOff>76200</xdr:rowOff>
        </xdr:from>
        <xdr:to>
          <xdr:col>7</xdr:col>
          <xdr:colOff>0</xdr:colOff>
          <xdr:row>128</xdr:row>
          <xdr:rowOff>161925</xdr:rowOff>
        </xdr:to>
        <xdr:pic>
          <xdr:nvPicPr>
            <xdr:cNvPr id="3003600" name="Picture 9">
              <a:extLst>
                <a:ext uri="{FF2B5EF4-FFF2-40B4-BE49-F238E27FC236}">
                  <a16:creationId xmlns:a16="http://schemas.microsoft.com/office/drawing/2014/main" id="{00000000-0008-0000-1600-0000D0D42D00}"/>
                </a:ext>
              </a:extLst>
            </xdr:cNvPr>
            <xdr:cNvPicPr preferRelativeResize="0">
              <a:picLocks noChangeArrowheads="1" noChangeShapeType="1"/>
              <a:extLst>
                <a:ext uri="{84589F7E-364E-4C9E-8A38-B11213B215E9}">
                  <a14:cameraTool cellRange="$E$73" spid="_x0000_s5443533"/>
                </a:ext>
              </a:extLst>
            </xdr:cNvPicPr>
          </xdr:nvPicPr>
          <xdr:blipFill>
            <a:blip xmlns:r="http://schemas.openxmlformats.org/officeDocument/2006/relationships" r:embed="rId5"/>
            <a:srcRect/>
            <a:stretch>
              <a:fillRect/>
            </a:stretch>
          </xdr:blipFill>
          <xdr:spPr bwMode="auto">
            <a:xfrm>
              <a:off x="1409700" y="21926550"/>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101</xdr:row>
          <xdr:rowOff>171450</xdr:rowOff>
        </xdr:from>
        <xdr:to>
          <xdr:col>9</xdr:col>
          <xdr:colOff>304800</xdr:colOff>
          <xdr:row>105</xdr:row>
          <xdr:rowOff>142875</xdr:rowOff>
        </xdr:to>
        <xdr:pic>
          <xdr:nvPicPr>
            <xdr:cNvPr id="3003601" name="Picture 10">
              <a:extLst>
                <a:ext uri="{FF2B5EF4-FFF2-40B4-BE49-F238E27FC236}">
                  <a16:creationId xmlns:a16="http://schemas.microsoft.com/office/drawing/2014/main" id="{00000000-0008-0000-1600-0000D1D42D00}"/>
                </a:ext>
              </a:extLst>
            </xdr:cNvPr>
            <xdr:cNvPicPr preferRelativeResize="0">
              <a:picLocks noChangeArrowheads="1" noChangeShapeType="1"/>
              <a:extLst>
                <a:ext uri="{84589F7E-364E-4C9E-8A38-B11213B215E9}">
                  <a14:cameraTool cellRange="$I$88" spid="_x0000_s5443534"/>
                </a:ext>
              </a:extLst>
            </xdr:cNvPicPr>
          </xdr:nvPicPr>
          <xdr:blipFill>
            <a:blip xmlns:r="http://schemas.openxmlformats.org/officeDocument/2006/relationships" r:embed="rId5"/>
            <a:srcRect/>
            <a:stretch>
              <a:fillRect/>
            </a:stretch>
          </xdr:blipFill>
          <xdr:spPr bwMode="auto">
            <a:xfrm rot="-5400000">
              <a:off x="2595562" y="18454688"/>
              <a:ext cx="73342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116</xdr:row>
          <xdr:rowOff>114300</xdr:rowOff>
        </xdr:from>
        <xdr:to>
          <xdr:col>12</xdr:col>
          <xdr:colOff>47625</xdr:colOff>
          <xdr:row>118</xdr:row>
          <xdr:rowOff>0</xdr:rowOff>
        </xdr:to>
        <xdr:pic>
          <xdr:nvPicPr>
            <xdr:cNvPr id="3003602" name="Picture 11">
              <a:extLst>
                <a:ext uri="{FF2B5EF4-FFF2-40B4-BE49-F238E27FC236}">
                  <a16:creationId xmlns:a16="http://schemas.microsoft.com/office/drawing/2014/main" id="{00000000-0008-0000-1600-0000D2D42D00}"/>
                </a:ext>
              </a:extLst>
            </xdr:cNvPr>
            <xdr:cNvPicPr preferRelativeResize="0">
              <a:picLocks noChangeArrowheads="1" noChangeShapeType="1"/>
              <a:extLst>
                <a:ext uri="{84589F7E-364E-4C9E-8A38-B11213B215E9}">
                  <a14:cameraTool cellRange="$L$94" spid="_x0000_s5443535"/>
                </a:ext>
              </a:extLst>
            </xdr:cNvPicPr>
          </xdr:nvPicPr>
          <xdr:blipFill>
            <a:blip xmlns:r="http://schemas.openxmlformats.org/officeDocument/2006/relationships" r:embed="rId5"/>
            <a:srcRect/>
            <a:stretch>
              <a:fillRect/>
            </a:stretch>
          </xdr:blipFill>
          <xdr:spPr bwMode="auto">
            <a:xfrm>
              <a:off x="3267075" y="19869150"/>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9</xdr:col>
      <xdr:colOff>180975</xdr:colOff>
      <xdr:row>108</xdr:row>
      <xdr:rowOff>9525</xdr:rowOff>
    </xdr:from>
    <xdr:to>
      <xdr:col>11</xdr:col>
      <xdr:colOff>180975</xdr:colOff>
      <xdr:row>109</xdr:row>
      <xdr:rowOff>75057</xdr:rowOff>
    </xdr:to>
    <xdr:sp macro="" textlink="$F$94">
      <xdr:nvSpPr>
        <xdr:cNvPr id="2" name="TextBox 1">
          <a:extLst>
            <a:ext uri="{FF2B5EF4-FFF2-40B4-BE49-F238E27FC236}">
              <a16:creationId xmlns:a16="http://schemas.microsoft.com/office/drawing/2014/main" id="{00000000-0008-0000-1600-000002000000}"/>
            </a:ext>
          </a:extLst>
        </xdr:cNvPr>
        <xdr:cNvSpPr txBox="1"/>
      </xdr:nvSpPr>
      <xdr:spPr>
        <a:xfrm>
          <a:off x="3038475" y="18935700"/>
          <a:ext cx="723900" cy="256032"/>
        </a:xfrm>
        <a:prstGeom prst="rect">
          <a:avLst/>
        </a:prstGeom>
        <a:solidFill>
          <a:schemeClr val="accent5">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FA133321-4A46-40A4-8128-0F7E41F6F9E6}" type="TxLink">
            <a:rPr lang="en-US" sz="1000" b="0" i="0" u="none" strike="noStrike">
              <a:solidFill>
                <a:srgbClr val="000000"/>
              </a:solidFill>
              <a:latin typeface="Trebuchet MS"/>
            </a:rPr>
            <a:pPr algn="ctr"/>
            <a:t> </a:t>
          </a:fld>
          <a:endParaRPr lang="en-US" sz="1100"/>
        </a:p>
      </xdr:txBody>
    </xdr:sp>
    <xdr:clientData/>
  </xdr:twoCellAnchor>
  <xdr:twoCellAnchor editAs="oneCell">
    <xdr:from>
      <xdr:col>12</xdr:col>
      <xdr:colOff>314325</xdr:colOff>
      <xdr:row>0</xdr:row>
      <xdr:rowOff>142875</xdr:rowOff>
    </xdr:from>
    <xdr:to>
      <xdr:col>17</xdr:col>
      <xdr:colOff>339199</xdr:colOff>
      <xdr:row>0</xdr:row>
      <xdr:rowOff>701040</xdr:rowOff>
    </xdr:to>
    <xdr:pic>
      <xdr:nvPicPr>
        <xdr:cNvPr id="40" name="Picture 39">
          <a:extLst>
            <a:ext uri="{FF2B5EF4-FFF2-40B4-BE49-F238E27FC236}">
              <a16:creationId xmlns:a16="http://schemas.microsoft.com/office/drawing/2014/main" id="{00000000-0008-0000-1600-00002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162425" y="142875"/>
          <a:ext cx="1786999" cy="548640"/>
        </a:xfrm>
        <a:prstGeom prst="rect">
          <a:avLst/>
        </a:prstGeom>
      </xdr:spPr>
    </xdr:pic>
    <xdr:clientData/>
  </xdr:twoCellAnchor>
  <xdr:twoCellAnchor editAs="oneCell">
    <xdr:from>
      <xdr:col>0</xdr:col>
      <xdr:colOff>19050</xdr:colOff>
      <xdr:row>0</xdr:row>
      <xdr:rowOff>133350</xdr:rowOff>
    </xdr:from>
    <xdr:to>
      <xdr:col>5</xdr:col>
      <xdr:colOff>19050</xdr:colOff>
      <xdr:row>0</xdr:row>
      <xdr:rowOff>681990</xdr:rowOff>
    </xdr:to>
    <xdr:pic>
      <xdr:nvPicPr>
        <xdr:cNvPr id="41" name="Picture 40">
          <a:extLst>
            <a:ext uri="{FF2B5EF4-FFF2-40B4-BE49-F238E27FC236}">
              <a16:creationId xmlns:a16="http://schemas.microsoft.com/office/drawing/2014/main" id="{00000000-0008-0000-1600-00002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9050" y="133350"/>
          <a:ext cx="1409700" cy="548640"/>
        </a:xfrm>
        <a:prstGeom prst="rect">
          <a:avLst/>
        </a:prstGeom>
      </xdr:spPr>
    </xdr:pic>
    <xdr:clientData/>
  </xdr:twoCellAnchor>
  <xdr:twoCellAnchor>
    <xdr:from>
      <xdr:col>6</xdr:col>
      <xdr:colOff>95250</xdr:colOff>
      <xdr:row>108</xdr:row>
      <xdr:rowOff>20955</xdr:rowOff>
    </xdr:from>
    <xdr:to>
      <xdr:col>8</xdr:col>
      <xdr:colOff>95250</xdr:colOff>
      <xdr:row>109</xdr:row>
      <xdr:rowOff>86487</xdr:rowOff>
    </xdr:to>
    <xdr:sp macro="" textlink="$H$37">
      <xdr:nvSpPr>
        <xdr:cNvPr id="38" name="TextBox 37">
          <a:extLst>
            <a:ext uri="{FF2B5EF4-FFF2-40B4-BE49-F238E27FC236}">
              <a16:creationId xmlns:a16="http://schemas.microsoft.com/office/drawing/2014/main" id="{00000000-0008-0000-1600-000026000000}"/>
            </a:ext>
          </a:extLst>
        </xdr:cNvPr>
        <xdr:cNvSpPr txBox="1"/>
      </xdr:nvSpPr>
      <xdr:spPr>
        <a:xfrm>
          <a:off x="1866900" y="18251805"/>
          <a:ext cx="723900" cy="256032"/>
        </a:xfrm>
        <a:prstGeom prst="rect">
          <a:avLst/>
        </a:prstGeom>
        <a:solidFill>
          <a:schemeClr val="accent5">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F6A9209F-BA89-4785-9FA1-F8386C5CE879}" type="TxLink">
            <a:rPr lang="en-US" sz="1000" b="0" i="0" u="none" strike="noStrike">
              <a:solidFill>
                <a:srgbClr val="000000"/>
              </a:solidFill>
              <a:latin typeface="Trebuchet MS"/>
            </a:rPr>
            <a:pPr algn="ctr"/>
            <a:t> </a:t>
          </a:fld>
          <a:endParaRPr lang="en-US" sz="1100"/>
        </a:p>
      </xdr:txBody>
    </xdr:sp>
    <xdr:clientData/>
  </xdr:twoCellAnchor>
  <xdr:twoCellAnchor>
    <xdr:from>
      <xdr:col>5</xdr:col>
      <xdr:colOff>333375</xdr:colOff>
      <xdr:row>109</xdr:row>
      <xdr:rowOff>95250</xdr:rowOff>
    </xdr:from>
    <xdr:to>
      <xdr:col>9</xdr:col>
      <xdr:colOff>342900</xdr:colOff>
      <xdr:row>110</xdr:row>
      <xdr:rowOff>161925</xdr:rowOff>
    </xdr:to>
    <xdr:sp macro="" textlink="">
      <xdr:nvSpPr>
        <xdr:cNvPr id="3" name="TextBox 2">
          <a:extLst>
            <a:ext uri="{FF2B5EF4-FFF2-40B4-BE49-F238E27FC236}">
              <a16:creationId xmlns:a16="http://schemas.microsoft.com/office/drawing/2014/main" id="{00000000-0008-0000-1600-000003000000}"/>
            </a:ext>
          </a:extLst>
        </xdr:cNvPr>
        <xdr:cNvSpPr txBox="1"/>
      </xdr:nvSpPr>
      <xdr:spPr>
        <a:xfrm>
          <a:off x="1743075" y="18516600"/>
          <a:ext cx="1457325" cy="25717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solidFill>
                <a:srgbClr val="FF0000"/>
              </a:solidFill>
            </a:rPr>
            <a:t>Distribution</a:t>
          </a:r>
          <a:r>
            <a:rPr lang="en-US" sz="1400"/>
            <a:t> </a:t>
          </a:r>
          <a:r>
            <a:rPr lang="en-US" sz="1400">
              <a:solidFill>
                <a:srgbClr val="FF0000"/>
              </a:solidFill>
            </a:rPr>
            <a:t>Area</a:t>
          </a:r>
        </a:p>
      </xdr:txBody>
    </xdr:sp>
    <xdr:clientData/>
  </xdr:twoCellAnchor>
  <xdr:twoCellAnchor>
    <xdr:from>
      <xdr:col>9</xdr:col>
      <xdr:colOff>342900</xdr:colOff>
      <xdr:row>109</xdr:row>
      <xdr:rowOff>95250</xdr:rowOff>
    </xdr:from>
    <xdr:to>
      <xdr:col>11</xdr:col>
      <xdr:colOff>152400</xdr:colOff>
      <xdr:row>110</xdr:row>
      <xdr:rowOff>171450</xdr:rowOff>
    </xdr:to>
    <xdr:sp macro="" textlink="K111">
      <xdr:nvSpPr>
        <xdr:cNvPr id="4" name="Rectangle 3">
          <a:extLst>
            <a:ext uri="{FF2B5EF4-FFF2-40B4-BE49-F238E27FC236}">
              <a16:creationId xmlns:a16="http://schemas.microsoft.com/office/drawing/2014/main" id="{00000000-0008-0000-1600-000004000000}"/>
            </a:ext>
          </a:extLst>
        </xdr:cNvPr>
        <xdr:cNvSpPr/>
      </xdr:nvSpPr>
      <xdr:spPr>
        <a:xfrm>
          <a:off x="3200400" y="18516600"/>
          <a:ext cx="533400" cy="266700"/>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rtlCol="0" anchor="ctr" anchorCtr="1"/>
        <a:lstStyle/>
        <a:p>
          <a:pPr algn="l"/>
          <a:fld id="{DA546E71-B789-40B6-BBFC-13A89B25A2AD}" type="TxLink">
            <a:rPr lang="en-US" sz="1000" b="0" i="0" u="none" strike="noStrike">
              <a:solidFill>
                <a:srgbClr val="000000"/>
              </a:solidFill>
              <a:latin typeface="Trebuchet MS"/>
            </a:rPr>
            <a:pPr algn="l"/>
            <a:t> </a:t>
          </a:fld>
          <a:endParaRPr lang="en-US" sz="1100"/>
        </a:p>
      </xdr:txBody>
    </xdr:sp>
    <xdr:clientData/>
  </xdr:twoCellAnchor>
  <xdr:oneCellAnchor>
    <xdr:from>
      <xdr:col>11</xdr:col>
      <xdr:colOff>142876</xdr:colOff>
      <xdr:row>109</xdr:row>
      <xdr:rowOff>85725</xdr:rowOff>
    </xdr:from>
    <xdr:ext cx="523874" cy="311496"/>
    <xdr:sp macro="" textlink="">
      <xdr:nvSpPr>
        <xdr:cNvPr id="5" name="TextBox 4">
          <a:extLst>
            <a:ext uri="{FF2B5EF4-FFF2-40B4-BE49-F238E27FC236}">
              <a16:creationId xmlns:a16="http://schemas.microsoft.com/office/drawing/2014/main" id="{00000000-0008-0000-1600-000005000000}"/>
            </a:ext>
          </a:extLst>
        </xdr:cNvPr>
        <xdr:cNvSpPr txBox="1"/>
      </xdr:nvSpPr>
      <xdr:spPr>
        <a:xfrm>
          <a:off x="3724276" y="18449925"/>
          <a:ext cx="523874"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aseline="0">
              <a:solidFill>
                <a:srgbClr val="FF0000"/>
              </a:solidFill>
            </a:rPr>
            <a:t>sq.ft</a:t>
          </a:r>
          <a:endParaRPr lang="en-US" sz="1400" baseline="30000">
            <a:solidFill>
              <a:srgbClr val="FF0000"/>
            </a:solidFill>
          </a:endParaRPr>
        </a:p>
      </xdr:txBody>
    </xdr:sp>
    <xdr:clientData/>
  </xdr:oneCellAnchor>
  <xdr:twoCellAnchor editAs="oneCell">
    <xdr:from>
      <xdr:col>19</xdr:col>
      <xdr:colOff>63500</xdr:colOff>
      <xdr:row>0</xdr:row>
      <xdr:rowOff>217593</xdr:rowOff>
    </xdr:from>
    <xdr:to>
      <xdr:col>35</xdr:col>
      <xdr:colOff>31749</xdr:colOff>
      <xdr:row>37</xdr:row>
      <xdr:rowOff>57882</xdr:rowOff>
    </xdr:to>
    <xdr:pic>
      <xdr:nvPicPr>
        <xdr:cNvPr id="6" name="Picture 5">
          <a:extLst>
            <a:ext uri="{FF2B5EF4-FFF2-40B4-BE49-F238E27FC236}">
              <a16:creationId xmlns:a16="http://schemas.microsoft.com/office/drawing/2014/main" id="{062DC380-DCFB-8E10-1BA8-DB69968AFA15}"/>
            </a:ext>
          </a:extLst>
        </xdr:cNvPr>
        <xdr:cNvPicPr>
          <a:picLocks noChangeAspect="1"/>
        </xdr:cNvPicPr>
      </xdr:nvPicPr>
      <xdr:blipFill>
        <a:blip xmlns:r="http://schemas.openxmlformats.org/officeDocument/2006/relationships" r:embed="rId9"/>
        <a:stretch>
          <a:fillRect/>
        </a:stretch>
      </xdr:blipFill>
      <xdr:spPr>
        <a:xfrm>
          <a:off x="6297083" y="217593"/>
          <a:ext cx="5598583" cy="674062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102</xdr:row>
      <xdr:rowOff>19049</xdr:rowOff>
    </xdr:from>
    <xdr:to>
      <xdr:col>17</xdr:col>
      <xdr:colOff>325046</xdr:colOff>
      <xdr:row>125</xdr:row>
      <xdr:rowOff>133350</xdr:rowOff>
    </xdr:to>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9516724"/>
          <a:ext cx="6068621" cy="4305301"/>
        </a:xfrm>
        <a:prstGeom prst="rect">
          <a:avLst/>
        </a:prstGeom>
      </xdr:spPr>
    </xdr:pic>
    <xdr:clientData/>
  </xdr:twoCellAnchor>
  <xdr:twoCellAnchor editAs="oneCell">
    <xdr:from>
      <xdr:col>0</xdr:col>
      <xdr:colOff>76200</xdr:colOff>
      <xdr:row>124</xdr:row>
      <xdr:rowOff>67640</xdr:rowOff>
    </xdr:from>
    <xdr:to>
      <xdr:col>18</xdr:col>
      <xdr:colOff>161236</xdr:colOff>
      <xdr:row>137</xdr:row>
      <xdr:rowOff>57150</xdr:rowOff>
    </xdr:to>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00" y="22908590"/>
          <a:ext cx="6200086" cy="2418385"/>
        </a:xfrm>
        <a:prstGeom prst="rect">
          <a:avLst/>
        </a:prstGeom>
      </xdr:spPr>
    </xdr:pic>
    <xdr:clientData/>
  </xdr:twoCellAnchor>
  <xdr:twoCellAnchor editAs="oneCell">
    <xdr:from>
      <xdr:col>1</xdr:col>
      <xdr:colOff>69850</xdr:colOff>
      <xdr:row>14</xdr:row>
      <xdr:rowOff>19050</xdr:rowOff>
    </xdr:from>
    <xdr:to>
      <xdr:col>9</xdr:col>
      <xdr:colOff>247650</xdr:colOff>
      <xdr:row>22</xdr:row>
      <xdr:rowOff>19050</xdr:rowOff>
    </xdr:to>
    <xdr:pic>
      <xdr:nvPicPr>
        <xdr:cNvPr id="2998849" name="Picture 471">
          <a:extLst>
            <a:ext uri="{FF2B5EF4-FFF2-40B4-BE49-F238E27FC236}">
              <a16:creationId xmlns:a16="http://schemas.microsoft.com/office/drawing/2014/main" id="{00000000-0008-0000-1700-000041C22D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b="2023"/>
        <a:stretch>
          <a:fillRect/>
        </a:stretch>
      </xdr:blipFill>
      <xdr:spPr bwMode="auto">
        <a:xfrm>
          <a:off x="234950" y="2774950"/>
          <a:ext cx="28765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266700</xdr:colOff>
      <xdr:row>91</xdr:row>
      <xdr:rowOff>76200</xdr:rowOff>
    </xdr:from>
    <xdr:to>
      <xdr:col>43</xdr:col>
      <xdr:colOff>342900</xdr:colOff>
      <xdr:row>115</xdr:row>
      <xdr:rowOff>0</xdr:rowOff>
    </xdr:to>
    <xdr:sp macro="" textlink="">
      <xdr:nvSpPr>
        <xdr:cNvPr id="2998851" name="AutoShape 3136">
          <a:extLst>
            <a:ext uri="{FF2B5EF4-FFF2-40B4-BE49-F238E27FC236}">
              <a16:creationId xmlns:a16="http://schemas.microsoft.com/office/drawing/2014/main" id="{00000000-0008-0000-1700-000043C22D00}"/>
            </a:ext>
          </a:extLst>
        </xdr:cNvPr>
        <xdr:cNvSpPr>
          <a:spLocks noChangeAspect="1" noChangeArrowheads="1"/>
        </xdr:cNvSpPr>
      </xdr:nvSpPr>
      <xdr:spPr bwMode="auto">
        <a:xfrm>
          <a:off x="10134600" y="17402175"/>
          <a:ext cx="6572250" cy="450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142875</xdr:colOff>
      <xdr:row>3</xdr:row>
      <xdr:rowOff>9525</xdr:rowOff>
    </xdr:from>
    <xdr:to>
      <xdr:col>18</xdr:col>
      <xdr:colOff>123825</xdr:colOff>
      <xdr:row>20</xdr:row>
      <xdr:rowOff>95250</xdr:rowOff>
    </xdr:to>
    <xdr:pic>
      <xdr:nvPicPr>
        <xdr:cNvPr id="2998852" name="Picture 9" descr="Table IXa.jpg">
          <a:extLst>
            <a:ext uri="{FF2B5EF4-FFF2-40B4-BE49-F238E27FC236}">
              <a16:creationId xmlns:a16="http://schemas.microsoft.com/office/drawing/2014/main" id="{00000000-0008-0000-1700-000044C22D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305175" y="1085850"/>
          <a:ext cx="2800350" cy="2905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285750</xdr:colOff>
          <xdr:row>106</xdr:row>
          <xdr:rowOff>114300</xdr:rowOff>
        </xdr:from>
        <xdr:to>
          <xdr:col>9</xdr:col>
          <xdr:colOff>285750</xdr:colOff>
          <xdr:row>108</xdr:row>
          <xdr:rowOff>9525</xdr:rowOff>
        </xdr:to>
        <xdr:pic>
          <xdr:nvPicPr>
            <xdr:cNvPr id="2998854" name="Picture 4">
              <a:extLst>
                <a:ext uri="{FF2B5EF4-FFF2-40B4-BE49-F238E27FC236}">
                  <a16:creationId xmlns:a16="http://schemas.microsoft.com/office/drawing/2014/main" id="{00000000-0008-0000-1700-000046C22D00}"/>
                </a:ext>
              </a:extLst>
            </xdr:cNvPr>
            <xdr:cNvPicPr preferRelativeResize="0">
              <a:picLocks noChangeArrowheads="1" noChangeShapeType="1"/>
              <a:extLst>
                <a:ext uri="{84589F7E-364E-4C9E-8A38-B11213B215E9}">
                  <a14:cameraTool cellRange="N77" spid="_x0000_s5597248"/>
                </a:ext>
              </a:extLst>
            </xdr:cNvPicPr>
          </xdr:nvPicPr>
          <xdr:blipFill>
            <a:blip xmlns:r="http://schemas.openxmlformats.org/officeDocument/2006/relationships" r:embed="rId5"/>
            <a:srcRect/>
            <a:stretch>
              <a:fillRect/>
            </a:stretch>
          </xdr:blipFill>
          <xdr:spPr bwMode="auto">
            <a:xfrm>
              <a:off x="2438400" y="20459700"/>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111</xdr:row>
          <xdr:rowOff>142875</xdr:rowOff>
        </xdr:from>
        <xdr:to>
          <xdr:col>17</xdr:col>
          <xdr:colOff>9525</xdr:colOff>
          <xdr:row>113</xdr:row>
          <xdr:rowOff>38100</xdr:rowOff>
        </xdr:to>
        <xdr:pic>
          <xdr:nvPicPr>
            <xdr:cNvPr id="2998855" name="Picture 5">
              <a:extLst>
                <a:ext uri="{FF2B5EF4-FFF2-40B4-BE49-F238E27FC236}">
                  <a16:creationId xmlns:a16="http://schemas.microsoft.com/office/drawing/2014/main" id="{00000000-0008-0000-1700-000047C22D00}"/>
                </a:ext>
              </a:extLst>
            </xdr:cNvPr>
            <xdr:cNvPicPr preferRelativeResize="0">
              <a:picLocks noChangeArrowheads="1" noChangeShapeType="1"/>
              <a:extLst>
                <a:ext uri="{84589F7E-364E-4C9E-8A38-B11213B215E9}">
                  <a14:cameraTool cellRange="N96" spid="_x0000_s5597249"/>
                </a:ext>
              </a:extLst>
            </xdr:cNvPicPr>
          </xdr:nvPicPr>
          <xdr:blipFill>
            <a:blip xmlns:r="http://schemas.openxmlformats.org/officeDocument/2006/relationships" r:embed="rId5"/>
            <a:srcRect/>
            <a:stretch>
              <a:fillRect/>
            </a:stretch>
          </xdr:blipFill>
          <xdr:spPr bwMode="auto">
            <a:xfrm>
              <a:off x="5038725" y="20507325"/>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111</xdr:row>
          <xdr:rowOff>142875</xdr:rowOff>
        </xdr:from>
        <xdr:to>
          <xdr:col>5</xdr:col>
          <xdr:colOff>47625</xdr:colOff>
          <xdr:row>113</xdr:row>
          <xdr:rowOff>38100</xdr:rowOff>
        </xdr:to>
        <xdr:pic>
          <xdr:nvPicPr>
            <xdr:cNvPr id="2998856" name="Picture 6">
              <a:extLst>
                <a:ext uri="{FF2B5EF4-FFF2-40B4-BE49-F238E27FC236}">
                  <a16:creationId xmlns:a16="http://schemas.microsoft.com/office/drawing/2014/main" id="{00000000-0008-0000-1700-000048C22D00}"/>
                </a:ext>
              </a:extLst>
            </xdr:cNvPr>
            <xdr:cNvPicPr preferRelativeResize="0">
              <a:picLocks noChangeArrowheads="1" noChangeShapeType="1"/>
              <a:extLst>
                <a:ext uri="{84589F7E-364E-4C9E-8A38-B11213B215E9}">
                  <a14:cameraTool cellRange="N96" spid="_x0000_s5597250"/>
                </a:ext>
              </a:extLst>
            </xdr:cNvPicPr>
          </xdr:nvPicPr>
          <xdr:blipFill>
            <a:blip xmlns:r="http://schemas.openxmlformats.org/officeDocument/2006/relationships" r:embed="rId5"/>
            <a:srcRect/>
            <a:stretch>
              <a:fillRect/>
            </a:stretch>
          </xdr:blipFill>
          <xdr:spPr bwMode="auto">
            <a:xfrm>
              <a:off x="733425" y="20507325"/>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266700</xdr:colOff>
          <xdr:row>114</xdr:row>
          <xdr:rowOff>133350</xdr:rowOff>
        </xdr:from>
        <xdr:to>
          <xdr:col>9</xdr:col>
          <xdr:colOff>266700</xdr:colOff>
          <xdr:row>116</xdr:row>
          <xdr:rowOff>28575</xdr:rowOff>
        </xdr:to>
        <xdr:pic>
          <xdr:nvPicPr>
            <xdr:cNvPr id="2998857" name="Picture 7">
              <a:extLst>
                <a:ext uri="{FF2B5EF4-FFF2-40B4-BE49-F238E27FC236}">
                  <a16:creationId xmlns:a16="http://schemas.microsoft.com/office/drawing/2014/main" id="{00000000-0008-0000-1700-000049C22D00}"/>
                </a:ext>
              </a:extLst>
            </xdr:cNvPr>
            <xdr:cNvPicPr preferRelativeResize="0">
              <a:picLocks noChangeArrowheads="1" noChangeShapeType="1"/>
              <a:extLst>
                <a:ext uri="{84589F7E-364E-4C9E-8A38-B11213B215E9}">
                  <a14:cameraTool cellRange="K92" spid="_x0000_s5597251"/>
                </a:ext>
              </a:extLst>
            </xdr:cNvPicPr>
          </xdr:nvPicPr>
          <xdr:blipFill>
            <a:blip xmlns:r="http://schemas.openxmlformats.org/officeDocument/2006/relationships" r:embed="rId5"/>
            <a:srcRect/>
            <a:stretch>
              <a:fillRect/>
            </a:stretch>
          </xdr:blipFill>
          <xdr:spPr bwMode="auto">
            <a:xfrm>
              <a:off x="2419350" y="21802725"/>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247650</xdr:colOff>
          <xdr:row>110</xdr:row>
          <xdr:rowOff>38100</xdr:rowOff>
        </xdr:from>
        <xdr:to>
          <xdr:col>11</xdr:col>
          <xdr:colOff>247650</xdr:colOff>
          <xdr:row>111</xdr:row>
          <xdr:rowOff>123825</xdr:rowOff>
        </xdr:to>
        <xdr:pic>
          <xdr:nvPicPr>
            <xdr:cNvPr id="2998859" name="Picture 9">
              <a:extLst>
                <a:ext uri="{FF2B5EF4-FFF2-40B4-BE49-F238E27FC236}">
                  <a16:creationId xmlns:a16="http://schemas.microsoft.com/office/drawing/2014/main" id="{00000000-0008-0000-1700-00004BC22D00}"/>
                </a:ext>
              </a:extLst>
            </xdr:cNvPr>
            <xdr:cNvPicPr preferRelativeResize="0">
              <a:picLocks noChangeArrowheads="1" noChangeShapeType="1"/>
              <a:extLst>
                <a:ext uri="{84589F7E-364E-4C9E-8A38-B11213B215E9}">
                  <a14:cameraTool cellRange="$J$100" spid="_x0000_s5597252"/>
                </a:ext>
              </a:extLst>
            </xdr:cNvPicPr>
          </xdr:nvPicPr>
          <xdr:blipFill>
            <a:blip xmlns:r="http://schemas.openxmlformats.org/officeDocument/2006/relationships" r:embed="rId5"/>
            <a:srcRect/>
            <a:stretch>
              <a:fillRect/>
            </a:stretch>
          </xdr:blipFill>
          <xdr:spPr bwMode="auto">
            <a:xfrm>
              <a:off x="3105150" y="20364450"/>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10</xdr:col>
          <xdr:colOff>219075</xdr:colOff>
          <xdr:row>122</xdr:row>
          <xdr:rowOff>0</xdr:rowOff>
        </xdr:from>
        <xdr:to>
          <xdr:col>12</xdr:col>
          <xdr:colOff>219075</xdr:colOff>
          <xdr:row>123</xdr:row>
          <xdr:rowOff>85725</xdr:rowOff>
        </xdr:to>
        <xdr:pic>
          <xdr:nvPicPr>
            <xdr:cNvPr id="2998860" name="Picture 10">
              <a:extLst>
                <a:ext uri="{FF2B5EF4-FFF2-40B4-BE49-F238E27FC236}">
                  <a16:creationId xmlns:a16="http://schemas.microsoft.com/office/drawing/2014/main" id="{00000000-0008-0000-1700-00004CC22D00}"/>
                </a:ext>
              </a:extLst>
            </xdr:cNvPr>
            <xdr:cNvPicPr preferRelativeResize="0">
              <a:picLocks noChangeArrowheads="1" noChangeShapeType="1"/>
              <a:extLst>
                <a:ext uri="{84589F7E-364E-4C9E-8A38-B11213B215E9}">
                  <a14:cameraTool cellRange="P100" spid="_x0000_s5597253"/>
                </a:ext>
              </a:extLst>
            </xdr:cNvPicPr>
          </xdr:nvPicPr>
          <xdr:blipFill>
            <a:blip xmlns:r="http://schemas.openxmlformats.org/officeDocument/2006/relationships" r:embed="rId5"/>
            <a:srcRect/>
            <a:stretch>
              <a:fillRect/>
            </a:stretch>
          </xdr:blipFill>
          <xdr:spPr bwMode="auto">
            <a:xfrm>
              <a:off x="3438525" y="22459950"/>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111</xdr:row>
          <xdr:rowOff>142875</xdr:rowOff>
        </xdr:from>
        <xdr:to>
          <xdr:col>2</xdr:col>
          <xdr:colOff>333375</xdr:colOff>
          <xdr:row>115</xdr:row>
          <xdr:rowOff>114300</xdr:rowOff>
        </xdr:to>
        <xdr:pic>
          <xdr:nvPicPr>
            <xdr:cNvPr id="2998861" name="Picture 11">
              <a:extLst>
                <a:ext uri="{FF2B5EF4-FFF2-40B4-BE49-F238E27FC236}">
                  <a16:creationId xmlns:a16="http://schemas.microsoft.com/office/drawing/2014/main" id="{00000000-0008-0000-1700-00004DC22D00}"/>
                </a:ext>
              </a:extLst>
            </xdr:cNvPr>
            <xdr:cNvPicPr preferRelativeResize="0">
              <a:picLocks noChangeArrowheads="1" noChangeShapeType="1"/>
              <a:extLst>
                <a:ext uri="{84589F7E-364E-4C9E-8A38-B11213B215E9}">
                  <a14:cameraTool cellRange="P98" spid="_x0000_s5597254"/>
                </a:ext>
              </a:extLst>
            </xdr:cNvPicPr>
          </xdr:nvPicPr>
          <xdr:blipFill>
            <a:blip xmlns:r="http://schemas.openxmlformats.org/officeDocument/2006/relationships" r:embed="rId5"/>
            <a:srcRect/>
            <a:stretch>
              <a:fillRect/>
            </a:stretch>
          </xdr:blipFill>
          <xdr:spPr bwMode="auto">
            <a:xfrm rot="-5400000">
              <a:off x="180975" y="21678900"/>
              <a:ext cx="733425" cy="2571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128</xdr:row>
          <xdr:rowOff>85725</xdr:rowOff>
        </xdr:from>
        <xdr:to>
          <xdr:col>5</xdr:col>
          <xdr:colOff>38100</xdr:colOff>
          <xdr:row>129</xdr:row>
          <xdr:rowOff>171450</xdr:rowOff>
        </xdr:to>
        <xdr:pic>
          <xdr:nvPicPr>
            <xdr:cNvPr id="2998862" name="TextBox1">
              <a:extLst>
                <a:ext uri="{FF2B5EF4-FFF2-40B4-BE49-F238E27FC236}">
                  <a16:creationId xmlns:a16="http://schemas.microsoft.com/office/drawing/2014/main" id="{00000000-0008-0000-1700-00004EC22D00}"/>
                </a:ext>
              </a:extLst>
            </xdr:cNvPr>
            <xdr:cNvPicPr preferRelativeResize="0">
              <a:picLocks noChangeArrowheads="1" noChangeShapeType="1"/>
              <a:extLst>
                <a:ext uri="{84589F7E-364E-4C9E-8A38-B11213B215E9}">
                  <a14:cameraTool cellRange="N77" spid="_x0000_s5597255"/>
                </a:ext>
              </a:extLst>
            </xdr:cNvPicPr>
          </xdr:nvPicPr>
          <xdr:blipFill>
            <a:blip xmlns:r="http://schemas.openxmlformats.org/officeDocument/2006/relationships" r:embed="rId5"/>
            <a:srcRect/>
            <a:stretch>
              <a:fillRect/>
            </a:stretch>
          </xdr:blipFill>
          <xdr:spPr bwMode="auto">
            <a:xfrm>
              <a:off x="742950" y="24622125"/>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128</xdr:row>
          <xdr:rowOff>85725</xdr:rowOff>
        </xdr:from>
        <xdr:to>
          <xdr:col>14</xdr:col>
          <xdr:colOff>104775</xdr:colOff>
          <xdr:row>129</xdr:row>
          <xdr:rowOff>171450</xdr:rowOff>
        </xdr:to>
        <xdr:pic>
          <xdr:nvPicPr>
            <xdr:cNvPr id="2998863" name="Picture 13">
              <a:extLst>
                <a:ext uri="{FF2B5EF4-FFF2-40B4-BE49-F238E27FC236}">
                  <a16:creationId xmlns:a16="http://schemas.microsoft.com/office/drawing/2014/main" id="{00000000-0008-0000-1700-00004FC22D00}"/>
                </a:ext>
              </a:extLst>
            </xdr:cNvPr>
            <xdr:cNvPicPr preferRelativeResize="0">
              <a:picLocks noChangeArrowheads="1" noChangeShapeType="1"/>
              <a:extLst>
                <a:ext uri="{84589F7E-364E-4C9E-8A38-B11213B215E9}">
                  <a14:cameraTool cellRange="K92" spid="_x0000_s5597256"/>
                </a:ext>
              </a:extLst>
            </xdr:cNvPicPr>
          </xdr:nvPicPr>
          <xdr:blipFill>
            <a:blip xmlns:r="http://schemas.openxmlformats.org/officeDocument/2006/relationships" r:embed="rId5"/>
            <a:srcRect/>
            <a:stretch>
              <a:fillRect/>
            </a:stretch>
          </xdr:blipFill>
          <xdr:spPr bwMode="auto">
            <a:xfrm>
              <a:off x="4067175" y="24622125"/>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171449</xdr:colOff>
          <xdr:row>131</xdr:row>
          <xdr:rowOff>111991</xdr:rowOff>
        </xdr:from>
        <xdr:to>
          <xdr:col>6</xdr:col>
          <xdr:colOff>79086</xdr:colOff>
          <xdr:row>132</xdr:row>
          <xdr:rowOff>152400</xdr:rowOff>
        </xdr:to>
        <xdr:pic>
          <xdr:nvPicPr>
            <xdr:cNvPr id="2998864" name="Picture 15">
              <a:extLst>
                <a:ext uri="{FF2B5EF4-FFF2-40B4-BE49-F238E27FC236}">
                  <a16:creationId xmlns:a16="http://schemas.microsoft.com/office/drawing/2014/main" id="{00000000-0008-0000-1700-000050C22D00}"/>
                </a:ext>
              </a:extLst>
            </xdr:cNvPr>
            <xdr:cNvPicPr preferRelativeResize="0">
              <a:picLocks noChangeArrowheads="1" noChangeShapeType="1"/>
              <a:extLst>
                <a:ext uri="{84589F7E-364E-4C9E-8A38-B11213B215E9}">
                  <a14:cameraTool cellRange="C70" spid="_x0000_s5597257"/>
                </a:ext>
              </a:extLst>
            </xdr:cNvPicPr>
          </xdr:nvPicPr>
          <xdr:blipFill>
            <a:blip xmlns:r="http://schemas.openxmlformats.org/officeDocument/2006/relationships" r:embed="rId5"/>
            <a:srcRect/>
            <a:stretch>
              <a:fillRect/>
            </a:stretch>
          </xdr:blipFill>
          <xdr:spPr bwMode="auto">
            <a:xfrm>
              <a:off x="1276349" y="25607241"/>
              <a:ext cx="669637" cy="23090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135</xdr:row>
          <xdr:rowOff>104775</xdr:rowOff>
        </xdr:from>
        <xdr:to>
          <xdr:col>10</xdr:col>
          <xdr:colOff>323850</xdr:colOff>
          <xdr:row>137</xdr:row>
          <xdr:rowOff>0</xdr:rowOff>
        </xdr:to>
        <xdr:pic>
          <xdr:nvPicPr>
            <xdr:cNvPr id="2998865" name="Picture 16">
              <a:extLst>
                <a:ext uri="{FF2B5EF4-FFF2-40B4-BE49-F238E27FC236}">
                  <a16:creationId xmlns:a16="http://schemas.microsoft.com/office/drawing/2014/main" id="{00000000-0008-0000-1700-000051C22D00}"/>
                </a:ext>
              </a:extLst>
            </xdr:cNvPr>
            <xdr:cNvPicPr preferRelativeResize="0">
              <a:picLocks noChangeArrowheads="1" noChangeShapeType="1"/>
              <a:extLst>
                <a:ext uri="{84589F7E-364E-4C9E-8A38-B11213B215E9}">
                  <a14:cameraTool cellRange="J46" spid="_x0000_s5597258"/>
                </a:ext>
              </a:extLst>
            </xdr:cNvPicPr>
          </xdr:nvPicPr>
          <xdr:blipFill>
            <a:blip xmlns:r="http://schemas.openxmlformats.org/officeDocument/2006/relationships" r:embed="rId6"/>
            <a:srcRect/>
            <a:stretch>
              <a:fillRect/>
            </a:stretch>
          </xdr:blipFill>
          <xdr:spPr bwMode="auto">
            <a:xfrm>
              <a:off x="2819400" y="25193625"/>
              <a:ext cx="723900" cy="27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71</xdr:row>
          <xdr:rowOff>0</xdr:rowOff>
        </xdr:from>
        <xdr:to>
          <xdr:col>18</xdr:col>
          <xdr:colOff>28575</xdr:colOff>
          <xdr:row>73</xdr:row>
          <xdr:rowOff>0</xdr:rowOff>
        </xdr:to>
        <xdr:sp macro="" textlink="">
          <xdr:nvSpPr>
            <xdr:cNvPr id="2348414" name="Object 22910" hidden="1">
              <a:extLst>
                <a:ext uri="{63B3BB69-23CF-44E3-9099-C40C66FF867C}">
                  <a14:compatExt spid="_x0000_s2348414"/>
                </a:ext>
                <a:ext uri="{FF2B5EF4-FFF2-40B4-BE49-F238E27FC236}">
                  <a16:creationId xmlns:a16="http://schemas.microsoft.com/office/drawing/2014/main" id="{00000000-0008-0000-1700-00007ED523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81</xdr:row>
          <xdr:rowOff>38100</xdr:rowOff>
        </xdr:from>
        <xdr:to>
          <xdr:col>18</xdr:col>
          <xdr:colOff>0</xdr:colOff>
          <xdr:row>83</xdr:row>
          <xdr:rowOff>238125</xdr:rowOff>
        </xdr:to>
        <xdr:sp macro="" textlink="">
          <xdr:nvSpPr>
            <xdr:cNvPr id="2348440" name="Object 22936" hidden="1">
              <a:extLst>
                <a:ext uri="{63B3BB69-23CF-44E3-9099-C40C66FF867C}">
                  <a14:compatExt spid="_x0000_s2348440"/>
                </a:ext>
                <a:ext uri="{FF2B5EF4-FFF2-40B4-BE49-F238E27FC236}">
                  <a16:creationId xmlns:a16="http://schemas.microsoft.com/office/drawing/2014/main" id="{00000000-0008-0000-1700-000098D523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70</xdr:row>
          <xdr:rowOff>28575</xdr:rowOff>
        </xdr:from>
        <xdr:to>
          <xdr:col>36</xdr:col>
          <xdr:colOff>142875</xdr:colOff>
          <xdr:row>72</xdr:row>
          <xdr:rowOff>209550</xdr:rowOff>
        </xdr:to>
        <xdr:sp macro="" textlink="">
          <xdr:nvSpPr>
            <xdr:cNvPr id="2348441" name="Object 22937" hidden="1">
              <a:extLst>
                <a:ext uri="{63B3BB69-23CF-44E3-9099-C40C66FF867C}">
                  <a14:compatExt spid="_x0000_s2348441"/>
                </a:ext>
                <a:ext uri="{FF2B5EF4-FFF2-40B4-BE49-F238E27FC236}">
                  <a16:creationId xmlns:a16="http://schemas.microsoft.com/office/drawing/2014/main" id="{00000000-0008-0000-1700-000099D523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81</xdr:row>
          <xdr:rowOff>38100</xdr:rowOff>
        </xdr:from>
        <xdr:to>
          <xdr:col>36</xdr:col>
          <xdr:colOff>123825</xdr:colOff>
          <xdr:row>83</xdr:row>
          <xdr:rowOff>238125</xdr:rowOff>
        </xdr:to>
        <xdr:sp macro="" textlink="">
          <xdr:nvSpPr>
            <xdr:cNvPr id="2348442" name="Object 22938" hidden="1">
              <a:extLst>
                <a:ext uri="{63B3BB69-23CF-44E3-9099-C40C66FF867C}">
                  <a14:compatExt spid="_x0000_s2348442"/>
                </a:ext>
                <a:ext uri="{FF2B5EF4-FFF2-40B4-BE49-F238E27FC236}">
                  <a16:creationId xmlns:a16="http://schemas.microsoft.com/office/drawing/2014/main" id="{00000000-0008-0000-1700-00009AD523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133</xdr:row>
          <xdr:rowOff>57150</xdr:rowOff>
        </xdr:from>
        <xdr:to>
          <xdr:col>10</xdr:col>
          <xdr:colOff>333375</xdr:colOff>
          <xdr:row>134</xdr:row>
          <xdr:rowOff>85725</xdr:rowOff>
        </xdr:to>
        <xdr:pic>
          <xdr:nvPicPr>
            <xdr:cNvPr id="2998866" name="Picture 16">
              <a:extLst>
                <a:ext uri="{FF2B5EF4-FFF2-40B4-BE49-F238E27FC236}">
                  <a16:creationId xmlns:a16="http://schemas.microsoft.com/office/drawing/2014/main" id="{00000000-0008-0000-1700-000052C22D00}"/>
                </a:ext>
              </a:extLst>
            </xdr:cNvPr>
            <xdr:cNvPicPr preferRelativeResize="0">
              <a:picLocks noChangeArrowheads="1" noChangeShapeType="1"/>
              <a:extLst>
                <a:ext uri="{84589F7E-364E-4C9E-8A38-B11213B215E9}">
                  <a14:cameraTool cellRange="H8" spid="_x0000_s5597259"/>
                </a:ext>
              </a:extLst>
            </xdr:cNvPicPr>
          </xdr:nvPicPr>
          <xdr:blipFill>
            <a:blip xmlns:r="http://schemas.openxmlformats.org/officeDocument/2006/relationships" r:embed="rId6"/>
            <a:srcRect/>
            <a:stretch>
              <a:fillRect/>
            </a:stretch>
          </xdr:blipFill>
          <xdr:spPr bwMode="auto">
            <a:xfrm>
              <a:off x="2914650" y="24765000"/>
              <a:ext cx="638175" cy="2190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13</xdr:col>
      <xdr:colOff>28575</xdr:colOff>
      <xdr:row>0</xdr:row>
      <xdr:rowOff>171450</xdr:rowOff>
    </xdr:from>
    <xdr:to>
      <xdr:col>18</xdr:col>
      <xdr:colOff>53449</xdr:colOff>
      <xdr:row>0</xdr:row>
      <xdr:rowOff>720090</xdr:rowOff>
    </xdr:to>
    <xdr:pic>
      <xdr:nvPicPr>
        <xdr:cNvPr id="27" name="Picture 26">
          <a:extLst>
            <a:ext uri="{FF2B5EF4-FFF2-40B4-BE49-F238E27FC236}">
              <a16:creationId xmlns:a16="http://schemas.microsoft.com/office/drawing/2014/main" id="{00000000-0008-0000-1700-00001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248150" y="171450"/>
          <a:ext cx="1786999" cy="548640"/>
        </a:xfrm>
        <a:prstGeom prst="rect">
          <a:avLst/>
        </a:prstGeom>
      </xdr:spPr>
    </xdr:pic>
    <xdr:clientData/>
  </xdr:twoCellAnchor>
  <xdr:twoCellAnchor editAs="oneCell">
    <xdr:from>
      <xdr:col>0</xdr:col>
      <xdr:colOff>85725</xdr:colOff>
      <xdr:row>0</xdr:row>
      <xdr:rowOff>142875</xdr:rowOff>
    </xdr:from>
    <xdr:to>
      <xdr:col>5</xdr:col>
      <xdr:colOff>66675</xdr:colOff>
      <xdr:row>0</xdr:row>
      <xdr:rowOff>691515</xdr:rowOff>
    </xdr:to>
    <xdr:pic>
      <xdr:nvPicPr>
        <xdr:cNvPr id="29" name="Picture 28">
          <a:extLst>
            <a:ext uri="{FF2B5EF4-FFF2-40B4-BE49-F238E27FC236}">
              <a16:creationId xmlns:a16="http://schemas.microsoft.com/office/drawing/2014/main" id="{00000000-0008-0000-1700-00001D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725" y="142875"/>
          <a:ext cx="1381125" cy="548640"/>
        </a:xfrm>
        <a:prstGeom prst="rect">
          <a:avLst/>
        </a:prstGeom>
      </xdr:spPr>
    </xdr:pic>
    <xdr:clientData/>
  </xdr:twoCellAnchor>
  <xdr:oneCellAnchor>
    <xdr:from>
      <xdr:col>0</xdr:col>
      <xdr:colOff>47626</xdr:colOff>
      <xdr:row>109</xdr:row>
      <xdr:rowOff>28574</xdr:rowOff>
    </xdr:from>
    <xdr:ext cx="363369" cy="1591435"/>
    <xdr:sp macro="" textlink="">
      <xdr:nvSpPr>
        <xdr:cNvPr id="5" name="TextBox 4">
          <a:extLst>
            <a:ext uri="{FF2B5EF4-FFF2-40B4-BE49-F238E27FC236}">
              <a16:creationId xmlns:a16="http://schemas.microsoft.com/office/drawing/2014/main" id="{00000000-0008-0000-1700-000005000000}"/>
            </a:ext>
          </a:extLst>
        </xdr:cNvPr>
        <xdr:cNvSpPr txBox="1"/>
      </xdr:nvSpPr>
      <xdr:spPr>
        <a:xfrm>
          <a:off x="47626" y="20745449"/>
          <a:ext cx="363369" cy="15914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vert270" wrap="square" rtlCol="0" anchor="t">
          <a:spAutoFit/>
        </a:bodyPr>
        <a:lstStyle/>
        <a:p>
          <a:r>
            <a:rPr lang="en-US" sz="1200" b="1" i="0" u="none" strike="noStrike">
              <a:solidFill>
                <a:schemeClr val="tx1"/>
              </a:solidFill>
              <a:effectLst/>
              <a:latin typeface="Trebuchet MS" panose="020B0603020202020204" pitchFamily="34" charset="0"/>
              <a:ea typeface="+mn-ea"/>
              <a:cs typeface="+mn-cs"/>
            </a:rPr>
            <a:t>Total Mound Width</a:t>
          </a:r>
          <a:r>
            <a:rPr lang="en-US" sz="1200">
              <a:latin typeface="Trebuchet MS" panose="020B0603020202020204" pitchFamily="34" charset="0"/>
            </a:rPr>
            <a:t> </a:t>
          </a:r>
        </a:p>
      </xdr:txBody>
    </xdr:sp>
    <xdr:clientData/>
  </xdr:oneCellAnchor>
  <xdr:oneCellAnchor>
    <xdr:from>
      <xdr:col>7</xdr:col>
      <xdr:colOff>171450</xdr:colOff>
      <xdr:row>104</xdr:row>
      <xdr:rowOff>95250</xdr:rowOff>
    </xdr:from>
    <xdr:ext cx="755463" cy="271036"/>
    <xdr:sp macro="" textlink="">
      <xdr:nvSpPr>
        <xdr:cNvPr id="6" name="TextBox 5">
          <a:extLst>
            <a:ext uri="{FF2B5EF4-FFF2-40B4-BE49-F238E27FC236}">
              <a16:creationId xmlns:a16="http://schemas.microsoft.com/office/drawing/2014/main" id="{00000000-0008-0000-1700-000006000000}"/>
            </a:ext>
          </a:extLst>
        </xdr:cNvPr>
        <xdr:cNvSpPr txBox="1"/>
      </xdr:nvSpPr>
      <xdr:spPr>
        <a:xfrm>
          <a:off x="2324100" y="19859625"/>
          <a:ext cx="755463" cy="27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latin typeface="Trebuchet MS" panose="020B0603020202020204" pitchFamily="34" charset="0"/>
            </a:rPr>
            <a:t>Upslope</a:t>
          </a:r>
        </a:p>
      </xdr:txBody>
    </xdr:sp>
    <xdr:clientData/>
  </xdr:oneCellAnchor>
  <xdr:oneCellAnchor>
    <xdr:from>
      <xdr:col>7</xdr:col>
      <xdr:colOff>161925</xdr:colOff>
      <xdr:row>116</xdr:row>
      <xdr:rowOff>19050</xdr:rowOff>
    </xdr:from>
    <xdr:ext cx="958917" cy="271036"/>
    <xdr:sp macro="" textlink="">
      <xdr:nvSpPr>
        <xdr:cNvPr id="7" name="TextBox 6">
          <a:extLst>
            <a:ext uri="{FF2B5EF4-FFF2-40B4-BE49-F238E27FC236}">
              <a16:creationId xmlns:a16="http://schemas.microsoft.com/office/drawing/2014/main" id="{00000000-0008-0000-1700-000007000000}"/>
            </a:ext>
          </a:extLst>
        </xdr:cNvPr>
        <xdr:cNvSpPr txBox="1"/>
      </xdr:nvSpPr>
      <xdr:spPr>
        <a:xfrm>
          <a:off x="2314575" y="22269450"/>
          <a:ext cx="958917" cy="27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latin typeface="Trebuchet MS" panose="020B0603020202020204" pitchFamily="34" charset="0"/>
            </a:rPr>
            <a:t>Downslope</a:t>
          </a:r>
        </a:p>
      </xdr:txBody>
    </xdr:sp>
    <xdr:clientData/>
  </xdr:oneCellAnchor>
  <xdr:oneCellAnchor>
    <xdr:from>
      <xdr:col>13</xdr:col>
      <xdr:colOff>9525</xdr:colOff>
      <xdr:row>110</xdr:row>
      <xdr:rowOff>108840</xdr:rowOff>
    </xdr:from>
    <xdr:ext cx="363369" cy="1019446"/>
    <xdr:sp macro="" textlink="">
      <xdr:nvSpPr>
        <xdr:cNvPr id="8" name="TextBox 7">
          <a:extLst>
            <a:ext uri="{FF2B5EF4-FFF2-40B4-BE49-F238E27FC236}">
              <a16:creationId xmlns:a16="http://schemas.microsoft.com/office/drawing/2014/main" id="{00000000-0008-0000-1700-000008000000}"/>
            </a:ext>
          </a:extLst>
        </xdr:cNvPr>
        <xdr:cNvSpPr txBox="1"/>
      </xdr:nvSpPr>
      <xdr:spPr>
        <a:xfrm>
          <a:off x="4333875" y="21016215"/>
          <a:ext cx="363369" cy="10194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vert270" wrap="none" rtlCol="0" anchor="t">
          <a:spAutoFit/>
        </a:bodyPr>
        <a:lstStyle/>
        <a:p>
          <a:r>
            <a:rPr lang="en-US" sz="1200" b="1">
              <a:solidFill>
                <a:sysClr val="windowText" lastClr="000000"/>
              </a:solidFill>
              <a:latin typeface="Trebuchet MS" panose="020B0603020202020204" pitchFamily="34" charset="0"/>
            </a:rPr>
            <a:t>Clean    Sand</a:t>
          </a:r>
        </a:p>
      </xdr:txBody>
    </xdr:sp>
    <xdr:clientData/>
  </xdr:oneCellAnchor>
  <xdr:oneCellAnchor>
    <xdr:from>
      <xdr:col>11</xdr:col>
      <xdr:colOff>85725</xdr:colOff>
      <xdr:row>135</xdr:row>
      <xdr:rowOff>47625</xdr:rowOff>
    </xdr:from>
    <xdr:ext cx="841321" cy="241220"/>
    <xdr:sp macro="" textlink="">
      <xdr:nvSpPr>
        <xdr:cNvPr id="9" name="TextBox 8">
          <a:extLst>
            <a:ext uri="{FF2B5EF4-FFF2-40B4-BE49-F238E27FC236}">
              <a16:creationId xmlns:a16="http://schemas.microsoft.com/office/drawing/2014/main" id="{00000000-0008-0000-1700-000009000000}"/>
            </a:ext>
          </a:extLst>
        </xdr:cNvPr>
        <xdr:cNvSpPr txBox="1"/>
      </xdr:nvSpPr>
      <xdr:spPr>
        <a:xfrm>
          <a:off x="3667125" y="25136475"/>
          <a:ext cx="841321" cy="2412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b="1">
              <a:solidFill>
                <a:sysClr val="windowText" lastClr="000000"/>
              </a:solidFill>
              <a:latin typeface="Trebuchet MS" panose="020B0603020202020204" pitchFamily="34" charset="0"/>
            </a:rPr>
            <a:t>Clean</a:t>
          </a:r>
          <a:r>
            <a:rPr lang="en-US" sz="1000" b="1" baseline="0">
              <a:solidFill>
                <a:sysClr val="windowText" lastClr="000000"/>
              </a:solidFill>
              <a:latin typeface="Trebuchet MS" panose="020B0603020202020204" pitchFamily="34" charset="0"/>
            </a:rPr>
            <a:t> Sand</a:t>
          </a:r>
          <a:endParaRPr lang="en-US" sz="1000" b="1">
            <a:solidFill>
              <a:sysClr val="windowText" lastClr="000000"/>
            </a:solidFill>
            <a:latin typeface="Trebuchet MS" panose="020B0603020202020204" pitchFamily="34" charset="0"/>
          </a:endParaRPr>
        </a:p>
      </xdr:txBody>
    </xdr:sp>
    <xdr:clientData/>
  </xdr:oneCellAnchor>
  <xdr:oneCellAnchor>
    <xdr:from>
      <xdr:col>3</xdr:col>
      <xdr:colOff>0</xdr:colOff>
      <xdr:row>109</xdr:row>
      <xdr:rowOff>57150</xdr:rowOff>
    </xdr:from>
    <xdr:ext cx="829201" cy="271036"/>
    <xdr:sp macro="" textlink="">
      <xdr:nvSpPr>
        <xdr:cNvPr id="10" name="TextBox 9">
          <a:extLst>
            <a:ext uri="{FF2B5EF4-FFF2-40B4-BE49-F238E27FC236}">
              <a16:creationId xmlns:a16="http://schemas.microsoft.com/office/drawing/2014/main" id="{00000000-0008-0000-1700-00000A000000}"/>
            </a:ext>
          </a:extLst>
        </xdr:cNvPr>
        <xdr:cNvSpPr txBox="1"/>
      </xdr:nvSpPr>
      <xdr:spPr>
        <a:xfrm>
          <a:off x="704850" y="20774025"/>
          <a:ext cx="829201" cy="27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latin typeface="Trebuchet MS" panose="020B0603020202020204" pitchFamily="34" charset="0"/>
            </a:rPr>
            <a:t>Endslope</a:t>
          </a:r>
        </a:p>
      </xdr:txBody>
    </xdr:sp>
    <xdr:clientData/>
  </xdr:oneCellAnchor>
  <xdr:oneCellAnchor>
    <xdr:from>
      <xdr:col>14</xdr:col>
      <xdr:colOff>304800</xdr:colOff>
      <xdr:row>109</xdr:row>
      <xdr:rowOff>57150</xdr:rowOff>
    </xdr:from>
    <xdr:ext cx="829201" cy="271036"/>
    <xdr:sp macro="" textlink="">
      <xdr:nvSpPr>
        <xdr:cNvPr id="11" name="TextBox 10">
          <a:extLst>
            <a:ext uri="{FF2B5EF4-FFF2-40B4-BE49-F238E27FC236}">
              <a16:creationId xmlns:a16="http://schemas.microsoft.com/office/drawing/2014/main" id="{00000000-0008-0000-1700-00000B000000}"/>
            </a:ext>
          </a:extLst>
        </xdr:cNvPr>
        <xdr:cNvSpPr txBox="1"/>
      </xdr:nvSpPr>
      <xdr:spPr>
        <a:xfrm>
          <a:off x="4991100" y="20774025"/>
          <a:ext cx="829201" cy="27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latin typeface="Trebuchet MS" panose="020B0603020202020204" pitchFamily="34" charset="0"/>
            </a:rPr>
            <a:t>Endslope</a:t>
          </a:r>
        </a:p>
      </xdr:txBody>
    </xdr:sp>
    <xdr:clientData/>
  </xdr:oneCellAnchor>
  <xdr:oneCellAnchor>
    <xdr:from>
      <xdr:col>7</xdr:col>
      <xdr:colOff>304800</xdr:colOff>
      <xdr:row>108</xdr:row>
      <xdr:rowOff>161925</xdr:rowOff>
    </xdr:from>
    <xdr:ext cx="1205458" cy="271036"/>
    <xdr:sp macro="" textlink="">
      <xdr:nvSpPr>
        <xdr:cNvPr id="12" name="TextBox 11">
          <a:extLst>
            <a:ext uri="{FF2B5EF4-FFF2-40B4-BE49-F238E27FC236}">
              <a16:creationId xmlns:a16="http://schemas.microsoft.com/office/drawing/2014/main" id="{00000000-0008-0000-1700-00000C000000}"/>
            </a:ext>
          </a:extLst>
        </xdr:cNvPr>
        <xdr:cNvSpPr txBox="1"/>
      </xdr:nvSpPr>
      <xdr:spPr>
        <a:xfrm>
          <a:off x="2438400" y="20107275"/>
          <a:ext cx="1205458" cy="27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0">
              <a:solidFill>
                <a:srgbClr val="FF0000"/>
              </a:solidFill>
              <a:latin typeface="Trebuchet MS" panose="020B0603020202020204" pitchFamily="34" charset="0"/>
            </a:rPr>
            <a:t>Dispersal Bed</a:t>
          </a:r>
          <a:r>
            <a:rPr lang="en-US" sz="1200" b="1">
              <a:solidFill>
                <a:srgbClr val="FF0000"/>
              </a:solidFill>
              <a:latin typeface="Trebuchet MS" panose="020B0603020202020204" pitchFamily="34" charset="0"/>
            </a:rPr>
            <a:t>:</a:t>
          </a:r>
        </a:p>
      </xdr:txBody>
    </xdr:sp>
    <xdr:clientData/>
  </xdr:oneCellAnchor>
  <xdr:oneCellAnchor>
    <xdr:from>
      <xdr:col>9</xdr:col>
      <xdr:colOff>57151</xdr:colOff>
      <xdr:row>110</xdr:row>
      <xdr:rowOff>28575</xdr:rowOff>
    </xdr:from>
    <xdr:ext cx="133350" cy="238125"/>
    <xdr:sp macro="" textlink="">
      <xdr:nvSpPr>
        <xdr:cNvPr id="13" name="TextBox 12">
          <a:extLst>
            <a:ext uri="{FF2B5EF4-FFF2-40B4-BE49-F238E27FC236}">
              <a16:creationId xmlns:a16="http://schemas.microsoft.com/office/drawing/2014/main" id="{00000000-0008-0000-1700-00000D000000}"/>
            </a:ext>
          </a:extLst>
        </xdr:cNvPr>
        <xdr:cNvSpPr txBox="1"/>
      </xdr:nvSpPr>
      <xdr:spPr>
        <a:xfrm>
          <a:off x="2914651" y="20354925"/>
          <a:ext cx="133350"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X</a:t>
          </a:r>
        </a:p>
      </xdr:txBody>
    </xdr:sp>
    <xdr:clientData/>
  </xdr:oneCellAnchor>
  <xdr:oneCellAnchor>
    <xdr:from>
      <xdr:col>5</xdr:col>
      <xdr:colOff>247650</xdr:colOff>
      <xdr:row>121</xdr:row>
      <xdr:rowOff>152400</xdr:rowOff>
    </xdr:from>
    <xdr:ext cx="1613775" cy="271036"/>
    <xdr:sp macro="" textlink="">
      <xdr:nvSpPr>
        <xdr:cNvPr id="14" name="TextBox 13">
          <a:extLst>
            <a:ext uri="{FF2B5EF4-FFF2-40B4-BE49-F238E27FC236}">
              <a16:creationId xmlns:a16="http://schemas.microsoft.com/office/drawing/2014/main" id="{00000000-0008-0000-1700-00000E000000}"/>
            </a:ext>
          </a:extLst>
        </xdr:cNvPr>
        <xdr:cNvSpPr txBox="1"/>
      </xdr:nvSpPr>
      <xdr:spPr>
        <a:xfrm>
          <a:off x="1676400" y="23355300"/>
          <a:ext cx="1613775" cy="27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latin typeface="Trebuchet MS" panose="020B0603020202020204" pitchFamily="34" charset="0"/>
            </a:rPr>
            <a:t>Total</a:t>
          </a:r>
          <a:r>
            <a:rPr lang="en-US" sz="1200" b="1" baseline="0">
              <a:latin typeface="Trebuchet MS" panose="020B0603020202020204" pitchFamily="34" charset="0"/>
            </a:rPr>
            <a:t> Mound Length</a:t>
          </a:r>
          <a:endParaRPr lang="en-US" sz="1200" b="1">
            <a:latin typeface="Trebuchet MS" panose="020B0603020202020204" pitchFamily="34" charset="0"/>
          </a:endParaRPr>
        </a:p>
      </xdr:txBody>
    </xdr:sp>
    <xdr:clientData/>
  </xdr:oneCellAnchor>
  <xdr:twoCellAnchor editAs="oneCell">
    <xdr:from>
      <xdr:col>7</xdr:col>
      <xdr:colOff>161925</xdr:colOff>
      <xdr:row>111</xdr:row>
      <xdr:rowOff>47625</xdr:rowOff>
    </xdr:from>
    <xdr:to>
      <xdr:col>9</xdr:col>
      <xdr:colOff>161925</xdr:colOff>
      <xdr:row>112</xdr:row>
      <xdr:rowOff>133350</xdr:rowOff>
    </xdr:to>
    <xdr:sp macro="" textlink="">
      <xdr:nvSpPr>
        <xdr:cNvPr id="3731832" name="AutoShape 77176" hidden="1">
          <a:extLst>
            <a:ext uri="{FF2B5EF4-FFF2-40B4-BE49-F238E27FC236}">
              <a16:creationId xmlns:a16="http://schemas.microsoft.com/office/drawing/2014/main" id="{00000000-0008-0000-1700-000078F13800}"/>
            </a:ext>
          </a:extLst>
        </xdr:cNvPr>
        <xdr:cNvSpPr>
          <a:spLocks noChangeAspect="1" noChangeArrowheads="1"/>
        </xdr:cNvSpPr>
      </xdr:nvSpPr>
      <xdr:spPr bwMode="auto">
        <a:xfrm>
          <a:off x="2314575" y="21345525"/>
          <a:ext cx="723900" cy="276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36</xdr:col>
      <xdr:colOff>200024</xdr:colOff>
      <xdr:row>136</xdr:row>
      <xdr:rowOff>161924</xdr:rowOff>
    </xdr:from>
    <xdr:ext cx="390524" cy="171451"/>
    <xdr:sp macro="" textlink="">
      <xdr:nvSpPr>
        <xdr:cNvPr id="4" name="TextBox 3">
          <a:extLst>
            <a:ext uri="{FF2B5EF4-FFF2-40B4-BE49-F238E27FC236}">
              <a16:creationId xmlns:a16="http://schemas.microsoft.com/office/drawing/2014/main" id="{00000000-0008-0000-1700-000004000000}"/>
            </a:ext>
          </a:extLst>
        </xdr:cNvPr>
        <xdr:cNvSpPr txBox="1"/>
      </xdr:nvSpPr>
      <xdr:spPr>
        <a:xfrm flipH="1">
          <a:off x="12268199" y="25441274"/>
          <a:ext cx="390524" cy="171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xdr:from>
          <xdr:col>7</xdr:col>
          <xdr:colOff>57150</xdr:colOff>
          <xdr:row>110</xdr:row>
          <xdr:rowOff>28575</xdr:rowOff>
        </xdr:from>
        <xdr:to>
          <xdr:col>9</xdr:col>
          <xdr:colOff>57150</xdr:colOff>
          <xdr:row>111</xdr:row>
          <xdr:rowOff>114300</xdr:rowOff>
        </xdr:to>
        <xdr:pic>
          <xdr:nvPicPr>
            <xdr:cNvPr id="39" name="Picture 9">
              <a:extLst>
                <a:ext uri="{FF2B5EF4-FFF2-40B4-BE49-F238E27FC236}">
                  <a16:creationId xmlns:a16="http://schemas.microsoft.com/office/drawing/2014/main" id="{00000000-0008-0000-1700-000027000000}"/>
                </a:ext>
              </a:extLst>
            </xdr:cNvPr>
            <xdr:cNvPicPr preferRelativeResize="0">
              <a:picLocks noChangeArrowheads="1" noChangeShapeType="1"/>
              <a:extLst>
                <a:ext uri="{84589F7E-364E-4C9E-8A38-B11213B215E9}">
                  <a14:cameraTool cellRange="$J$98" spid="_x0000_s5597260"/>
                </a:ext>
              </a:extLst>
            </xdr:cNvPicPr>
          </xdr:nvPicPr>
          <xdr:blipFill>
            <a:blip xmlns:r="http://schemas.openxmlformats.org/officeDocument/2006/relationships" r:embed="rId5"/>
            <a:srcRect/>
            <a:stretch>
              <a:fillRect/>
            </a:stretch>
          </xdr:blipFill>
          <xdr:spPr bwMode="auto">
            <a:xfrm>
              <a:off x="2190750" y="20354925"/>
              <a:ext cx="723900" cy="276225"/>
            </a:xfrm>
            <a:prstGeom prst="rect">
              <a:avLst/>
            </a:prstGeom>
            <a:solidFill>
              <a:srgbClr val="CFE5E9"/>
            </a:solidFill>
            <a:ln>
              <a:noFill/>
            </a:ln>
          </xdr:spPr>
        </xdr:pic>
        <xdr:clientData/>
      </xdr:twoCellAnchor>
    </mc:Choice>
    <mc:Fallback/>
  </mc:AlternateContent>
  <xdr:twoCellAnchor>
    <xdr:from>
      <xdr:col>5</xdr:col>
      <xdr:colOff>285750</xdr:colOff>
      <xdr:row>111</xdr:row>
      <xdr:rowOff>152400</xdr:rowOff>
    </xdr:from>
    <xdr:to>
      <xdr:col>9</xdr:col>
      <xdr:colOff>9525</xdr:colOff>
      <xdr:row>113</xdr:row>
      <xdr:rowOff>9525</xdr:rowOff>
    </xdr:to>
    <xdr:sp macro="" textlink="">
      <xdr:nvSpPr>
        <xdr:cNvPr id="16" name="TextBox 15">
          <a:extLst>
            <a:ext uri="{FF2B5EF4-FFF2-40B4-BE49-F238E27FC236}">
              <a16:creationId xmlns:a16="http://schemas.microsoft.com/office/drawing/2014/main" id="{00000000-0008-0000-1700-000010000000}"/>
            </a:ext>
          </a:extLst>
        </xdr:cNvPr>
        <xdr:cNvSpPr txBox="1"/>
      </xdr:nvSpPr>
      <xdr:spPr>
        <a:xfrm>
          <a:off x="1695450" y="20516850"/>
          <a:ext cx="1171575"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Distribution Area</a:t>
          </a:r>
        </a:p>
      </xdr:txBody>
    </xdr:sp>
    <xdr:clientData/>
  </xdr:twoCellAnchor>
  <xdr:twoCellAnchor>
    <xdr:from>
      <xdr:col>8</xdr:col>
      <xdr:colOff>323849</xdr:colOff>
      <xdr:row>111</xdr:row>
      <xdr:rowOff>161925</xdr:rowOff>
    </xdr:from>
    <xdr:to>
      <xdr:col>10</xdr:col>
      <xdr:colOff>133350</xdr:colOff>
      <xdr:row>113</xdr:row>
      <xdr:rowOff>38100</xdr:rowOff>
    </xdr:to>
    <xdr:sp macro="" textlink="$J$113">
      <xdr:nvSpPr>
        <xdr:cNvPr id="17" name="Rectangle 16">
          <a:extLst>
            <a:ext uri="{FF2B5EF4-FFF2-40B4-BE49-F238E27FC236}">
              <a16:creationId xmlns:a16="http://schemas.microsoft.com/office/drawing/2014/main" id="{00000000-0008-0000-1700-000011000000}"/>
            </a:ext>
          </a:extLst>
        </xdr:cNvPr>
        <xdr:cNvSpPr/>
      </xdr:nvSpPr>
      <xdr:spPr>
        <a:xfrm>
          <a:off x="2819399" y="20678775"/>
          <a:ext cx="533401" cy="257175"/>
        </a:xfrm>
        <a:prstGeom prst="rect">
          <a:avLst/>
        </a:prstGeom>
        <a:solidFill>
          <a:srgbClr val="CFE5E9"/>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A0FDE193-D1FB-4B9C-8AA8-78A5A8B09087}" type="TxLink">
            <a:rPr lang="en-US" sz="1000" b="0" i="0" u="none" strike="noStrike">
              <a:solidFill>
                <a:srgbClr val="000000"/>
              </a:solidFill>
              <a:latin typeface="Trebuchet MS"/>
            </a:rPr>
            <a:pPr algn="l"/>
            <a:t> </a:t>
          </a:fld>
          <a:endParaRPr lang="en-US" sz="1100"/>
        </a:p>
      </xdr:txBody>
    </xdr:sp>
    <xdr:clientData/>
  </xdr:twoCellAnchor>
  <xdr:twoCellAnchor>
    <xdr:from>
      <xdr:col>10</xdr:col>
      <xdr:colOff>104775</xdr:colOff>
      <xdr:row>111</xdr:row>
      <xdr:rowOff>171450</xdr:rowOff>
    </xdr:from>
    <xdr:to>
      <xdr:col>11</xdr:col>
      <xdr:colOff>228600</xdr:colOff>
      <xdr:row>113</xdr:row>
      <xdr:rowOff>38100</xdr:rowOff>
    </xdr:to>
    <xdr:sp macro="" textlink="">
      <xdr:nvSpPr>
        <xdr:cNvPr id="18" name="TextBox 17">
          <a:extLst>
            <a:ext uri="{FF2B5EF4-FFF2-40B4-BE49-F238E27FC236}">
              <a16:creationId xmlns:a16="http://schemas.microsoft.com/office/drawing/2014/main" id="{00000000-0008-0000-1700-000012000000}"/>
            </a:ext>
          </a:extLst>
        </xdr:cNvPr>
        <xdr:cNvSpPr txBox="1"/>
      </xdr:nvSpPr>
      <xdr:spPr>
        <a:xfrm>
          <a:off x="3324225" y="20535900"/>
          <a:ext cx="4857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solidFill>
                <a:srgbClr val="FF0000"/>
              </a:solidFill>
            </a:rPr>
            <a:t>sq.ft</a:t>
          </a:r>
        </a:p>
      </xdr:txBody>
    </xdr:sp>
    <xdr:clientData/>
  </xdr:twoCellAnchor>
  <xdr:twoCellAnchor editAs="oneCell">
    <xdr:from>
      <xdr:col>20</xdr:col>
      <xdr:colOff>38100</xdr:colOff>
      <xdr:row>0</xdr:row>
      <xdr:rowOff>106630</xdr:rowOff>
    </xdr:from>
    <xdr:to>
      <xdr:col>34</xdr:col>
      <xdr:colOff>29051</xdr:colOff>
      <xdr:row>32</xdr:row>
      <xdr:rowOff>209550</xdr:rowOff>
    </xdr:to>
    <xdr:pic>
      <xdr:nvPicPr>
        <xdr:cNvPr id="15" name="Picture 14">
          <a:extLst>
            <a:ext uri="{FF2B5EF4-FFF2-40B4-BE49-F238E27FC236}">
              <a16:creationId xmlns:a16="http://schemas.microsoft.com/office/drawing/2014/main" id="{4FD7A141-DF26-4F19-8A4D-7A890DFF49D0}"/>
            </a:ext>
          </a:extLst>
        </xdr:cNvPr>
        <xdr:cNvPicPr>
          <a:picLocks noChangeAspect="1"/>
        </xdr:cNvPicPr>
      </xdr:nvPicPr>
      <xdr:blipFill>
        <a:blip xmlns:r="http://schemas.openxmlformats.org/officeDocument/2006/relationships" r:embed="rId9"/>
        <a:stretch>
          <a:fillRect/>
        </a:stretch>
      </xdr:blipFill>
      <xdr:spPr>
        <a:xfrm>
          <a:off x="6477000" y="106630"/>
          <a:ext cx="5124926" cy="617034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13</xdr:col>
      <xdr:colOff>209550</xdr:colOff>
      <xdr:row>0</xdr:row>
      <xdr:rowOff>28575</xdr:rowOff>
    </xdr:from>
    <xdr:to>
      <xdr:col>17</xdr:col>
      <xdr:colOff>396349</xdr:colOff>
      <xdr:row>0</xdr:row>
      <xdr:rowOff>577215</xdr:rowOff>
    </xdr:to>
    <xdr:pic>
      <xdr:nvPicPr>
        <xdr:cNvPr id="5" name="Picture 4">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6800" y="28575"/>
          <a:ext cx="1786999" cy="548640"/>
        </a:xfrm>
        <a:prstGeom prst="rect">
          <a:avLst/>
        </a:prstGeom>
      </xdr:spPr>
    </xdr:pic>
    <xdr:clientData/>
  </xdr:twoCellAnchor>
  <xdr:twoCellAnchor editAs="oneCell">
    <xdr:from>
      <xdr:col>0</xdr:col>
      <xdr:colOff>85725</xdr:colOff>
      <xdr:row>0</xdr:row>
      <xdr:rowOff>28575</xdr:rowOff>
    </xdr:from>
    <xdr:to>
      <xdr:col>5</xdr:col>
      <xdr:colOff>0</xdr:colOff>
      <xdr:row>0</xdr:row>
      <xdr:rowOff>577215</xdr:rowOff>
    </xdr:to>
    <xdr:pic>
      <xdr:nvPicPr>
        <xdr:cNvPr id="6" name="Picture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725" y="28575"/>
          <a:ext cx="1381125" cy="54864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114300</xdr:colOff>
      <xdr:row>48</xdr:row>
      <xdr:rowOff>0</xdr:rowOff>
    </xdr:from>
    <xdr:to>
      <xdr:col>11</xdr:col>
      <xdr:colOff>38100</xdr:colOff>
      <xdr:row>71</xdr:row>
      <xdr:rowOff>19050</xdr:rowOff>
    </xdr:to>
    <xdr:pic>
      <xdr:nvPicPr>
        <xdr:cNvPr id="2988563" name="Picture 6" descr="Drip Diagram #1.JPG">
          <a:extLst>
            <a:ext uri="{FF2B5EF4-FFF2-40B4-BE49-F238E27FC236}">
              <a16:creationId xmlns:a16="http://schemas.microsoft.com/office/drawing/2014/main" id="{00000000-0008-0000-1900-0000139A2D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8105775"/>
          <a:ext cx="4648200" cy="3524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200025</xdr:colOff>
      <xdr:row>48</xdr:row>
      <xdr:rowOff>19050</xdr:rowOff>
    </xdr:from>
    <xdr:to>
      <xdr:col>20</xdr:col>
      <xdr:colOff>0</xdr:colOff>
      <xdr:row>70</xdr:row>
      <xdr:rowOff>142875</xdr:rowOff>
    </xdr:to>
    <xdr:pic>
      <xdr:nvPicPr>
        <xdr:cNvPr id="2988564" name="Picture 7" descr="Drip Diagram #2.JPG">
          <a:extLst>
            <a:ext uri="{FF2B5EF4-FFF2-40B4-BE49-F238E27FC236}">
              <a16:creationId xmlns:a16="http://schemas.microsoft.com/office/drawing/2014/main" id="{00000000-0008-0000-1900-0000149A2D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24425" y="8124825"/>
          <a:ext cx="3819525" cy="34766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190500</xdr:colOff>
      <xdr:row>168</xdr:row>
      <xdr:rowOff>19050</xdr:rowOff>
    </xdr:from>
    <xdr:to>
      <xdr:col>20</xdr:col>
      <xdr:colOff>504825</xdr:colOff>
      <xdr:row>185</xdr:row>
      <xdr:rowOff>0</xdr:rowOff>
    </xdr:to>
    <xdr:pic>
      <xdr:nvPicPr>
        <xdr:cNvPr id="2988565" name="Picture 129" descr="Volume of Pipe II">
          <a:extLst>
            <a:ext uri="{FF2B5EF4-FFF2-40B4-BE49-F238E27FC236}">
              <a16:creationId xmlns:a16="http://schemas.microsoft.com/office/drawing/2014/main" id="{00000000-0008-0000-1900-0000159A2D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00950" y="26517600"/>
          <a:ext cx="1657350"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152400</xdr:colOff>
      <xdr:row>0</xdr:row>
      <xdr:rowOff>85725</xdr:rowOff>
    </xdr:from>
    <xdr:to>
      <xdr:col>3</xdr:col>
      <xdr:colOff>390525</xdr:colOff>
      <xdr:row>0</xdr:row>
      <xdr:rowOff>634365</xdr:rowOff>
    </xdr:to>
    <xdr:pic>
      <xdr:nvPicPr>
        <xdr:cNvPr id="9" name="Picture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2400" y="85725"/>
          <a:ext cx="1381125" cy="548640"/>
        </a:xfrm>
        <a:prstGeom prst="rect">
          <a:avLst/>
        </a:prstGeom>
      </xdr:spPr>
    </xdr:pic>
    <xdr:clientData/>
  </xdr:twoCellAnchor>
  <xdr:twoCellAnchor editAs="oneCell">
    <xdr:from>
      <xdr:col>16</xdr:col>
      <xdr:colOff>219075</xdr:colOff>
      <xdr:row>0</xdr:row>
      <xdr:rowOff>66675</xdr:rowOff>
    </xdr:from>
    <xdr:to>
      <xdr:col>20</xdr:col>
      <xdr:colOff>215374</xdr:colOff>
      <xdr:row>0</xdr:row>
      <xdr:rowOff>615315</xdr:rowOff>
    </xdr:to>
    <xdr:pic>
      <xdr:nvPicPr>
        <xdr:cNvPr id="10" name="Picture 9">
          <a:extLst>
            <a:ext uri="{FF2B5EF4-FFF2-40B4-BE49-F238E27FC236}">
              <a16:creationId xmlns:a16="http://schemas.microsoft.com/office/drawing/2014/main" id="{00000000-0008-0000-1900-00000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181850" y="66675"/>
          <a:ext cx="1786999" cy="54864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14</xdr:col>
      <xdr:colOff>104775</xdr:colOff>
      <xdr:row>85</xdr:row>
      <xdr:rowOff>180975</xdr:rowOff>
    </xdr:from>
    <xdr:to>
      <xdr:col>17</xdr:col>
      <xdr:colOff>285750</xdr:colOff>
      <xdr:row>99</xdr:row>
      <xdr:rowOff>28575</xdr:rowOff>
    </xdr:to>
    <xdr:pic>
      <xdr:nvPicPr>
        <xdr:cNvPr id="3001453" name="Picture 99" descr="Volume of Pipe">
          <a:extLst>
            <a:ext uri="{FF2B5EF4-FFF2-40B4-BE49-F238E27FC236}">
              <a16:creationId xmlns:a16="http://schemas.microsoft.com/office/drawing/2014/main" id="{00000000-0008-0000-1A00-00006DCC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14" b="-2"/>
        <a:stretch>
          <a:fillRect/>
        </a:stretch>
      </xdr:blipFill>
      <xdr:spPr bwMode="auto">
        <a:xfrm>
          <a:off x="5172075" y="15240000"/>
          <a:ext cx="1266825"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25645</xdr:colOff>
      <xdr:row>36</xdr:row>
      <xdr:rowOff>2198</xdr:rowOff>
    </xdr:from>
    <xdr:to>
      <xdr:col>17</xdr:col>
      <xdr:colOff>292345</xdr:colOff>
      <xdr:row>46</xdr:row>
      <xdr:rowOff>21248</xdr:rowOff>
    </xdr:to>
    <xdr:pic>
      <xdr:nvPicPr>
        <xdr:cNvPr id="3001457" name="Picture 391">
          <a:extLst>
            <a:ext uri="{FF2B5EF4-FFF2-40B4-BE49-F238E27FC236}">
              <a16:creationId xmlns:a16="http://schemas.microsoft.com/office/drawing/2014/main" id="{00000000-0008-0000-1A00-000071CC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645" y="6281371"/>
          <a:ext cx="6370027" cy="2671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53976</xdr:colOff>
      <xdr:row>65</xdr:row>
      <xdr:rowOff>0</xdr:rowOff>
    </xdr:from>
    <xdr:to>
      <xdr:col>17</xdr:col>
      <xdr:colOff>288926</xdr:colOff>
      <xdr:row>83</xdr:row>
      <xdr:rowOff>302</xdr:rowOff>
    </xdr:to>
    <xdr:pic>
      <xdr:nvPicPr>
        <xdr:cNvPr id="3001460" name="Picture 10" descr="Perforation Discharge.JPG">
          <a:extLst>
            <a:ext uri="{FF2B5EF4-FFF2-40B4-BE49-F238E27FC236}">
              <a16:creationId xmlns:a16="http://schemas.microsoft.com/office/drawing/2014/main" id="{00000000-0008-0000-1A00-000074CC2D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59326" y="12334875"/>
          <a:ext cx="1682750" cy="2724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171450</xdr:colOff>
      <xdr:row>9</xdr:row>
      <xdr:rowOff>19050</xdr:rowOff>
    </xdr:from>
    <xdr:to>
      <xdr:col>17</xdr:col>
      <xdr:colOff>238125</xdr:colOff>
      <xdr:row>13</xdr:row>
      <xdr:rowOff>38100</xdr:rowOff>
    </xdr:to>
    <xdr:pic>
      <xdr:nvPicPr>
        <xdr:cNvPr id="3001461" name="Picture 10" descr="11.20_Lateral_end_specs.tif">
          <a:extLst>
            <a:ext uri="{FF2B5EF4-FFF2-40B4-BE49-F238E27FC236}">
              <a16:creationId xmlns:a16="http://schemas.microsoft.com/office/drawing/2014/main" id="{00000000-0008-0000-1A00-000075CC2D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5063"/>
        <a:stretch>
          <a:fillRect/>
        </a:stretch>
      </xdr:blipFill>
      <xdr:spPr bwMode="auto">
        <a:xfrm>
          <a:off x="4152900" y="2009775"/>
          <a:ext cx="2238375" cy="781050"/>
        </a:xfrm>
        <a:prstGeom prst="rect">
          <a:avLst/>
        </a:prstGeom>
        <a:noFill/>
        <a:ln w="9525">
          <a:solidFill>
            <a:srgbClr val="0D0D0D"/>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247650</xdr:colOff>
      <xdr:row>0</xdr:row>
      <xdr:rowOff>66675</xdr:rowOff>
    </xdr:from>
    <xdr:to>
      <xdr:col>17</xdr:col>
      <xdr:colOff>272524</xdr:colOff>
      <xdr:row>0</xdr:row>
      <xdr:rowOff>615315</xdr:rowOff>
    </xdr:to>
    <xdr:pic>
      <xdr:nvPicPr>
        <xdr:cNvPr id="11" name="Picture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76750" y="66675"/>
          <a:ext cx="1786999" cy="548640"/>
        </a:xfrm>
        <a:prstGeom prst="rect">
          <a:avLst/>
        </a:prstGeom>
      </xdr:spPr>
    </xdr:pic>
    <xdr:clientData/>
  </xdr:twoCellAnchor>
  <xdr:twoCellAnchor editAs="oneCell">
    <xdr:from>
      <xdr:col>0</xdr:col>
      <xdr:colOff>66675</xdr:colOff>
      <xdr:row>0</xdr:row>
      <xdr:rowOff>66675</xdr:rowOff>
    </xdr:from>
    <xdr:to>
      <xdr:col>4</xdr:col>
      <xdr:colOff>38100</xdr:colOff>
      <xdr:row>0</xdr:row>
      <xdr:rowOff>615315</xdr:rowOff>
    </xdr:to>
    <xdr:pic>
      <xdr:nvPicPr>
        <xdr:cNvPr id="12" name="Picture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6675" y="66675"/>
          <a:ext cx="1381125" cy="548640"/>
        </a:xfrm>
        <a:prstGeom prst="rect">
          <a:avLst/>
        </a:prstGeom>
      </xdr:spPr>
    </xdr:pic>
    <xdr:clientData/>
  </xdr:twoCellAnchor>
  <xdr:twoCellAnchor editAs="oneCell">
    <xdr:from>
      <xdr:col>8</xdr:col>
      <xdr:colOff>311150</xdr:colOff>
      <xdr:row>48</xdr:row>
      <xdr:rowOff>79375</xdr:rowOff>
    </xdr:from>
    <xdr:to>
      <xdr:col>17</xdr:col>
      <xdr:colOff>273050</xdr:colOff>
      <xdr:row>52</xdr:row>
      <xdr:rowOff>41275</xdr:rowOff>
    </xdr:to>
    <xdr:pic>
      <xdr:nvPicPr>
        <xdr:cNvPr id="10" name="Picture 111" descr="E-03 Manifold in Center">
          <a:extLst>
            <a:ext uri="{FF2B5EF4-FFF2-40B4-BE49-F238E27FC236}">
              <a16:creationId xmlns:a16="http://schemas.microsoft.com/office/drawing/2014/main" id="{00000000-0008-0000-1A00-00000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206750" y="9366250"/>
          <a:ext cx="3219450" cy="1381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82550</xdr:colOff>
      <xdr:row>48</xdr:row>
      <xdr:rowOff>57150</xdr:rowOff>
    </xdr:from>
    <xdr:to>
      <xdr:col>8</xdr:col>
      <xdr:colOff>215900</xdr:colOff>
      <xdr:row>52</xdr:row>
      <xdr:rowOff>28575</xdr:rowOff>
    </xdr:to>
    <xdr:pic>
      <xdr:nvPicPr>
        <xdr:cNvPr id="13" name="Picture 112" descr="E-02 manifold at End">
          <a:extLst>
            <a:ext uri="{FF2B5EF4-FFF2-40B4-BE49-F238E27FC236}">
              <a16:creationId xmlns:a16="http://schemas.microsoft.com/office/drawing/2014/main" id="{00000000-0008-0000-1A00-00000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2550" y="9344025"/>
          <a:ext cx="3028950" cy="1390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15</xdr:col>
      <xdr:colOff>247650</xdr:colOff>
      <xdr:row>182</xdr:row>
      <xdr:rowOff>28575</xdr:rowOff>
    </xdr:from>
    <xdr:to>
      <xdr:col>15</xdr:col>
      <xdr:colOff>247650</xdr:colOff>
      <xdr:row>186</xdr:row>
      <xdr:rowOff>76200</xdr:rowOff>
    </xdr:to>
    <xdr:sp macro="" textlink="">
      <xdr:nvSpPr>
        <xdr:cNvPr id="3002468" name="Line 29">
          <a:extLst>
            <a:ext uri="{FF2B5EF4-FFF2-40B4-BE49-F238E27FC236}">
              <a16:creationId xmlns:a16="http://schemas.microsoft.com/office/drawing/2014/main" id="{00000000-0008-0000-1B00-000064D02D00}"/>
            </a:ext>
          </a:extLst>
        </xdr:cNvPr>
        <xdr:cNvSpPr>
          <a:spLocks noChangeShapeType="1"/>
        </xdr:cNvSpPr>
      </xdr:nvSpPr>
      <xdr:spPr bwMode="auto">
        <a:xfrm>
          <a:off x="6391275" y="32575500"/>
          <a:ext cx="0" cy="1038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247650</xdr:colOff>
      <xdr:row>7</xdr:row>
      <xdr:rowOff>0</xdr:rowOff>
    </xdr:from>
    <xdr:to>
      <xdr:col>15</xdr:col>
      <xdr:colOff>266700</xdr:colOff>
      <xdr:row>15</xdr:row>
      <xdr:rowOff>0</xdr:rowOff>
    </xdr:to>
    <xdr:sp macro="" textlink="">
      <xdr:nvSpPr>
        <xdr:cNvPr id="3002469" name="Line 31">
          <a:extLst>
            <a:ext uri="{FF2B5EF4-FFF2-40B4-BE49-F238E27FC236}">
              <a16:creationId xmlns:a16="http://schemas.microsoft.com/office/drawing/2014/main" id="{00000000-0008-0000-1B00-000065D02D00}"/>
            </a:ext>
          </a:extLst>
        </xdr:cNvPr>
        <xdr:cNvSpPr>
          <a:spLocks noChangeShapeType="1"/>
        </xdr:cNvSpPr>
      </xdr:nvSpPr>
      <xdr:spPr bwMode="auto">
        <a:xfrm flipH="1">
          <a:off x="6391275" y="1704975"/>
          <a:ext cx="19050" cy="1295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16</xdr:col>
      <xdr:colOff>114300</xdr:colOff>
      <xdr:row>175</xdr:row>
      <xdr:rowOff>0</xdr:rowOff>
    </xdr:from>
    <xdr:to>
      <xdr:col>19</xdr:col>
      <xdr:colOff>285750</xdr:colOff>
      <xdr:row>185</xdr:row>
      <xdr:rowOff>47625</xdr:rowOff>
    </xdr:to>
    <xdr:pic>
      <xdr:nvPicPr>
        <xdr:cNvPr id="3002470" name="Picture 43" descr="Volume of Pipe II">
          <a:extLst>
            <a:ext uri="{FF2B5EF4-FFF2-40B4-BE49-F238E27FC236}">
              <a16:creationId xmlns:a16="http://schemas.microsoft.com/office/drawing/2014/main" id="{00000000-0008-0000-1B00-000066D0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0" y="31099125"/>
          <a:ext cx="1400175" cy="22383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266700</xdr:colOff>
      <xdr:row>54</xdr:row>
      <xdr:rowOff>19050</xdr:rowOff>
    </xdr:from>
    <xdr:to>
      <xdr:col>18</xdr:col>
      <xdr:colOff>266700</xdr:colOff>
      <xdr:row>62</xdr:row>
      <xdr:rowOff>19050</xdr:rowOff>
    </xdr:to>
    <xdr:sp macro="" textlink="">
      <xdr:nvSpPr>
        <xdr:cNvPr id="3002471" name="Line 59">
          <a:extLst>
            <a:ext uri="{FF2B5EF4-FFF2-40B4-BE49-F238E27FC236}">
              <a16:creationId xmlns:a16="http://schemas.microsoft.com/office/drawing/2014/main" id="{00000000-0008-0000-1B00-000067D02D00}"/>
            </a:ext>
          </a:extLst>
        </xdr:cNvPr>
        <xdr:cNvSpPr>
          <a:spLocks noChangeShapeType="1"/>
        </xdr:cNvSpPr>
      </xdr:nvSpPr>
      <xdr:spPr bwMode="auto">
        <a:xfrm flipH="1">
          <a:off x="7639050" y="10096500"/>
          <a:ext cx="0" cy="1295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28575</xdr:colOff>
      <xdr:row>91</xdr:row>
      <xdr:rowOff>9525</xdr:rowOff>
    </xdr:from>
    <xdr:to>
      <xdr:col>20</xdr:col>
      <xdr:colOff>0</xdr:colOff>
      <xdr:row>103</xdr:row>
      <xdr:rowOff>0</xdr:rowOff>
    </xdr:to>
    <xdr:pic>
      <xdr:nvPicPr>
        <xdr:cNvPr id="3002473" name="Picture 336">
          <a:extLst>
            <a:ext uri="{FF2B5EF4-FFF2-40B4-BE49-F238E27FC236}">
              <a16:creationId xmlns:a16="http://schemas.microsoft.com/office/drawing/2014/main" id="{00000000-0008-0000-1B00-000069D0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16516350"/>
          <a:ext cx="8162925" cy="315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9525</xdr:colOff>
      <xdr:row>64</xdr:row>
      <xdr:rowOff>57150</xdr:rowOff>
    </xdr:from>
    <xdr:to>
      <xdr:col>19</xdr:col>
      <xdr:colOff>342900</xdr:colOff>
      <xdr:row>82</xdr:row>
      <xdr:rowOff>76200</xdr:rowOff>
    </xdr:to>
    <xdr:pic>
      <xdr:nvPicPr>
        <xdr:cNvPr id="3002476" name="Picture 11" descr="Perforation Discharge.JPG">
          <a:extLst>
            <a:ext uri="{FF2B5EF4-FFF2-40B4-BE49-F238E27FC236}">
              <a16:creationId xmlns:a16="http://schemas.microsoft.com/office/drawing/2014/main" id="{00000000-0008-0000-1B00-00006CD02D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0" y="11801475"/>
          <a:ext cx="2790825" cy="314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228600</xdr:colOff>
          <xdr:row>77</xdr:row>
          <xdr:rowOff>47625</xdr:rowOff>
        </xdr:from>
        <xdr:to>
          <xdr:col>10</xdr:col>
          <xdr:colOff>0</xdr:colOff>
          <xdr:row>77</xdr:row>
          <xdr:rowOff>219075</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00000000-0008-0000-1B00-00004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77</xdr:row>
          <xdr:rowOff>47625</xdr:rowOff>
        </xdr:from>
        <xdr:to>
          <xdr:col>11</xdr:col>
          <xdr:colOff>180975</xdr:colOff>
          <xdr:row>77</xdr:row>
          <xdr:rowOff>219075</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00000000-0008-0000-1B00-00004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Center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113</xdr:row>
          <xdr:rowOff>47625</xdr:rowOff>
        </xdr:from>
        <xdr:to>
          <xdr:col>13</xdr:col>
          <xdr:colOff>47625</xdr:colOff>
          <xdr:row>114</xdr:row>
          <xdr:rowOff>142875</xdr:rowOff>
        </xdr:to>
        <xdr:sp macro="" textlink="">
          <xdr:nvSpPr>
            <xdr:cNvPr id="4424" name="Check Box 328" hidden="1">
              <a:extLst>
                <a:ext uri="{63B3BB69-23CF-44E3-9099-C40C66FF867C}">
                  <a14:compatExt spid="_x0000_s4424"/>
                </a:ext>
                <a:ext uri="{FF2B5EF4-FFF2-40B4-BE49-F238E27FC236}">
                  <a16:creationId xmlns:a16="http://schemas.microsoft.com/office/drawing/2014/main" id="{00000000-0008-0000-1B00-00004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113</xdr:row>
          <xdr:rowOff>47625</xdr:rowOff>
        </xdr:from>
        <xdr:to>
          <xdr:col>14</xdr:col>
          <xdr:colOff>219075</xdr:colOff>
          <xdr:row>114</xdr:row>
          <xdr:rowOff>142875</xdr:rowOff>
        </xdr:to>
        <xdr:sp macro="" textlink="">
          <xdr:nvSpPr>
            <xdr:cNvPr id="4425" name="Check Box 329" hidden="1">
              <a:extLst>
                <a:ext uri="{63B3BB69-23CF-44E3-9099-C40C66FF867C}">
                  <a14:compatExt spid="_x0000_s4425"/>
                </a:ext>
                <a:ext uri="{FF2B5EF4-FFF2-40B4-BE49-F238E27FC236}">
                  <a16:creationId xmlns:a16="http://schemas.microsoft.com/office/drawing/2014/main" id="{00000000-0008-0000-1B00-00004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Center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149</xdr:row>
          <xdr:rowOff>66675</xdr:rowOff>
        </xdr:from>
        <xdr:to>
          <xdr:col>13</xdr:col>
          <xdr:colOff>28575</xdr:colOff>
          <xdr:row>150</xdr:row>
          <xdr:rowOff>180975</xdr:rowOff>
        </xdr:to>
        <xdr:sp macro="" textlink="">
          <xdr:nvSpPr>
            <xdr:cNvPr id="4426" name="Check Box 330" hidden="1">
              <a:extLst>
                <a:ext uri="{63B3BB69-23CF-44E3-9099-C40C66FF867C}">
                  <a14:compatExt spid="_x0000_s4426"/>
                </a:ext>
                <a:ext uri="{FF2B5EF4-FFF2-40B4-BE49-F238E27FC236}">
                  <a16:creationId xmlns:a16="http://schemas.microsoft.com/office/drawing/2014/main" id="{00000000-0008-0000-1B00-00004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149</xdr:row>
          <xdr:rowOff>66675</xdr:rowOff>
        </xdr:from>
        <xdr:to>
          <xdr:col>14</xdr:col>
          <xdr:colOff>200025</xdr:colOff>
          <xdr:row>150</xdr:row>
          <xdr:rowOff>180975</xdr:rowOff>
        </xdr:to>
        <xdr:sp macro="" textlink="">
          <xdr:nvSpPr>
            <xdr:cNvPr id="4427" name="Check Box 331" hidden="1">
              <a:extLst>
                <a:ext uri="{63B3BB69-23CF-44E3-9099-C40C66FF867C}">
                  <a14:compatExt spid="_x0000_s4427"/>
                </a:ext>
                <a:ext uri="{FF2B5EF4-FFF2-40B4-BE49-F238E27FC236}">
                  <a16:creationId xmlns:a16="http://schemas.microsoft.com/office/drawing/2014/main" id="{00000000-0008-0000-1B00-00004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Center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161</xdr:row>
          <xdr:rowOff>66675</xdr:rowOff>
        </xdr:from>
        <xdr:to>
          <xdr:col>13</xdr:col>
          <xdr:colOff>38100</xdr:colOff>
          <xdr:row>162</xdr:row>
          <xdr:rowOff>152400</xdr:rowOff>
        </xdr:to>
        <xdr:sp macro="" textlink="">
          <xdr:nvSpPr>
            <xdr:cNvPr id="4428" name="Check Box 332" hidden="1">
              <a:extLst>
                <a:ext uri="{63B3BB69-23CF-44E3-9099-C40C66FF867C}">
                  <a14:compatExt spid="_x0000_s4428"/>
                </a:ext>
                <a:ext uri="{FF2B5EF4-FFF2-40B4-BE49-F238E27FC236}">
                  <a16:creationId xmlns:a16="http://schemas.microsoft.com/office/drawing/2014/main" id="{00000000-0008-0000-1B00-00004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161</xdr:row>
          <xdr:rowOff>66675</xdr:rowOff>
        </xdr:from>
        <xdr:to>
          <xdr:col>14</xdr:col>
          <xdr:colOff>219075</xdr:colOff>
          <xdr:row>162</xdr:row>
          <xdr:rowOff>152400</xdr:rowOff>
        </xdr:to>
        <xdr:sp macro="" textlink="">
          <xdr:nvSpPr>
            <xdr:cNvPr id="4429" name="Check Box 333" hidden="1">
              <a:extLst>
                <a:ext uri="{63B3BB69-23CF-44E3-9099-C40C66FF867C}">
                  <a14:compatExt spid="_x0000_s4429"/>
                </a:ext>
                <a:ext uri="{FF2B5EF4-FFF2-40B4-BE49-F238E27FC236}">
                  <a16:creationId xmlns:a16="http://schemas.microsoft.com/office/drawing/2014/main" id="{00000000-0008-0000-1B00-00004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Center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125</xdr:row>
          <xdr:rowOff>66675</xdr:rowOff>
        </xdr:from>
        <xdr:to>
          <xdr:col>13</xdr:col>
          <xdr:colOff>9525</xdr:colOff>
          <xdr:row>126</xdr:row>
          <xdr:rowOff>180975</xdr:rowOff>
        </xdr:to>
        <xdr:sp macro="" textlink="">
          <xdr:nvSpPr>
            <xdr:cNvPr id="4430" name="Check Box 334" hidden="1">
              <a:extLst>
                <a:ext uri="{63B3BB69-23CF-44E3-9099-C40C66FF867C}">
                  <a14:compatExt spid="_x0000_s4430"/>
                </a:ext>
                <a:ext uri="{FF2B5EF4-FFF2-40B4-BE49-F238E27FC236}">
                  <a16:creationId xmlns:a16="http://schemas.microsoft.com/office/drawing/2014/main" id="{00000000-0008-0000-1B00-00004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125</xdr:row>
          <xdr:rowOff>66675</xdr:rowOff>
        </xdr:from>
        <xdr:to>
          <xdr:col>14</xdr:col>
          <xdr:colOff>180975</xdr:colOff>
          <xdr:row>126</xdr:row>
          <xdr:rowOff>180975</xdr:rowOff>
        </xdr:to>
        <xdr:sp macro="" textlink="">
          <xdr:nvSpPr>
            <xdr:cNvPr id="4431" name="Check Box 335" hidden="1">
              <a:extLst>
                <a:ext uri="{63B3BB69-23CF-44E3-9099-C40C66FF867C}">
                  <a14:compatExt spid="_x0000_s4431"/>
                </a:ext>
                <a:ext uri="{FF2B5EF4-FFF2-40B4-BE49-F238E27FC236}">
                  <a16:creationId xmlns:a16="http://schemas.microsoft.com/office/drawing/2014/main" id="{00000000-0008-0000-1B00-00004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Center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137</xdr:row>
          <xdr:rowOff>66675</xdr:rowOff>
        </xdr:from>
        <xdr:to>
          <xdr:col>13</xdr:col>
          <xdr:colOff>9525</xdr:colOff>
          <xdr:row>138</xdr:row>
          <xdr:rowOff>161925</xdr:rowOff>
        </xdr:to>
        <xdr:sp macro="" textlink="">
          <xdr:nvSpPr>
            <xdr:cNvPr id="734409" name="Check Box 9417" hidden="1">
              <a:extLst>
                <a:ext uri="{63B3BB69-23CF-44E3-9099-C40C66FF867C}">
                  <a14:compatExt spid="_x0000_s734409"/>
                </a:ext>
                <a:ext uri="{FF2B5EF4-FFF2-40B4-BE49-F238E27FC236}">
                  <a16:creationId xmlns:a16="http://schemas.microsoft.com/office/drawing/2014/main" id="{00000000-0008-0000-1B00-0000C93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137</xdr:row>
          <xdr:rowOff>66675</xdr:rowOff>
        </xdr:from>
        <xdr:to>
          <xdr:col>14</xdr:col>
          <xdr:colOff>180975</xdr:colOff>
          <xdr:row>138</xdr:row>
          <xdr:rowOff>161925</xdr:rowOff>
        </xdr:to>
        <xdr:sp macro="" textlink="">
          <xdr:nvSpPr>
            <xdr:cNvPr id="734410" name="Check Box 9418" hidden="1">
              <a:extLst>
                <a:ext uri="{63B3BB69-23CF-44E3-9099-C40C66FF867C}">
                  <a14:compatExt spid="_x0000_s734410"/>
                </a:ext>
                <a:ext uri="{FF2B5EF4-FFF2-40B4-BE49-F238E27FC236}">
                  <a16:creationId xmlns:a16="http://schemas.microsoft.com/office/drawing/2014/main" id="{00000000-0008-0000-1B00-0000CA3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Center</a:t>
              </a:r>
            </a:p>
          </xdr:txBody>
        </xdr:sp>
        <xdr:clientData/>
      </xdr:twoCellAnchor>
    </mc:Choice>
    <mc:Fallback/>
  </mc:AlternateContent>
  <xdr:twoCellAnchor editAs="oneCell">
    <xdr:from>
      <xdr:col>15</xdr:col>
      <xdr:colOff>76200</xdr:colOff>
      <xdr:row>0</xdr:row>
      <xdr:rowOff>57150</xdr:rowOff>
    </xdr:from>
    <xdr:to>
      <xdr:col>19</xdr:col>
      <xdr:colOff>224899</xdr:colOff>
      <xdr:row>0</xdr:row>
      <xdr:rowOff>605790</xdr:rowOff>
    </xdr:to>
    <xdr:pic>
      <xdr:nvPicPr>
        <xdr:cNvPr id="24" name="Picture 23">
          <a:extLst>
            <a:ext uri="{FF2B5EF4-FFF2-40B4-BE49-F238E27FC236}">
              <a16:creationId xmlns:a16="http://schemas.microsoft.com/office/drawing/2014/main" id="{00000000-0008-0000-1B00-00001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219825" y="57150"/>
          <a:ext cx="1786999" cy="548640"/>
        </a:xfrm>
        <a:prstGeom prst="rect">
          <a:avLst/>
        </a:prstGeom>
      </xdr:spPr>
    </xdr:pic>
    <xdr:clientData/>
  </xdr:twoCellAnchor>
  <xdr:twoCellAnchor editAs="oneCell">
    <xdr:from>
      <xdr:col>0</xdr:col>
      <xdr:colOff>57150</xdr:colOff>
      <xdr:row>0</xdr:row>
      <xdr:rowOff>85725</xdr:rowOff>
    </xdr:from>
    <xdr:to>
      <xdr:col>3</xdr:col>
      <xdr:colOff>209550</xdr:colOff>
      <xdr:row>0</xdr:row>
      <xdr:rowOff>634365</xdr:rowOff>
    </xdr:to>
    <xdr:pic>
      <xdr:nvPicPr>
        <xdr:cNvPr id="25" name="Picture 24">
          <a:extLst>
            <a:ext uri="{FF2B5EF4-FFF2-40B4-BE49-F238E27FC236}">
              <a16:creationId xmlns:a16="http://schemas.microsoft.com/office/drawing/2014/main" id="{00000000-0008-0000-1B00-00001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150" y="85725"/>
          <a:ext cx="1381125" cy="54864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400050</xdr:colOff>
      <xdr:row>11</xdr:row>
      <xdr:rowOff>19050</xdr:rowOff>
    </xdr:from>
    <xdr:to>
      <xdr:col>18</xdr:col>
      <xdr:colOff>419100</xdr:colOff>
      <xdr:row>19</xdr:row>
      <xdr:rowOff>19050</xdr:rowOff>
    </xdr:to>
    <xdr:pic>
      <xdr:nvPicPr>
        <xdr:cNvPr id="2965246" name="Picture 66" descr="Pump selection">
          <a:extLst>
            <a:ext uri="{FF2B5EF4-FFF2-40B4-BE49-F238E27FC236}">
              <a16:creationId xmlns:a16="http://schemas.microsoft.com/office/drawing/2014/main" id="{00000000-0008-0000-1C00-0000FE3E2D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76775" y="2381250"/>
          <a:ext cx="3600450" cy="1400175"/>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20</xdr:row>
      <xdr:rowOff>219075</xdr:rowOff>
    </xdr:from>
    <xdr:to>
      <xdr:col>11</xdr:col>
      <xdr:colOff>38100</xdr:colOff>
      <xdr:row>26</xdr:row>
      <xdr:rowOff>47625</xdr:rowOff>
    </xdr:to>
    <xdr:pic>
      <xdr:nvPicPr>
        <xdr:cNvPr id="2965247" name="Picture 68" descr="Distribution Head Loss">
          <a:extLst>
            <a:ext uri="{FF2B5EF4-FFF2-40B4-BE49-F238E27FC236}">
              <a16:creationId xmlns:a16="http://schemas.microsoft.com/office/drawing/2014/main" id="{00000000-0008-0000-1C00-0000FF3E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4057650"/>
          <a:ext cx="4667250" cy="160020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428625</xdr:colOff>
      <xdr:row>19</xdr:row>
      <xdr:rowOff>57150</xdr:rowOff>
    </xdr:from>
    <xdr:to>
      <xdr:col>19</xdr:col>
      <xdr:colOff>0</xdr:colOff>
      <xdr:row>38</xdr:row>
      <xdr:rowOff>161925</xdr:rowOff>
    </xdr:to>
    <xdr:pic>
      <xdr:nvPicPr>
        <xdr:cNvPr id="2965251" name="Picture 2253">
          <a:extLst>
            <a:ext uri="{FF2B5EF4-FFF2-40B4-BE49-F238E27FC236}">
              <a16:creationId xmlns:a16="http://schemas.microsoft.com/office/drawing/2014/main" id="{00000000-0008-0000-1C00-0000033F2D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53025" y="3819525"/>
          <a:ext cx="3143250" cy="441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76200</xdr:rowOff>
    </xdr:from>
    <xdr:to>
      <xdr:col>3</xdr:col>
      <xdr:colOff>285750</xdr:colOff>
      <xdr:row>0</xdr:row>
      <xdr:rowOff>624840</xdr:rowOff>
    </xdr:to>
    <xdr:pic>
      <xdr:nvPicPr>
        <xdr:cNvPr id="8" name="Picture 7">
          <a:extLst>
            <a:ext uri="{FF2B5EF4-FFF2-40B4-BE49-F238E27FC236}">
              <a16:creationId xmlns:a16="http://schemas.microsoft.com/office/drawing/2014/main" id="{00000000-0008-0000-1C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625" y="76200"/>
          <a:ext cx="1381125" cy="548640"/>
        </a:xfrm>
        <a:prstGeom prst="rect">
          <a:avLst/>
        </a:prstGeom>
      </xdr:spPr>
    </xdr:pic>
    <xdr:clientData/>
  </xdr:twoCellAnchor>
  <xdr:twoCellAnchor editAs="oneCell">
    <xdr:from>
      <xdr:col>14</xdr:col>
      <xdr:colOff>180975</xdr:colOff>
      <xdr:row>0</xdr:row>
      <xdr:rowOff>76200</xdr:rowOff>
    </xdr:from>
    <xdr:to>
      <xdr:col>18</xdr:col>
      <xdr:colOff>177274</xdr:colOff>
      <xdr:row>0</xdr:row>
      <xdr:rowOff>624840</xdr:rowOff>
    </xdr:to>
    <xdr:pic>
      <xdr:nvPicPr>
        <xdr:cNvPr id="9" name="Picture 8">
          <a:extLst>
            <a:ext uri="{FF2B5EF4-FFF2-40B4-BE49-F238E27FC236}">
              <a16:creationId xmlns:a16="http://schemas.microsoft.com/office/drawing/2014/main" id="{00000000-0008-0000-1C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248400" y="76200"/>
          <a:ext cx="1786999" cy="54864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32</xdr:col>
      <xdr:colOff>342900</xdr:colOff>
      <xdr:row>0</xdr:row>
      <xdr:rowOff>619125</xdr:rowOff>
    </xdr:from>
    <xdr:to>
      <xdr:col>36</xdr:col>
      <xdr:colOff>438150</xdr:colOff>
      <xdr:row>10</xdr:row>
      <xdr:rowOff>123825</xdr:rowOff>
    </xdr:to>
    <xdr:grpSp>
      <xdr:nvGrpSpPr>
        <xdr:cNvPr id="2995784" name="Group 1363">
          <a:extLst>
            <a:ext uri="{FF2B5EF4-FFF2-40B4-BE49-F238E27FC236}">
              <a16:creationId xmlns:a16="http://schemas.microsoft.com/office/drawing/2014/main" id="{00000000-0008-0000-1D00-000048B62D00}"/>
            </a:ext>
          </a:extLst>
        </xdr:cNvPr>
        <xdr:cNvGrpSpPr>
          <a:grpSpLocks/>
        </xdr:cNvGrpSpPr>
      </xdr:nvGrpSpPr>
      <xdr:grpSpPr bwMode="auto">
        <a:xfrm>
          <a:off x="15030450" y="619125"/>
          <a:ext cx="1800225" cy="1800225"/>
          <a:chOff x="557" y="117"/>
          <a:chExt cx="209" cy="169"/>
        </a:xfrm>
      </xdr:grpSpPr>
      <xdr:grpSp>
        <xdr:nvGrpSpPr>
          <xdr:cNvPr id="2995791" name="Group 1362">
            <a:extLst>
              <a:ext uri="{FF2B5EF4-FFF2-40B4-BE49-F238E27FC236}">
                <a16:creationId xmlns:a16="http://schemas.microsoft.com/office/drawing/2014/main" id="{00000000-0008-0000-1D00-00004FB62D00}"/>
              </a:ext>
            </a:extLst>
          </xdr:cNvPr>
          <xdr:cNvGrpSpPr>
            <a:grpSpLocks/>
          </xdr:cNvGrpSpPr>
        </xdr:nvGrpSpPr>
        <xdr:grpSpPr bwMode="auto">
          <a:xfrm>
            <a:off x="557" y="117"/>
            <a:ext cx="209" cy="169"/>
            <a:chOff x="557" y="117"/>
            <a:chExt cx="209" cy="169"/>
          </a:xfrm>
        </xdr:grpSpPr>
        <xdr:sp macro="" textlink="">
          <xdr:nvSpPr>
            <xdr:cNvPr id="2995793" name="Oval 3">
              <a:extLst>
                <a:ext uri="{FF2B5EF4-FFF2-40B4-BE49-F238E27FC236}">
                  <a16:creationId xmlns:a16="http://schemas.microsoft.com/office/drawing/2014/main" id="{00000000-0008-0000-1D00-000051B62D00}"/>
                </a:ext>
              </a:extLst>
            </xdr:cNvPr>
            <xdr:cNvSpPr>
              <a:spLocks noChangeArrowheads="1"/>
            </xdr:cNvSpPr>
          </xdr:nvSpPr>
          <xdr:spPr bwMode="auto">
            <a:xfrm>
              <a:off x="661" y="225"/>
              <a:ext cx="81" cy="61"/>
            </a:xfrm>
            <a:prstGeom prst="ellipse">
              <a:avLst/>
            </a:prstGeom>
            <a:solidFill>
              <a:srgbClr val="FFFFFF"/>
            </a:solidFill>
            <a:ln w="9525">
              <a:solidFill>
                <a:srgbClr val="000000"/>
              </a:solidFill>
              <a:round/>
              <a:headEnd/>
              <a:tailEnd/>
            </a:ln>
          </xdr:spPr>
        </xdr:sp>
        <xdr:sp macro="" textlink="">
          <xdr:nvSpPr>
            <xdr:cNvPr id="2995794" name="Rectangle 4">
              <a:extLst>
                <a:ext uri="{FF2B5EF4-FFF2-40B4-BE49-F238E27FC236}">
                  <a16:creationId xmlns:a16="http://schemas.microsoft.com/office/drawing/2014/main" id="{00000000-0008-0000-1D00-000052B62D00}"/>
                </a:ext>
              </a:extLst>
            </xdr:cNvPr>
            <xdr:cNvSpPr>
              <a:spLocks noChangeArrowheads="1"/>
            </xdr:cNvSpPr>
          </xdr:nvSpPr>
          <xdr:spPr bwMode="auto">
            <a:xfrm>
              <a:off x="557" y="118"/>
              <a:ext cx="125" cy="63"/>
            </a:xfrm>
            <a:prstGeom prst="rect">
              <a:avLst/>
            </a:prstGeom>
            <a:solidFill>
              <a:srgbClr val="FFFFFF"/>
            </a:solidFill>
            <a:ln w="9525">
              <a:solidFill>
                <a:srgbClr val="000000"/>
              </a:solidFill>
              <a:miter lim="800000"/>
              <a:headEnd/>
              <a:tailEnd/>
            </a:ln>
          </xdr:spPr>
        </xdr:sp>
        <xdr:sp macro="" textlink="">
          <xdr:nvSpPr>
            <xdr:cNvPr id="2995795" name="Line 5">
              <a:extLst>
                <a:ext uri="{FF2B5EF4-FFF2-40B4-BE49-F238E27FC236}">
                  <a16:creationId xmlns:a16="http://schemas.microsoft.com/office/drawing/2014/main" id="{00000000-0008-0000-1D00-000053B62D00}"/>
                </a:ext>
              </a:extLst>
            </xdr:cNvPr>
            <xdr:cNvSpPr>
              <a:spLocks noChangeShapeType="1"/>
            </xdr:cNvSpPr>
          </xdr:nvSpPr>
          <xdr:spPr bwMode="auto">
            <a:xfrm>
              <a:off x="557" y="196"/>
              <a:ext cx="123"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2995796" name="Line 6">
              <a:extLst>
                <a:ext uri="{FF2B5EF4-FFF2-40B4-BE49-F238E27FC236}">
                  <a16:creationId xmlns:a16="http://schemas.microsoft.com/office/drawing/2014/main" id="{00000000-0008-0000-1D00-000054B62D00}"/>
                </a:ext>
              </a:extLst>
            </xdr:cNvPr>
            <xdr:cNvSpPr>
              <a:spLocks noChangeShapeType="1"/>
            </xdr:cNvSpPr>
          </xdr:nvSpPr>
          <xdr:spPr bwMode="auto">
            <a:xfrm>
              <a:off x="701" y="117"/>
              <a:ext cx="0" cy="66"/>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31" name="Text Box 7">
              <a:extLst>
                <a:ext uri="{FF2B5EF4-FFF2-40B4-BE49-F238E27FC236}">
                  <a16:creationId xmlns:a16="http://schemas.microsoft.com/office/drawing/2014/main" id="{00000000-0008-0000-1D00-00001F000000}"/>
                </a:ext>
              </a:extLst>
            </xdr:cNvPr>
            <xdr:cNvSpPr txBox="1">
              <a:spLocks noChangeArrowheads="1"/>
            </xdr:cNvSpPr>
          </xdr:nvSpPr>
          <xdr:spPr bwMode="auto">
            <a:xfrm>
              <a:off x="713" y="129"/>
              <a:ext cx="53" cy="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Width</a:t>
              </a:r>
            </a:p>
          </xdr:txBody>
        </xdr:sp>
        <xdr:sp macro="" textlink="">
          <xdr:nvSpPr>
            <xdr:cNvPr id="32" name="Text Box 8">
              <a:extLst>
                <a:ext uri="{FF2B5EF4-FFF2-40B4-BE49-F238E27FC236}">
                  <a16:creationId xmlns:a16="http://schemas.microsoft.com/office/drawing/2014/main" id="{00000000-0008-0000-1D00-000020000000}"/>
                </a:ext>
              </a:extLst>
            </xdr:cNvPr>
            <xdr:cNvSpPr txBox="1">
              <a:spLocks noChangeArrowheads="1"/>
            </xdr:cNvSpPr>
          </xdr:nvSpPr>
          <xdr:spPr bwMode="auto">
            <a:xfrm>
              <a:off x="574" y="200"/>
              <a:ext cx="77" cy="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Length</a:t>
              </a:r>
            </a:p>
          </xdr:txBody>
        </xdr:sp>
        <xdr:sp macro="" textlink="">
          <xdr:nvSpPr>
            <xdr:cNvPr id="33" name="Text Box 9">
              <a:extLst>
                <a:ext uri="{FF2B5EF4-FFF2-40B4-BE49-F238E27FC236}">
                  <a16:creationId xmlns:a16="http://schemas.microsoft.com/office/drawing/2014/main" id="{00000000-0008-0000-1D00-000021000000}"/>
                </a:ext>
              </a:extLst>
            </xdr:cNvPr>
            <xdr:cNvSpPr txBox="1">
              <a:spLocks noChangeArrowheads="1"/>
            </xdr:cNvSpPr>
          </xdr:nvSpPr>
          <xdr:spPr bwMode="auto">
            <a:xfrm>
              <a:off x="696" y="256"/>
              <a:ext cx="53" cy="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Radius</a:t>
              </a:r>
            </a:p>
          </xdr:txBody>
        </xdr:sp>
      </xdr:grpSp>
      <xdr:sp macro="" textlink="">
        <xdr:nvSpPr>
          <xdr:cNvPr id="2995792" name="Line 10">
            <a:extLst>
              <a:ext uri="{FF2B5EF4-FFF2-40B4-BE49-F238E27FC236}">
                <a16:creationId xmlns:a16="http://schemas.microsoft.com/office/drawing/2014/main" id="{00000000-0008-0000-1D00-000050B62D00}"/>
              </a:ext>
            </a:extLst>
          </xdr:cNvPr>
          <xdr:cNvSpPr>
            <a:spLocks noChangeShapeType="1"/>
          </xdr:cNvSpPr>
        </xdr:nvSpPr>
        <xdr:spPr bwMode="auto">
          <a:xfrm>
            <a:off x="699" y="254"/>
            <a:ext cx="42" cy="0"/>
          </a:xfrm>
          <a:prstGeom prst="line">
            <a:avLst/>
          </a:prstGeom>
          <a:noFill/>
          <a:ln w="317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grpSp>
    <xdr:clientData/>
  </xdr:twoCellAnchor>
  <xdr:twoCellAnchor editAs="oneCell">
    <xdr:from>
      <xdr:col>20</xdr:col>
      <xdr:colOff>133350</xdr:colOff>
      <xdr:row>38</xdr:row>
      <xdr:rowOff>57150</xdr:rowOff>
    </xdr:from>
    <xdr:to>
      <xdr:col>28</xdr:col>
      <xdr:colOff>47625</xdr:colOff>
      <xdr:row>45</xdr:row>
      <xdr:rowOff>66675</xdr:rowOff>
    </xdr:to>
    <xdr:pic>
      <xdr:nvPicPr>
        <xdr:cNvPr id="2995785" name="Picture 128" descr="Tank Capacity">
          <a:extLst>
            <a:ext uri="{FF2B5EF4-FFF2-40B4-BE49-F238E27FC236}">
              <a16:creationId xmlns:a16="http://schemas.microsoft.com/office/drawing/2014/main" id="{00000000-0008-0000-1D00-000049B6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8572500"/>
          <a:ext cx="3495675" cy="1762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390525</xdr:colOff>
      <xdr:row>27</xdr:row>
      <xdr:rowOff>257175</xdr:rowOff>
    </xdr:from>
    <xdr:to>
      <xdr:col>18</xdr:col>
      <xdr:colOff>228600</xdr:colOff>
      <xdr:row>40</xdr:row>
      <xdr:rowOff>85725</xdr:rowOff>
    </xdr:to>
    <xdr:pic>
      <xdr:nvPicPr>
        <xdr:cNvPr id="2995786" name="Picture 129" descr="Volume of Pipe II">
          <a:extLst>
            <a:ext uri="{FF2B5EF4-FFF2-40B4-BE49-F238E27FC236}">
              <a16:creationId xmlns:a16="http://schemas.microsoft.com/office/drawing/2014/main" id="{00000000-0008-0000-1D00-00004AB6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0" y="6210300"/>
          <a:ext cx="1781175" cy="2914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219075</xdr:colOff>
      <xdr:row>47</xdr:row>
      <xdr:rowOff>152400</xdr:rowOff>
    </xdr:from>
    <xdr:to>
      <xdr:col>19</xdr:col>
      <xdr:colOff>381000</xdr:colOff>
      <xdr:row>55</xdr:row>
      <xdr:rowOff>9525</xdr:rowOff>
    </xdr:to>
    <xdr:pic>
      <xdr:nvPicPr>
        <xdr:cNvPr id="2995790" name="Picture 142">
          <a:extLst>
            <a:ext uri="{FF2B5EF4-FFF2-40B4-BE49-F238E27FC236}">
              <a16:creationId xmlns:a16="http://schemas.microsoft.com/office/drawing/2014/main" id="{00000000-0008-0000-1D00-00004EB62D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b="10344"/>
        <a:stretch>
          <a:fillRect/>
        </a:stretch>
      </xdr:blipFill>
      <xdr:spPr bwMode="auto">
        <a:xfrm>
          <a:off x="7781925" y="11572875"/>
          <a:ext cx="1647825"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57150</xdr:rowOff>
    </xdr:from>
    <xdr:to>
      <xdr:col>3</xdr:col>
      <xdr:colOff>285750</xdr:colOff>
      <xdr:row>0</xdr:row>
      <xdr:rowOff>605790</xdr:rowOff>
    </xdr:to>
    <xdr:pic>
      <xdr:nvPicPr>
        <xdr:cNvPr id="18" name="Picture 17">
          <a:extLst>
            <a:ext uri="{FF2B5EF4-FFF2-40B4-BE49-F238E27FC236}">
              <a16:creationId xmlns:a16="http://schemas.microsoft.com/office/drawing/2014/main" id="{00000000-0008-0000-1D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3825" y="57150"/>
          <a:ext cx="1381125" cy="548640"/>
        </a:xfrm>
        <a:prstGeom prst="rect">
          <a:avLst/>
        </a:prstGeom>
      </xdr:spPr>
    </xdr:pic>
    <xdr:clientData/>
  </xdr:twoCellAnchor>
  <xdr:twoCellAnchor editAs="oneCell">
    <xdr:from>
      <xdr:col>16</xdr:col>
      <xdr:colOff>19050</xdr:colOff>
      <xdr:row>0</xdr:row>
      <xdr:rowOff>95250</xdr:rowOff>
    </xdr:from>
    <xdr:to>
      <xdr:col>19</xdr:col>
      <xdr:colOff>348724</xdr:colOff>
      <xdr:row>0</xdr:row>
      <xdr:rowOff>643890</xdr:rowOff>
    </xdr:to>
    <xdr:pic>
      <xdr:nvPicPr>
        <xdr:cNvPr id="19" name="Picture 18">
          <a:extLst>
            <a:ext uri="{FF2B5EF4-FFF2-40B4-BE49-F238E27FC236}">
              <a16:creationId xmlns:a16="http://schemas.microsoft.com/office/drawing/2014/main" id="{00000000-0008-0000-1D00-00001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553325" y="95250"/>
          <a:ext cx="1786999" cy="54864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20</xdr:col>
      <xdr:colOff>161925</xdr:colOff>
      <xdr:row>30</xdr:row>
      <xdr:rowOff>152400</xdr:rowOff>
    </xdr:from>
    <xdr:to>
      <xdr:col>28</xdr:col>
      <xdr:colOff>76200</xdr:colOff>
      <xdr:row>39</xdr:row>
      <xdr:rowOff>139513</xdr:rowOff>
    </xdr:to>
    <xdr:pic>
      <xdr:nvPicPr>
        <xdr:cNvPr id="2997703" name="Picture 128" descr="Tank Capacity">
          <a:extLst>
            <a:ext uri="{FF2B5EF4-FFF2-40B4-BE49-F238E27FC236}">
              <a16:creationId xmlns:a16="http://schemas.microsoft.com/office/drawing/2014/main" id="{00000000-0008-0000-1E00-0000C7BD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8134350"/>
          <a:ext cx="3495675" cy="1762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161925</xdr:colOff>
      <xdr:row>29</xdr:row>
      <xdr:rowOff>114300</xdr:rowOff>
    </xdr:from>
    <xdr:to>
      <xdr:col>19</xdr:col>
      <xdr:colOff>457200</xdr:colOff>
      <xdr:row>44</xdr:row>
      <xdr:rowOff>25214</xdr:rowOff>
    </xdr:to>
    <xdr:pic>
      <xdr:nvPicPr>
        <xdr:cNvPr id="2997704" name="Picture 129" descr="Volume of Pipe II">
          <a:extLst>
            <a:ext uri="{FF2B5EF4-FFF2-40B4-BE49-F238E27FC236}">
              <a16:creationId xmlns:a16="http://schemas.microsoft.com/office/drawing/2014/main" id="{00000000-0008-0000-1E00-0000C8BD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250" y="5438775"/>
          <a:ext cx="1819275" cy="314941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371572</xdr:colOff>
      <xdr:row>71</xdr:row>
      <xdr:rowOff>199152</xdr:rowOff>
    </xdr:from>
    <xdr:to>
      <xdr:col>19</xdr:col>
      <xdr:colOff>552451</xdr:colOff>
      <xdr:row>83</xdr:row>
      <xdr:rowOff>47625</xdr:rowOff>
    </xdr:to>
    <xdr:pic>
      <xdr:nvPicPr>
        <xdr:cNvPr id="2997708" name="Picture 142">
          <a:extLst>
            <a:ext uri="{FF2B5EF4-FFF2-40B4-BE49-F238E27FC236}">
              <a16:creationId xmlns:a16="http://schemas.microsoft.com/office/drawing/2014/main" id="{00000000-0008-0000-1E00-0000CCBD2D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b="10344"/>
        <a:stretch>
          <a:fillRect/>
        </a:stretch>
      </xdr:blipFill>
      <xdr:spPr bwMode="auto">
        <a:xfrm>
          <a:off x="6019897" y="13772277"/>
          <a:ext cx="1704879" cy="2658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4</xdr:col>
      <xdr:colOff>200025</xdr:colOff>
      <xdr:row>0</xdr:row>
      <xdr:rowOff>634365</xdr:rowOff>
    </xdr:to>
    <xdr:pic>
      <xdr:nvPicPr>
        <xdr:cNvPr id="18" name="Picture 17">
          <a:extLst>
            <a:ext uri="{FF2B5EF4-FFF2-40B4-BE49-F238E27FC236}">
              <a16:creationId xmlns:a16="http://schemas.microsoft.com/office/drawing/2014/main" id="{00000000-0008-0000-1E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3350" y="85725"/>
          <a:ext cx="1381125" cy="548640"/>
        </a:xfrm>
        <a:prstGeom prst="rect">
          <a:avLst/>
        </a:prstGeom>
      </xdr:spPr>
    </xdr:pic>
    <xdr:clientData/>
  </xdr:twoCellAnchor>
  <xdr:twoCellAnchor editAs="oneCell">
    <xdr:from>
      <xdr:col>15</xdr:col>
      <xdr:colOff>323850</xdr:colOff>
      <xdr:row>0</xdr:row>
      <xdr:rowOff>104775</xdr:rowOff>
    </xdr:from>
    <xdr:to>
      <xdr:col>19</xdr:col>
      <xdr:colOff>624949</xdr:colOff>
      <xdr:row>0</xdr:row>
      <xdr:rowOff>653415</xdr:rowOff>
    </xdr:to>
    <xdr:pic>
      <xdr:nvPicPr>
        <xdr:cNvPr id="19" name="Picture 18">
          <a:extLst>
            <a:ext uri="{FF2B5EF4-FFF2-40B4-BE49-F238E27FC236}">
              <a16:creationId xmlns:a16="http://schemas.microsoft.com/office/drawing/2014/main" id="{00000000-0008-0000-1E00-00001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72175" y="104775"/>
          <a:ext cx="1825099" cy="548640"/>
        </a:xfrm>
        <a:prstGeom prst="rect">
          <a:avLst/>
        </a:prstGeom>
      </xdr:spPr>
    </xdr:pic>
    <xdr:clientData/>
  </xdr:twoCellAnchor>
  <xdr:twoCellAnchor>
    <xdr:from>
      <xdr:col>32</xdr:col>
      <xdr:colOff>142875</xdr:colOff>
      <xdr:row>0</xdr:row>
      <xdr:rowOff>495300</xdr:rowOff>
    </xdr:from>
    <xdr:to>
      <xdr:col>36</xdr:col>
      <xdr:colOff>238125</xdr:colOff>
      <xdr:row>7</xdr:row>
      <xdr:rowOff>191740</xdr:rowOff>
    </xdr:to>
    <xdr:grpSp>
      <xdr:nvGrpSpPr>
        <xdr:cNvPr id="17" name="Group 1363">
          <a:extLst>
            <a:ext uri="{FF2B5EF4-FFF2-40B4-BE49-F238E27FC236}">
              <a16:creationId xmlns:a16="http://schemas.microsoft.com/office/drawing/2014/main" id="{00000000-0008-0000-1E00-000011000000}"/>
            </a:ext>
          </a:extLst>
        </xdr:cNvPr>
        <xdr:cNvGrpSpPr>
          <a:grpSpLocks/>
        </xdr:cNvGrpSpPr>
      </xdr:nvGrpSpPr>
      <xdr:grpSpPr bwMode="auto">
        <a:xfrm>
          <a:off x="13087350" y="495300"/>
          <a:ext cx="1809750" cy="1344265"/>
          <a:chOff x="557" y="117"/>
          <a:chExt cx="209" cy="198"/>
        </a:xfrm>
      </xdr:grpSpPr>
      <xdr:grpSp>
        <xdr:nvGrpSpPr>
          <xdr:cNvPr id="20" name="Group 1362">
            <a:extLst>
              <a:ext uri="{FF2B5EF4-FFF2-40B4-BE49-F238E27FC236}">
                <a16:creationId xmlns:a16="http://schemas.microsoft.com/office/drawing/2014/main" id="{00000000-0008-0000-1E00-000014000000}"/>
              </a:ext>
            </a:extLst>
          </xdr:cNvPr>
          <xdr:cNvGrpSpPr>
            <a:grpSpLocks/>
          </xdr:cNvGrpSpPr>
        </xdr:nvGrpSpPr>
        <xdr:grpSpPr bwMode="auto">
          <a:xfrm>
            <a:off x="557" y="117"/>
            <a:ext cx="209" cy="198"/>
            <a:chOff x="557" y="117"/>
            <a:chExt cx="209" cy="198"/>
          </a:xfrm>
        </xdr:grpSpPr>
        <xdr:sp macro="" textlink="">
          <xdr:nvSpPr>
            <xdr:cNvPr id="22" name="Oval 3">
              <a:extLst>
                <a:ext uri="{FF2B5EF4-FFF2-40B4-BE49-F238E27FC236}">
                  <a16:creationId xmlns:a16="http://schemas.microsoft.com/office/drawing/2014/main" id="{00000000-0008-0000-1E00-000016000000}"/>
                </a:ext>
              </a:extLst>
            </xdr:cNvPr>
            <xdr:cNvSpPr>
              <a:spLocks noChangeArrowheads="1"/>
            </xdr:cNvSpPr>
          </xdr:nvSpPr>
          <xdr:spPr bwMode="auto">
            <a:xfrm>
              <a:off x="661" y="225"/>
              <a:ext cx="81" cy="61"/>
            </a:xfrm>
            <a:prstGeom prst="ellipse">
              <a:avLst/>
            </a:prstGeom>
            <a:solidFill>
              <a:srgbClr val="FFFFFF"/>
            </a:solidFill>
            <a:ln w="9525">
              <a:solidFill>
                <a:srgbClr val="000000"/>
              </a:solidFill>
              <a:round/>
              <a:headEnd/>
              <a:tailEnd/>
            </a:ln>
          </xdr:spPr>
        </xdr:sp>
        <xdr:sp macro="" textlink="">
          <xdr:nvSpPr>
            <xdr:cNvPr id="23" name="Rectangle 4">
              <a:extLst>
                <a:ext uri="{FF2B5EF4-FFF2-40B4-BE49-F238E27FC236}">
                  <a16:creationId xmlns:a16="http://schemas.microsoft.com/office/drawing/2014/main" id="{00000000-0008-0000-1E00-000017000000}"/>
                </a:ext>
              </a:extLst>
            </xdr:cNvPr>
            <xdr:cNvSpPr>
              <a:spLocks noChangeArrowheads="1"/>
            </xdr:cNvSpPr>
          </xdr:nvSpPr>
          <xdr:spPr bwMode="auto">
            <a:xfrm>
              <a:off x="557" y="118"/>
              <a:ext cx="125" cy="63"/>
            </a:xfrm>
            <a:prstGeom prst="rect">
              <a:avLst/>
            </a:prstGeom>
            <a:solidFill>
              <a:srgbClr val="FFFFFF"/>
            </a:solidFill>
            <a:ln w="9525">
              <a:solidFill>
                <a:srgbClr val="000000"/>
              </a:solidFill>
              <a:miter lim="800000"/>
              <a:headEnd/>
              <a:tailEnd/>
            </a:ln>
          </xdr:spPr>
        </xdr:sp>
        <xdr:sp macro="" textlink="">
          <xdr:nvSpPr>
            <xdr:cNvPr id="24" name="Line 5">
              <a:extLst>
                <a:ext uri="{FF2B5EF4-FFF2-40B4-BE49-F238E27FC236}">
                  <a16:creationId xmlns:a16="http://schemas.microsoft.com/office/drawing/2014/main" id="{00000000-0008-0000-1E00-000018000000}"/>
                </a:ext>
              </a:extLst>
            </xdr:cNvPr>
            <xdr:cNvSpPr>
              <a:spLocks noChangeShapeType="1"/>
            </xdr:cNvSpPr>
          </xdr:nvSpPr>
          <xdr:spPr bwMode="auto">
            <a:xfrm>
              <a:off x="557" y="196"/>
              <a:ext cx="123"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25" name="Line 6">
              <a:extLst>
                <a:ext uri="{FF2B5EF4-FFF2-40B4-BE49-F238E27FC236}">
                  <a16:creationId xmlns:a16="http://schemas.microsoft.com/office/drawing/2014/main" id="{00000000-0008-0000-1E00-000019000000}"/>
                </a:ext>
              </a:extLst>
            </xdr:cNvPr>
            <xdr:cNvSpPr>
              <a:spLocks noChangeShapeType="1"/>
            </xdr:cNvSpPr>
          </xdr:nvSpPr>
          <xdr:spPr bwMode="auto">
            <a:xfrm>
              <a:off x="701" y="117"/>
              <a:ext cx="0" cy="66"/>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26" name="Text Box 7">
              <a:extLst>
                <a:ext uri="{FF2B5EF4-FFF2-40B4-BE49-F238E27FC236}">
                  <a16:creationId xmlns:a16="http://schemas.microsoft.com/office/drawing/2014/main" id="{00000000-0008-0000-1E00-00001A000000}"/>
                </a:ext>
              </a:extLst>
            </xdr:cNvPr>
            <xdr:cNvSpPr txBox="1">
              <a:spLocks noChangeArrowheads="1"/>
            </xdr:cNvSpPr>
          </xdr:nvSpPr>
          <xdr:spPr bwMode="auto">
            <a:xfrm>
              <a:off x="713" y="129"/>
              <a:ext cx="53" cy="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Width</a:t>
              </a:r>
            </a:p>
          </xdr:txBody>
        </xdr:sp>
        <xdr:sp macro="" textlink="">
          <xdr:nvSpPr>
            <xdr:cNvPr id="27" name="Text Box 8">
              <a:extLst>
                <a:ext uri="{FF2B5EF4-FFF2-40B4-BE49-F238E27FC236}">
                  <a16:creationId xmlns:a16="http://schemas.microsoft.com/office/drawing/2014/main" id="{00000000-0008-0000-1E00-00001B000000}"/>
                </a:ext>
              </a:extLst>
            </xdr:cNvPr>
            <xdr:cNvSpPr txBox="1">
              <a:spLocks noChangeArrowheads="1"/>
            </xdr:cNvSpPr>
          </xdr:nvSpPr>
          <xdr:spPr bwMode="auto">
            <a:xfrm>
              <a:off x="574" y="200"/>
              <a:ext cx="77" cy="25"/>
            </a:xfrm>
            <a:prstGeom prst="rect">
              <a:avLst/>
            </a:prstGeom>
            <a:solidFill>
              <a:srgbClr val="FFFFFF"/>
            </a:solidFill>
            <a:ln w="9525">
              <a:noFill/>
              <a:miter lim="800000"/>
              <a:headEnd/>
              <a:tailEnd/>
            </a:ln>
          </xdr:spPr>
          <xdr:txBody>
            <a:bodyPr vertOverflow="clip" wrap="square" lIns="27432" tIns="22860" rIns="0" bIns="0" anchor="ctr" upright="1"/>
            <a:lstStyle/>
            <a:p>
              <a:pPr algn="ctr" rtl="0">
                <a:defRPr sz="1000"/>
              </a:pPr>
              <a:r>
                <a:rPr lang="en-US" sz="1000" b="0" i="0" strike="noStrike">
                  <a:solidFill>
                    <a:srgbClr val="000000"/>
                  </a:solidFill>
                  <a:latin typeface="Arial"/>
                  <a:cs typeface="Arial"/>
                </a:rPr>
                <a:t>Length</a:t>
              </a:r>
            </a:p>
          </xdr:txBody>
        </xdr:sp>
        <xdr:sp macro="" textlink="">
          <xdr:nvSpPr>
            <xdr:cNvPr id="28" name="Text Box 9">
              <a:extLst>
                <a:ext uri="{FF2B5EF4-FFF2-40B4-BE49-F238E27FC236}">
                  <a16:creationId xmlns:a16="http://schemas.microsoft.com/office/drawing/2014/main" id="{00000000-0008-0000-1E00-00001C000000}"/>
                </a:ext>
              </a:extLst>
            </xdr:cNvPr>
            <xdr:cNvSpPr txBox="1">
              <a:spLocks noChangeArrowheads="1"/>
            </xdr:cNvSpPr>
          </xdr:nvSpPr>
          <xdr:spPr bwMode="auto">
            <a:xfrm>
              <a:off x="709" y="283"/>
              <a:ext cx="53" cy="32"/>
            </a:xfrm>
            <a:prstGeom prst="rect">
              <a:avLst/>
            </a:prstGeom>
            <a:noFill/>
            <a:ln w="9525">
              <a:noFill/>
              <a:miter lim="800000"/>
              <a:headEnd/>
              <a:tailEnd/>
            </a:ln>
          </xdr:spPr>
          <xdr:txBody>
            <a:bodyPr vertOverflow="clip" wrap="square" lIns="27432" tIns="22860" rIns="0" bIns="0" anchor="ctr" upright="1"/>
            <a:lstStyle/>
            <a:p>
              <a:pPr algn="ctr" rtl="0">
                <a:defRPr sz="1000"/>
              </a:pPr>
              <a:r>
                <a:rPr lang="en-US" sz="1000" b="0" i="0" strike="noStrike">
                  <a:solidFill>
                    <a:srgbClr val="000000"/>
                  </a:solidFill>
                  <a:latin typeface="Arial"/>
                  <a:cs typeface="Arial"/>
                </a:rPr>
                <a:t>Radius</a:t>
              </a:r>
            </a:p>
          </xdr:txBody>
        </xdr:sp>
      </xdr:grpSp>
      <xdr:sp macro="" textlink="">
        <xdr:nvSpPr>
          <xdr:cNvPr id="21" name="Line 10">
            <a:extLst>
              <a:ext uri="{FF2B5EF4-FFF2-40B4-BE49-F238E27FC236}">
                <a16:creationId xmlns:a16="http://schemas.microsoft.com/office/drawing/2014/main" id="{00000000-0008-0000-1E00-000015000000}"/>
              </a:ext>
            </a:extLst>
          </xdr:cNvPr>
          <xdr:cNvSpPr>
            <a:spLocks noChangeShapeType="1"/>
          </xdr:cNvSpPr>
        </xdr:nvSpPr>
        <xdr:spPr bwMode="auto">
          <a:xfrm>
            <a:off x="699" y="254"/>
            <a:ext cx="42" cy="0"/>
          </a:xfrm>
          <a:prstGeom prst="line">
            <a:avLst/>
          </a:prstGeom>
          <a:noFill/>
          <a:ln w="317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2</xdr:row>
          <xdr:rowOff>28575</xdr:rowOff>
        </xdr:from>
        <xdr:to>
          <xdr:col>6</xdr:col>
          <xdr:colOff>114300</xdr:colOff>
          <xdr:row>2</xdr:row>
          <xdr:rowOff>238125</xdr:rowOff>
        </xdr:to>
        <xdr:sp macro="" textlink="">
          <xdr:nvSpPr>
            <xdr:cNvPr id="4654081" name="Check Box 1" hidden="1">
              <a:extLst>
                <a:ext uri="{63B3BB69-23CF-44E3-9099-C40C66FF867C}">
                  <a14:compatExt spid="_x0000_s4654081"/>
                </a:ext>
                <a:ext uri="{FF2B5EF4-FFF2-40B4-BE49-F238E27FC236}">
                  <a16:creationId xmlns:a16="http://schemas.microsoft.com/office/drawing/2014/main" id="{00000000-0008-0000-0400-000001044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2</xdr:row>
          <xdr:rowOff>28575</xdr:rowOff>
        </xdr:from>
        <xdr:to>
          <xdr:col>7</xdr:col>
          <xdr:colOff>257175</xdr:colOff>
          <xdr:row>2</xdr:row>
          <xdr:rowOff>238125</xdr:rowOff>
        </xdr:to>
        <xdr:sp macro="" textlink="">
          <xdr:nvSpPr>
            <xdr:cNvPr id="4654082" name="Check Box 2" hidden="1">
              <a:extLst>
                <a:ext uri="{63B3BB69-23CF-44E3-9099-C40C66FF867C}">
                  <a14:compatExt spid="_x0000_s4654082"/>
                </a:ext>
                <a:ext uri="{FF2B5EF4-FFF2-40B4-BE49-F238E27FC236}">
                  <a16:creationId xmlns:a16="http://schemas.microsoft.com/office/drawing/2014/main" id="{00000000-0008-0000-0400-000002044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2</xdr:row>
          <xdr:rowOff>28575</xdr:rowOff>
        </xdr:from>
        <xdr:to>
          <xdr:col>7</xdr:col>
          <xdr:colOff>952500</xdr:colOff>
          <xdr:row>2</xdr:row>
          <xdr:rowOff>238125</xdr:rowOff>
        </xdr:to>
        <xdr:sp macro="" textlink="">
          <xdr:nvSpPr>
            <xdr:cNvPr id="4654083" name="Check Box 3" hidden="1">
              <a:extLst>
                <a:ext uri="{63B3BB69-23CF-44E3-9099-C40C66FF867C}">
                  <a14:compatExt spid="_x0000_s4654083"/>
                </a:ext>
                <a:ext uri="{FF2B5EF4-FFF2-40B4-BE49-F238E27FC236}">
                  <a16:creationId xmlns:a16="http://schemas.microsoft.com/office/drawing/2014/main" id="{00000000-0008-0000-0400-000003044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428625</xdr:colOff>
          <xdr:row>2</xdr:row>
          <xdr:rowOff>28575</xdr:rowOff>
        </xdr:from>
        <xdr:to>
          <xdr:col>8</xdr:col>
          <xdr:colOff>485775</xdr:colOff>
          <xdr:row>2</xdr:row>
          <xdr:rowOff>238125</xdr:rowOff>
        </xdr:to>
        <xdr:sp macro="" textlink="">
          <xdr:nvSpPr>
            <xdr:cNvPr id="4654084" name="Check Box 4" hidden="1">
              <a:extLst>
                <a:ext uri="{63B3BB69-23CF-44E3-9099-C40C66FF867C}">
                  <a14:compatExt spid="_x0000_s4654084"/>
                </a:ext>
                <a:ext uri="{FF2B5EF4-FFF2-40B4-BE49-F238E27FC236}">
                  <a16:creationId xmlns:a16="http://schemas.microsoft.com/office/drawing/2014/main" id="{00000000-0008-0000-0400-000004044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819150</xdr:colOff>
          <xdr:row>2</xdr:row>
          <xdr:rowOff>28575</xdr:rowOff>
        </xdr:from>
        <xdr:to>
          <xdr:col>9</xdr:col>
          <xdr:colOff>114300</xdr:colOff>
          <xdr:row>2</xdr:row>
          <xdr:rowOff>238125</xdr:rowOff>
        </xdr:to>
        <xdr:sp macro="" textlink="">
          <xdr:nvSpPr>
            <xdr:cNvPr id="4654085" name="Check Box 5" hidden="1">
              <a:extLst>
                <a:ext uri="{63B3BB69-23CF-44E3-9099-C40C66FF867C}">
                  <a14:compatExt spid="_x0000_s4654085"/>
                </a:ext>
                <a:ext uri="{FF2B5EF4-FFF2-40B4-BE49-F238E27FC236}">
                  <a16:creationId xmlns:a16="http://schemas.microsoft.com/office/drawing/2014/main" id="{00000000-0008-0000-0400-000005044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485775</xdr:colOff>
          <xdr:row>2</xdr:row>
          <xdr:rowOff>28575</xdr:rowOff>
        </xdr:from>
        <xdr:to>
          <xdr:col>9</xdr:col>
          <xdr:colOff>733425</xdr:colOff>
          <xdr:row>2</xdr:row>
          <xdr:rowOff>238125</xdr:rowOff>
        </xdr:to>
        <xdr:sp macro="" textlink="">
          <xdr:nvSpPr>
            <xdr:cNvPr id="4654086" name="Check Box 6" hidden="1">
              <a:extLst>
                <a:ext uri="{63B3BB69-23CF-44E3-9099-C40C66FF867C}">
                  <a14:compatExt spid="_x0000_s4654086"/>
                </a:ext>
                <a:ext uri="{FF2B5EF4-FFF2-40B4-BE49-F238E27FC236}">
                  <a16:creationId xmlns:a16="http://schemas.microsoft.com/office/drawing/2014/main" id="{00000000-0008-0000-0400-000006044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352425</xdr:colOff>
          <xdr:row>2</xdr:row>
          <xdr:rowOff>28575</xdr:rowOff>
        </xdr:from>
        <xdr:to>
          <xdr:col>10</xdr:col>
          <xdr:colOff>600075</xdr:colOff>
          <xdr:row>2</xdr:row>
          <xdr:rowOff>238125</xdr:rowOff>
        </xdr:to>
        <xdr:sp macro="" textlink="">
          <xdr:nvSpPr>
            <xdr:cNvPr id="4654087" name="Check Box 7" hidden="1">
              <a:extLst>
                <a:ext uri="{63B3BB69-23CF-44E3-9099-C40C66FF867C}">
                  <a14:compatExt spid="_x0000_s4654087"/>
                </a:ext>
                <a:ext uri="{FF2B5EF4-FFF2-40B4-BE49-F238E27FC236}">
                  <a16:creationId xmlns:a16="http://schemas.microsoft.com/office/drawing/2014/main" id="{00000000-0008-0000-0400-000007044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xdr:twoCellAnchor editAs="oneCell">
    <xdr:from>
      <xdr:col>0</xdr:col>
      <xdr:colOff>38100</xdr:colOff>
      <xdr:row>0</xdr:row>
      <xdr:rowOff>9525</xdr:rowOff>
    </xdr:from>
    <xdr:to>
      <xdr:col>1</xdr:col>
      <xdr:colOff>722688</xdr:colOff>
      <xdr:row>0</xdr:row>
      <xdr:rowOff>558165</xdr:rowOff>
    </xdr:to>
    <xdr:pic>
      <xdr:nvPicPr>
        <xdr:cNvPr id="2" name="Picture 1">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9525"/>
          <a:ext cx="1379913" cy="548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523875</xdr:colOff>
          <xdr:row>2</xdr:row>
          <xdr:rowOff>28575</xdr:rowOff>
        </xdr:from>
        <xdr:to>
          <xdr:col>11</xdr:col>
          <xdr:colOff>400050</xdr:colOff>
          <xdr:row>2</xdr:row>
          <xdr:rowOff>238125</xdr:rowOff>
        </xdr:to>
        <xdr:sp macro="" textlink="">
          <xdr:nvSpPr>
            <xdr:cNvPr id="4654088" name="Check Box 8" hidden="1">
              <a:extLst>
                <a:ext uri="{63B3BB69-23CF-44E3-9099-C40C66FF867C}">
                  <a14:compatExt spid="_x0000_s4654088"/>
                </a:ext>
                <a:ext uri="{FF2B5EF4-FFF2-40B4-BE49-F238E27FC236}">
                  <a16:creationId xmlns:a16="http://schemas.microsoft.com/office/drawing/2014/main" id="{00000000-0008-0000-0400-000008044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Disturbed/Fill</a:t>
              </a:r>
            </a:p>
          </xdr:txBody>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editAs="oneCell">
    <xdr:from>
      <xdr:col>16</xdr:col>
      <xdr:colOff>485775</xdr:colOff>
      <xdr:row>39</xdr:row>
      <xdr:rowOff>247650</xdr:rowOff>
    </xdr:from>
    <xdr:to>
      <xdr:col>20</xdr:col>
      <xdr:colOff>0</xdr:colOff>
      <xdr:row>56</xdr:row>
      <xdr:rowOff>295275</xdr:rowOff>
    </xdr:to>
    <xdr:pic>
      <xdr:nvPicPr>
        <xdr:cNvPr id="2994332" name="Picture 1" descr="7.23_Buoyancy_Calculation.tif">
          <a:extLst>
            <a:ext uri="{FF2B5EF4-FFF2-40B4-BE49-F238E27FC236}">
              <a16:creationId xmlns:a16="http://schemas.microsoft.com/office/drawing/2014/main" id="{00000000-0008-0000-1F00-00009CB02D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0075" y="7486650"/>
          <a:ext cx="1495425" cy="2819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0</xdr:row>
      <xdr:rowOff>74083</xdr:rowOff>
    </xdr:from>
    <xdr:to>
      <xdr:col>3</xdr:col>
      <xdr:colOff>185208</xdr:colOff>
      <xdr:row>0</xdr:row>
      <xdr:rowOff>622723</xdr:rowOff>
    </xdr:to>
    <xdr:pic>
      <xdr:nvPicPr>
        <xdr:cNvPr id="6" name="Picture 5">
          <a:extLst>
            <a:ext uri="{FF2B5EF4-FFF2-40B4-BE49-F238E27FC236}">
              <a16:creationId xmlns:a16="http://schemas.microsoft.com/office/drawing/2014/main" id="{00000000-0008-0000-1F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0" y="74083"/>
          <a:ext cx="1381125" cy="548640"/>
        </a:xfrm>
        <a:prstGeom prst="rect">
          <a:avLst/>
        </a:prstGeom>
      </xdr:spPr>
    </xdr:pic>
    <xdr:clientData/>
  </xdr:twoCellAnchor>
  <xdr:twoCellAnchor editAs="oneCell">
    <xdr:from>
      <xdr:col>15</xdr:col>
      <xdr:colOff>405343</xdr:colOff>
      <xdr:row>0</xdr:row>
      <xdr:rowOff>94191</xdr:rowOff>
    </xdr:from>
    <xdr:to>
      <xdr:col>19</xdr:col>
      <xdr:colOff>118008</xdr:colOff>
      <xdr:row>0</xdr:row>
      <xdr:rowOff>642831</xdr:rowOff>
    </xdr:to>
    <xdr:pic>
      <xdr:nvPicPr>
        <xdr:cNvPr id="7" name="Picture 6">
          <a:extLst>
            <a:ext uri="{FF2B5EF4-FFF2-40B4-BE49-F238E27FC236}">
              <a16:creationId xmlns:a16="http://schemas.microsoft.com/office/drawing/2014/main" id="{00000000-0008-0000-1F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08926" y="94191"/>
          <a:ext cx="1786999" cy="54864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16</xdr:col>
      <xdr:colOff>485775</xdr:colOff>
      <xdr:row>39</xdr:row>
      <xdr:rowOff>247650</xdr:rowOff>
    </xdr:from>
    <xdr:to>
      <xdr:col>20</xdr:col>
      <xdr:colOff>0</xdr:colOff>
      <xdr:row>56</xdr:row>
      <xdr:rowOff>295275</xdr:rowOff>
    </xdr:to>
    <xdr:pic>
      <xdr:nvPicPr>
        <xdr:cNvPr id="2" name="Picture 1" descr="7.23_Buoyancy_Calculation.tif">
          <a:extLst>
            <a:ext uri="{FF2B5EF4-FFF2-40B4-BE49-F238E27FC236}">
              <a16:creationId xmlns:a16="http://schemas.microsoft.com/office/drawing/2014/main" id="{E7EF1F19-BF74-494A-BD5F-A2452E85EC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0075" y="7562850"/>
          <a:ext cx="1495425" cy="2819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0</xdr:row>
      <xdr:rowOff>74083</xdr:rowOff>
    </xdr:from>
    <xdr:to>
      <xdr:col>3</xdr:col>
      <xdr:colOff>185208</xdr:colOff>
      <xdr:row>0</xdr:row>
      <xdr:rowOff>622723</xdr:rowOff>
    </xdr:to>
    <xdr:pic>
      <xdr:nvPicPr>
        <xdr:cNvPr id="3" name="Picture 2">
          <a:extLst>
            <a:ext uri="{FF2B5EF4-FFF2-40B4-BE49-F238E27FC236}">
              <a16:creationId xmlns:a16="http://schemas.microsoft.com/office/drawing/2014/main" id="{55594498-2D10-437C-B463-B16CD0B54B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0" y="74083"/>
          <a:ext cx="1356783" cy="548640"/>
        </a:xfrm>
        <a:prstGeom prst="rect">
          <a:avLst/>
        </a:prstGeom>
      </xdr:spPr>
    </xdr:pic>
    <xdr:clientData/>
  </xdr:twoCellAnchor>
  <xdr:twoCellAnchor editAs="oneCell">
    <xdr:from>
      <xdr:col>15</xdr:col>
      <xdr:colOff>405343</xdr:colOff>
      <xdr:row>0</xdr:row>
      <xdr:rowOff>94191</xdr:rowOff>
    </xdr:from>
    <xdr:to>
      <xdr:col>19</xdr:col>
      <xdr:colOff>118008</xdr:colOff>
      <xdr:row>0</xdr:row>
      <xdr:rowOff>642831</xdr:rowOff>
    </xdr:to>
    <xdr:pic>
      <xdr:nvPicPr>
        <xdr:cNvPr id="4" name="Picture 3">
          <a:extLst>
            <a:ext uri="{FF2B5EF4-FFF2-40B4-BE49-F238E27FC236}">
              <a16:creationId xmlns:a16="http://schemas.microsoft.com/office/drawing/2014/main" id="{981BF62B-A5DC-466C-9F46-7478C45EEF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44343" y="94191"/>
          <a:ext cx="1693865" cy="54864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18</xdr:col>
      <xdr:colOff>95250</xdr:colOff>
      <xdr:row>0</xdr:row>
      <xdr:rowOff>57150</xdr:rowOff>
    </xdr:from>
    <xdr:to>
      <xdr:col>23</xdr:col>
      <xdr:colOff>129649</xdr:colOff>
      <xdr:row>1</xdr:row>
      <xdr:rowOff>43815</xdr:rowOff>
    </xdr:to>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8300" y="57150"/>
          <a:ext cx="1729849" cy="548640"/>
        </a:xfrm>
        <a:prstGeom prst="rect">
          <a:avLst/>
        </a:prstGeom>
      </xdr:spPr>
    </xdr:pic>
    <xdr:clientData/>
  </xdr:twoCellAnchor>
  <xdr:twoCellAnchor editAs="oneCell">
    <xdr:from>
      <xdr:col>0</xdr:col>
      <xdr:colOff>47625</xdr:colOff>
      <xdr:row>0</xdr:row>
      <xdr:rowOff>66675</xdr:rowOff>
    </xdr:from>
    <xdr:to>
      <xdr:col>5</xdr:col>
      <xdr:colOff>3175</xdr:colOff>
      <xdr:row>1</xdr:row>
      <xdr:rowOff>56515</xdr:rowOff>
    </xdr:to>
    <xdr:pic>
      <xdr:nvPicPr>
        <xdr:cNvPr id="3" name="Picture 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 y="66675"/>
          <a:ext cx="1346200" cy="551815"/>
        </a:xfrm>
        <a:prstGeom prst="rect">
          <a:avLst/>
        </a:prstGeom>
      </xdr:spPr>
    </xdr:pic>
    <xdr:clientData/>
  </xdr:twoCellAnchor>
  <xdr:twoCellAnchor>
    <xdr:from>
      <xdr:col>36</xdr:col>
      <xdr:colOff>342900</xdr:colOff>
      <xdr:row>44</xdr:row>
      <xdr:rowOff>0</xdr:rowOff>
    </xdr:from>
    <xdr:to>
      <xdr:col>41</xdr:col>
      <xdr:colOff>0</xdr:colOff>
      <xdr:row>54</xdr:row>
      <xdr:rowOff>0</xdr:rowOff>
    </xdr:to>
    <xdr:grpSp>
      <xdr:nvGrpSpPr>
        <xdr:cNvPr id="4" name="Group 1363">
          <a:extLst>
            <a:ext uri="{FF2B5EF4-FFF2-40B4-BE49-F238E27FC236}">
              <a16:creationId xmlns:a16="http://schemas.microsoft.com/office/drawing/2014/main" id="{00000000-0008-0000-2100-000004000000}"/>
            </a:ext>
          </a:extLst>
        </xdr:cNvPr>
        <xdr:cNvGrpSpPr>
          <a:grpSpLocks/>
        </xdr:cNvGrpSpPr>
      </xdr:nvGrpSpPr>
      <xdr:grpSpPr bwMode="auto">
        <a:xfrm>
          <a:off x="12868275" y="6762750"/>
          <a:ext cx="1800225" cy="1485900"/>
          <a:chOff x="557" y="117"/>
          <a:chExt cx="209" cy="169"/>
        </a:xfrm>
      </xdr:grpSpPr>
      <xdr:grpSp>
        <xdr:nvGrpSpPr>
          <xdr:cNvPr id="5" name="Group 1362">
            <a:extLst>
              <a:ext uri="{FF2B5EF4-FFF2-40B4-BE49-F238E27FC236}">
                <a16:creationId xmlns:a16="http://schemas.microsoft.com/office/drawing/2014/main" id="{00000000-0008-0000-2100-000005000000}"/>
              </a:ext>
            </a:extLst>
          </xdr:cNvPr>
          <xdr:cNvGrpSpPr>
            <a:grpSpLocks/>
          </xdr:cNvGrpSpPr>
        </xdr:nvGrpSpPr>
        <xdr:grpSpPr bwMode="auto">
          <a:xfrm>
            <a:off x="557" y="117"/>
            <a:ext cx="209" cy="169"/>
            <a:chOff x="557" y="117"/>
            <a:chExt cx="209" cy="169"/>
          </a:xfrm>
        </xdr:grpSpPr>
        <xdr:sp macro="" textlink="">
          <xdr:nvSpPr>
            <xdr:cNvPr id="7" name="Oval 3">
              <a:extLst>
                <a:ext uri="{FF2B5EF4-FFF2-40B4-BE49-F238E27FC236}">
                  <a16:creationId xmlns:a16="http://schemas.microsoft.com/office/drawing/2014/main" id="{00000000-0008-0000-2100-000007000000}"/>
                </a:ext>
              </a:extLst>
            </xdr:cNvPr>
            <xdr:cNvSpPr>
              <a:spLocks noChangeArrowheads="1"/>
            </xdr:cNvSpPr>
          </xdr:nvSpPr>
          <xdr:spPr bwMode="auto">
            <a:xfrm>
              <a:off x="661" y="225"/>
              <a:ext cx="81" cy="61"/>
            </a:xfrm>
            <a:prstGeom prst="ellipse">
              <a:avLst/>
            </a:prstGeom>
            <a:solidFill>
              <a:srgbClr val="FFFFFF"/>
            </a:solidFill>
            <a:ln w="9525">
              <a:solidFill>
                <a:srgbClr val="000000"/>
              </a:solidFill>
              <a:round/>
              <a:headEnd/>
              <a:tailEnd/>
            </a:ln>
          </xdr:spPr>
        </xdr:sp>
        <xdr:sp macro="" textlink="">
          <xdr:nvSpPr>
            <xdr:cNvPr id="8" name="Rectangle 4">
              <a:extLst>
                <a:ext uri="{FF2B5EF4-FFF2-40B4-BE49-F238E27FC236}">
                  <a16:creationId xmlns:a16="http://schemas.microsoft.com/office/drawing/2014/main" id="{00000000-0008-0000-2100-000008000000}"/>
                </a:ext>
              </a:extLst>
            </xdr:cNvPr>
            <xdr:cNvSpPr>
              <a:spLocks noChangeArrowheads="1"/>
            </xdr:cNvSpPr>
          </xdr:nvSpPr>
          <xdr:spPr bwMode="auto">
            <a:xfrm>
              <a:off x="557" y="118"/>
              <a:ext cx="125" cy="63"/>
            </a:xfrm>
            <a:prstGeom prst="rect">
              <a:avLst/>
            </a:prstGeom>
            <a:solidFill>
              <a:srgbClr val="FFFFFF"/>
            </a:solidFill>
            <a:ln w="9525">
              <a:solidFill>
                <a:srgbClr val="000000"/>
              </a:solidFill>
              <a:miter lim="800000"/>
              <a:headEnd/>
              <a:tailEnd/>
            </a:ln>
          </xdr:spPr>
        </xdr:sp>
        <xdr:sp macro="" textlink="">
          <xdr:nvSpPr>
            <xdr:cNvPr id="9" name="Line 5">
              <a:extLst>
                <a:ext uri="{FF2B5EF4-FFF2-40B4-BE49-F238E27FC236}">
                  <a16:creationId xmlns:a16="http://schemas.microsoft.com/office/drawing/2014/main" id="{00000000-0008-0000-2100-000009000000}"/>
                </a:ext>
              </a:extLst>
            </xdr:cNvPr>
            <xdr:cNvSpPr>
              <a:spLocks noChangeShapeType="1"/>
            </xdr:cNvSpPr>
          </xdr:nvSpPr>
          <xdr:spPr bwMode="auto">
            <a:xfrm>
              <a:off x="557" y="196"/>
              <a:ext cx="123"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10" name="Line 6">
              <a:extLst>
                <a:ext uri="{FF2B5EF4-FFF2-40B4-BE49-F238E27FC236}">
                  <a16:creationId xmlns:a16="http://schemas.microsoft.com/office/drawing/2014/main" id="{00000000-0008-0000-2100-00000A000000}"/>
                </a:ext>
              </a:extLst>
            </xdr:cNvPr>
            <xdr:cNvSpPr>
              <a:spLocks noChangeShapeType="1"/>
            </xdr:cNvSpPr>
          </xdr:nvSpPr>
          <xdr:spPr bwMode="auto">
            <a:xfrm>
              <a:off x="701" y="117"/>
              <a:ext cx="0" cy="66"/>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11" name="Text Box 7">
              <a:extLst>
                <a:ext uri="{FF2B5EF4-FFF2-40B4-BE49-F238E27FC236}">
                  <a16:creationId xmlns:a16="http://schemas.microsoft.com/office/drawing/2014/main" id="{00000000-0008-0000-2100-00000B000000}"/>
                </a:ext>
              </a:extLst>
            </xdr:cNvPr>
            <xdr:cNvSpPr txBox="1">
              <a:spLocks noChangeArrowheads="1"/>
            </xdr:cNvSpPr>
          </xdr:nvSpPr>
          <xdr:spPr bwMode="auto">
            <a:xfrm>
              <a:off x="713" y="129"/>
              <a:ext cx="53" cy="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Width</a:t>
              </a:r>
            </a:p>
          </xdr:txBody>
        </xdr:sp>
        <xdr:sp macro="" textlink="">
          <xdr:nvSpPr>
            <xdr:cNvPr id="12" name="Text Box 8">
              <a:extLst>
                <a:ext uri="{FF2B5EF4-FFF2-40B4-BE49-F238E27FC236}">
                  <a16:creationId xmlns:a16="http://schemas.microsoft.com/office/drawing/2014/main" id="{00000000-0008-0000-2100-00000C000000}"/>
                </a:ext>
              </a:extLst>
            </xdr:cNvPr>
            <xdr:cNvSpPr txBox="1">
              <a:spLocks noChangeArrowheads="1"/>
            </xdr:cNvSpPr>
          </xdr:nvSpPr>
          <xdr:spPr bwMode="auto">
            <a:xfrm>
              <a:off x="574" y="200"/>
              <a:ext cx="77" cy="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Length</a:t>
              </a:r>
            </a:p>
          </xdr:txBody>
        </xdr:sp>
        <xdr:sp macro="" textlink="">
          <xdr:nvSpPr>
            <xdr:cNvPr id="13" name="Text Box 9">
              <a:extLst>
                <a:ext uri="{FF2B5EF4-FFF2-40B4-BE49-F238E27FC236}">
                  <a16:creationId xmlns:a16="http://schemas.microsoft.com/office/drawing/2014/main" id="{00000000-0008-0000-2100-00000D000000}"/>
                </a:ext>
              </a:extLst>
            </xdr:cNvPr>
            <xdr:cNvSpPr txBox="1">
              <a:spLocks noChangeArrowheads="1"/>
            </xdr:cNvSpPr>
          </xdr:nvSpPr>
          <xdr:spPr bwMode="auto">
            <a:xfrm>
              <a:off x="696" y="256"/>
              <a:ext cx="53" cy="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Radius</a:t>
              </a:r>
            </a:p>
          </xdr:txBody>
        </xdr:sp>
      </xdr:grpSp>
      <xdr:sp macro="" textlink="">
        <xdr:nvSpPr>
          <xdr:cNvPr id="6" name="Line 10">
            <a:extLst>
              <a:ext uri="{FF2B5EF4-FFF2-40B4-BE49-F238E27FC236}">
                <a16:creationId xmlns:a16="http://schemas.microsoft.com/office/drawing/2014/main" id="{00000000-0008-0000-2100-000006000000}"/>
              </a:ext>
            </a:extLst>
          </xdr:cNvPr>
          <xdr:cNvSpPr>
            <a:spLocks noChangeShapeType="1"/>
          </xdr:cNvSpPr>
        </xdr:nvSpPr>
        <xdr:spPr bwMode="auto">
          <a:xfrm>
            <a:off x="699" y="254"/>
            <a:ext cx="42" cy="0"/>
          </a:xfrm>
          <a:prstGeom prst="line">
            <a:avLst/>
          </a:prstGeom>
          <a:noFill/>
          <a:ln w="317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grpSp>
    <xdr:clientData/>
  </xdr:twoCellAnchor>
  <xdr:twoCellAnchor editAs="oneCell">
    <xdr:from>
      <xdr:col>24</xdr:col>
      <xdr:colOff>432955</xdr:colOff>
      <xdr:row>6</xdr:row>
      <xdr:rowOff>17318</xdr:rowOff>
    </xdr:from>
    <xdr:to>
      <xdr:col>37</xdr:col>
      <xdr:colOff>241589</xdr:colOff>
      <xdr:row>20</xdr:row>
      <xdr:rowOff>27215</xdr:rowOff>
    </xdr:to>
    <xdr:pic>
      <xdr:nvPicPr>
        <xdr:cNvPr id="14" name="Picture 13">
          <a:extLst>
            <a:ext uri="{FF2B5EF4-FFF2-40B4-BE49-F238E27FC236}">
              <a16:creationId xmlns:a16="http://schemas.microsoft.com/office/drawing/2014/main" id="{00000000-0008-0000-2100-00000E000000}"/>
            </a:ext>
          </a:extLst>
        </xdr:cNvPr>
        <xdr:cNvPicPr>
          <a:picLocks noChangeAspect="1"/>
        </xdr:cNvPicPr>
      </xdr:nvPicPr>
      <xdr:blipFill>
        <a:blip xmlns:r="http://schemas.openxmlformats.org/officeDocument/2006/relationships" r:embed="rId3"/>
        <a:stretch>
          <a:fillRect/>
        </a:stretch>
      </xdr:blipFill>
      <xdr:spPr>
        <a:xfrm>
          <a:off x="7633855" y="1236518"/>
          <a:ext cx="5561734" cy="2086347"/>
        </a:xfrm>
        <a:prstGeom prst="rect">
          <a:avLst/>
        </a:prstGeom>
      </xdr:spPr>
    </xdr:pic>
    <xdr:clientData/>
  </xdr:twoCellAnchor>
  <xdr:twoCellAnchor editAs="oneCell">
    <xdr:from>
      <xdr:col>24</xdr:col>
      <xdr:colOff>428625</xdr:colOff>
      <xdr:row>21</xdr:row>
      <xdr:rowOff>28575</xdr:rowOff>
    </xdr:from>
    <xdr:to>
      <xdr:col>37</xdr:col>
      <xdr:colOff>284304</xdr:colOff>
      <xdr:row>35</xdr:row>
      <xdr:rowOff>76200</xdr:rowOff>
    </xdr:to>
    <xdr:pic>
      <xdr:nvPicPr>
        <xdr:cNvPr id="16" name="Picture 15">
          <a:extLst>
            <a:ext uri="{FF2B5EF4-FFF2-40B4-BE49-F238E27FC236}">
              <a16:creationId xmlns:a16="http://schemas.microsoft.com/office/drawing/2014/main" id="{00000000-0008-0000-2100-000010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629525" y="3448050"/>
          <a:ext cx="5608779" cy="21907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oneCellAnchor>
    <xdr:from>
      <xdr:col>1</xdr:col>
      <xdr:colOff>19050</xdr:colOff>
      <xdr:row>0</xdr:row>
      <xdr:rowOff>66675</xdr:rowOff>
    </xdr:from>
    <xdr:ext cx="1490870" cy="558165"/>
    <xdr:pic>
      <xdr:nvPicPr>
        <xdr:cNvPr id="2" name="Pictur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66675"/>
          <a:ext cx="1490870" cy="558165"/>
        </a:xfrm>
        <a:prstGeom prst="rect">
          <a:avLst/>
        </a:prstGeom>
      </xdr:spPr>
    </xdr:pic>
    <xdr:clientData/>
  </xdr:oneCellAnchor>
  <xdr:oneCellAnchor>
    <xdr:from>
      <xdr:col>15</xdr:col>
      <xdr:colOff>295275</xdr:colOff>
      <xdr:row>0</xdr:row>
      <xdr:rowOff>66675</xdr:rowOff>
    </xdr:from>
    <xdr:ext cx="1910824" cy="558165"/>
    <xdr:pic>
      <xdr:nvPicPr>
        <xdr:cNvPr id="3" name="Picture 2">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39275" y="66675"/>
          <a:ext cx="1910824" cy="558165"/>
        </a:xfrm>
        <a:prstGeom prst="rect">
          <a:avLst/>
        </a:prstGeom>
      </xdr:spPr>
    </xdr:pic>
    <xdr:clientData/>
  </xdr:oneCellAnchor>
  <xdr:twoCellAnchor editAs="oneCell">
    <xdr:from>
      <xdr:col>23</xdr:col>
      <xdr:colOff>132969</xdr:colOff>
      <xdr:row>31</xdr:row>
      <xdr:rowOff>95250</xdr:rowOff>
    </xdr:from>
    <xdr:to>
      <xdr:col>33</xdr:col>
      <xdr:colOff>567189</xdr:colOff>
      <xdr:row>73</xdr:row>
      <xdr:rowOff>47625</xdr:rowOff>
    </xdr:to>
    <xdr:pic>
      <xdr:nvPicPr>
        <xdr:cNvPr id="6" name="Picture 5">
          <a:extLst>
            <a:ext uri="{FF2B5EF4-FFF2-40B4-BE49-F238E27FC236}">
              <a16:creationId xmlns:a16="http://schemas.microsoft.com/office/drawing/2014/main" id="{00000000-0008-0000-22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48094" y="4962525"/>
          <a:ext cx="6025395" cy="5876925"/>
        </a:xfrm>
        <a:prstGeom prst="rect">
          <a:avLst/>
        </a:prstGeom>
      </xdr:spPr>
    </xdr:pic>
    <xdr:clientData/>
  </xdr:twoCellAnchor>
  <xdr:twoCellAnchor editAs="oneCell">
    <xdr:from>
      <xdr:col>23</xdr:col>
      <xdr:colOff>158750</xdr:colOff>
      <xdr:row>10</xdr:row>
      <xdr:rowOff>6350</xdr:rowOff>
    </xdr:from>
    <xdr:to>
      <xdr:col>36</xdr:col>
      <xdr:colOff>511175</xdr:colOff>
      <xdr:row>31</xdr:row>
      <xdr:rowOff>42201</xdr:rowOff>
    </xdr:to>
    <xdr:pic>
      <xdr:nvPicPr>
        <xdr:cNvPr id="7" name="Picture 6">
          <a:extLst>
            <a:ext uri="{FF2B5EF4-FFF2-40B4-BE49-F238E27FC236}">
              <a16:creationId xmlns:a16="http://schemas.microsoft.com/office/drawing/2014/main" id="{00000000-0008-0000-22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207250" y="2051050"/>
          <a:ext cx="8156575" cy="273460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114300</xdr:colOff>
      <xdr:row>55</xdr:row>
      <xdr:rowOff>0</xdr:rowOff>
    </xdr:from>
    <xdr:to>
      <xdr:col>11</xdr:col>
      <xdr:colOff>38100</xdr:colOff>
      <xdr:row>78</xdr:row>
      <xdr:rowOff>19050</xdr:rowOff>
    </xdr:to>
    <xdr:pic>
      <xdr:nvPicPr>
        <xdr:cNvPr id="2" name="Picture 6" descr="Drip Diagram #1.JPG">
          <a:extLst>
            <a:ext uri="{FF2B5EF4-FFF2-40B4-BE49-F238E27FC236}">
              <a16:creationId xmlns:a16="http://schemas.microsoft.com/office/drawing/2014/main" id="{B50F2CC0-1C22-4D09-AD16-8CFD20F7C1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8318500"/>
          <a:ext cx="4673600" cy="3524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149224</xdr:colOff>
      <xdr:row>54</xdr:row>
      <xdr:rowOff>74216</xdr:rowOff>
    </xdr:from>
    <xdr:to>
      <xdr:col>20</xdr:col>
      <xdr:colOff>16664</xdr:colOff>
      <xdr:row>78</xdr:row>
      <xdr:rowOff>36116</xdr:rowOff>
    </xdr:to>
    <xdr:pic>
      <xdr:nvPicPr>
        <xdr:cNvPr id="3" name="Picture 7" descr="Drip Diagram #2.JPG">
          <a:extLst>
            <a:ext uri="{FF2B5EF4-FFF2-40B4-BE49-F238E27FC236}">
              <a16:creationId xmlns:a16="http://schemas.microsoft.com/office/drawing/2014/main" id="{797B5E05-6FEC-46F7-80FF-BF98A11E1B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9024" y="8316516"/>
          <a:ext cx="3915565" cy="35337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152400</xdr:colOff>
      <xdr:row>0</xdr:row>
      <xdr:rowOff>85725</xdr:rowOff>
    </xdr:from>
    <xdr:to>
      <xdr:col>3</xdr:col>
      <xdr:colOff>396875</xdr:colOff>
      <xdr:row>0</xdr:row>
      <xdr:rowOff>643890</xdr:rowOff>
    </xdr:to>
    <xdr:pic>
      <xdr:nvPicPr>
        <xdr:cNvPr id="4" name="Picture 3">
          <a:extLst>
            <a:ext uri="{FF2B5EF4-FFF2-40B4-BE49-F238E27FC236}">
              <a16:creationId xmlns:a16="http://schemas.microsoft.com/office/drawing/2014/main" id="{906578E4-5AE6-4905-9284-35A5BA8F97D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2400" y="85725"/>
          <a:ext cx="1377950" cy="551815"/>
        </a:xfrm>
        <a:prstGeom prst="rect">
          <a:avLst/>
        </a:prstGeom>
      </xdr:spPr>
    </xdr:pic>
    <xdr:clientData/>
  </xdr:twoCellAnchor>
  <xdr:twoCellAnchor editAs="oneCell">
    <xdr:from>
      <xdr:col>16</xdr:col>
      <xdr:colOff>219075</xdr:colOff>
      <xdr:row>0</xdr:row>
      <xdr:rowOff>66675</xdr:rowOff>
    </xdr:from>
    <xdr:to>
      <xdr:col>20</xdr:col>
      <xdr:colOff>224899</xdr:colOff>
      <xdr:row>0</xdr:row>
      <xdr:rowOff>624840</xdr:rowOff>
    </xdr:to>
    <xdr:pic>
      <xdr:nvPicPr>
        <xdr:cNvPr id="5" name="Picture 4">
          <a:extLst>
            <a:ext uri="{FF2B5EF4-FFF2-40B4-BE49-F238E27FC236}">
              <a16:creationId xmlns:a16="http://schemas.microsoft.com/office/drawing/2014/main" id="{EF5B9A31-846E-486A-A1FA-BB5FBC5211C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23125" y="66675"/>
          <a:ext cx="1802874" cy="551815"/>
        </a:xfrm>
        <a:prstGeom prst="rect">
          <a:avLst/>
        </a:prstGeom>
      </xdr:spPr>
    </xdr:pic>
    <xdr:clientData/>
  </xdr:twoCellAnchor>
  <xdr:twoCellAnchor editAs="oneCell">
    <xdr:from>
      <xdr:col>22</xdr:col>
      <xdr:colOff>0</xdr:colOff>
      <xdr:row>87</xdr:row>
      <xdr:rowOff>0</xdr:rowOff>
    </xdr:from>
    <xdr:to>
      <xdr:col>24</xdr:col>
      <xdr:colOff>376634</xdr:colOff>
      <xdr:row>103</xdr:row>
      <xdr:rowOff>171450</xdr:rowOff>
    </xdr:to>
    <xdr:pic>
      <xdr:nvPicPr>
        <xdr:cNvPr id="6" name="Picture 129" descr="Volume of Pipe II">
          <a:extLst>
            <a:ext uri="{FF2B5EF4-FFF2-40B4-BE49-F238E27FC236}">
              <a16:creationId xmlns:a16="http://schemas.microsoft.com/office/drawing/2014/main" id="{67E29C1E-15F5-44A9-9686-555F4A26B55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109200" y="13068300"/>
          <a:ext cx="16561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xdr:row>
      <xdr:rowOff>52372</xdr:rowOff>
    </xdr:from>
    <xdr:to>
      <xdr:col>20</xdr:col>
      <xdr:colOff>436215</xdr:colOff>
      <xdr:row>18</xdr:row>
      <xdr:rowOff>57713</xdr:rowOff>
    </xdr:to>
    <xdr:pic>
      <xdr:nvPicPr>
        <xdr:cNvPr id="7" name="Picture 6">
          <a:extLst>
            <a:ext uri="{FF2B5EF4-FFF2-40B4-BE49-F238E27FC236}">
              <a16:creationId xmlns:a16="http://schemas.microsoft.com/office/drawing/2014/main" id="{966C88B6-9CFD-4982-9CC2-EDEB4D7EAE2C}"/>
            </a:ext>
          </a:extLst>
        </xdr:cNvPr>
        <xdr:cNvPicPr>
          <a:picLocks noChangeAspect="1"/>
        </xdr:cNvPicPr>
      </xdr:nvPicPr>
      <xdr:blipFill>
        <a:blip xmlns:r="http://schemas.openxmlformats.org/officeDocument/2006/relationships" r:embed="rId6"/>
        <a:stretch>
          <a:fillRect/>
        </a:stretch>
      </xdr:blipFill>
      <xdr:spPr>
        <a:xfrm>
          <a:off x="4749800" y="1531922"/>
          <a:ext cx="4487515" cy="1948441"/>
        </a:xfrm>
        <a:prstGeom prst="rect">
          <a:avLst/>
        </a:prstGeom>
      </xdr:spPr>
    </xdr:pic>
    <xdr:clientData/>
  </xdr:twoCellAnchor>
  <xdr:oneCellAnchor>
    <xdr:from>
      <xdr:col>22</xdr:col>
      <xdr:colOff>0</xdr:colOff>
      <xdr:row>141</xdr:row>
      <xdr:rowOff>0</xdr:rowOff>
    </xdr:from>
    <xdr:ext cx="1592659" cy="2705100"/>
    <xdr:pic>
      <xdr:nvPicPr>
        <xdr:cNvPr id="8" name="Picture 129" descr="Volume of Pipe II">
          <a:extLst>
            <a:ext uri="{FF2B5EF4-FFF2-40B4-BE49-F238E27FC236}">
              <a16:creationId xmlns:a16="http://schemas.microsoft.com/office/drawing/2014/main" id="{4453CEFE-5DF7-422F-99C4-A9912BDE2BA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109200" y="2141220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228600</xdr:colOff>
      <xdr:row>173</xdr:row>
      <xdr:rowOff>95250</xdr:rowOff>
    </xdr:from>
    <xdr:ext cx="1592659" cy="2705100"/>
    <xdr:pic>
      <xdr:nvPicPr>
        <xdr:cNvPr id="9" name="Picture 129" descr="Volume of Pipe II">
          <a:extLst>
            <a:ext uri="{FF2B5EF4-FFF2-40B4-BE49-F238E27FC236}">
              <a16:creationId xmlns:a16="http://schemas.microsoft.com/office/drawing/2014/main" id="{FE0CB4C3-5CB7-4918-9D50-07EC8855B3D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83500" y="2651760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249</xdr:row>
      <xdr:rowOff>0</xdr:rowOff>
    </xdr:from>
    <xdr:ext cx="1592659" cy="2705100"/>
    <xdr:pic>
      <xdr:nvPicPr>
        <xdr:cNvPr id="10" name="Picture 129" descr="Volume of Pipe II">
          <a:extLst>
            <a:ext uri="{FF2B5EF4-FFF2-40B4-BE49-F238E27FC236}">
              <a16:creationId xmlns:a16="http://schemas.microsoft.com/office/drawing/2014/main" id="{4BC658AC-69AB-43F4-B7C7-C1DBD49F228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109200" y="3810000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197</xdr:row>
      <xdr:rowOff>0</xdr:rowOff>
    </xdr:from>
    <xdr:ext cx="1592659" cy="2705100"/>
    <xdr:pic>
      <xdr:nvPicPr>
        <xdr:cNvPr id="11" name="Picture 129" descr="Volume of Pipe II">
          <a:extLst>
            <a:ext uri="{FF2B5EF4-FFF2-40B4-BE49-F238E27FC236}">
              <a16:creationId xmlns:a16="http://schemas.microsoft.com/office/drawing/2014/main" id="{90D4C487-30F3-4270-82FA-BD22ADB9806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671050" y="3067685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wsDr>
</file>

<file path=xl/drawings/drawing35.xml><?xml version="1.0" encoding="utf-8"?>
<xdr:wsDr xmlns:xdr="http://schemas.openxmlformats.org/drawingml/2006/spreadsheetDrawing" xmlns:a="http://schemas.openxmlformats.org/drawingml/2006/main">
  <xdr:twoCellAnchor editAs="oneCell">
    <xdr:from>
      <xdr:col>0</xdr:col>
      <xdr:colOff>114300</xdr:colOff>
      <xdr:row>55</xdr:row>
      <xdr:rowOff>0</xdr:rowOff>
    </xdr:from>
    <xdr:to>
      <xdr:col>11</xdr:col>
      <xdr:colOff>38100</xdr:colOff>
      <xdr:row>78</xdr:row>
      <xdr:rowOff>19050</xdr:rowOff>
    </xdr:to>
    <xdr:pic>
      <xdr:nvPicPr>
        <xdr:cNvPr id="2" name="Picture 6" descr="Drip Diagram #1.JPG">
          <a:extLst>
            <a:ext uri="{FF2B5EF4-FFF2-40B4-BE49-F238E27FC236}">
              <a16:creationId xmlns:a16="http://schemas.microsoft.com/office/drawing/2014/main" id="{B1BC3030-DA8C-4F1D-B67B-026A6F971B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210675"/>
          <a:ext cx="4438650" cy="3524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149224</xdr:colOff>
      <xdr:row>54</xdr:row>
      <xdr:rowOff>74216</xdr:rowOff>
    </xdr:from>
    <xdr:to>
      <xdr:col>20</xdr:col>
      <xdr:colOff>16664</xdr:colOff>
      <xdr:row>78</xdr:row>
      <xdr:rowOff>36116</xdr:rowOff>
    </xdr:to>
    <xdr:pic>
      <xdr:nvPicPr>
        <xdr:cNvPr id="3" name="Picture 7" descr="Drip Diagram #2.JPG">
          <a:extLst>
            <a:ext uri="{FF2B5EF4-FFF2-40B4-BE49-F238E27FC236}">
              <a16:creationId xmlns:a16="http://schemas.microsoft.com/office/drawing/2014/main" id="{C639B9AC-B558-44B3-96CA-CDE0608755F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4074" y="9208691"/>
          <a:ext cx="3725065" cy="35433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152400</xdr:colOff>
      <xdr:row>0</xdr:row>
      <xdr:rowOff>85725</xdr:rowOff>
    </xdr:from>
    <xdr:to>
      <xdr:col>3</xdr:col>
      <xdr:colOff>396875</xdr:colOff>
      <xdr:row>0</xdr:row>
      <xdr:rowOff>643890</xdr:rowOff>
    </xdr:to>
    <xdr:pic>
      <xdr:nvPicPr>
        <xdr:cNvPr id="4" name="Picture 3">
          <a:extLst>
            <a:ext uri="{FF2B5EF4-FFF2-40B4-BE49-F238E27FC236}">
              <a16:creationId xmlns:a16="http://schemas.microsoft.com/office/drawing/2014/main" id="{72AC4FE4-3D16-4667-A93A-E475CB6FA2C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2400" y="85725"/>
          <a:ext cx="1330325" cy="558165"/>
        </a:xfrm>
        <a:prstGeom prst="rect">
          <a:avLst/>
        </a:prstGeom>
      </xdr:spPr>
    </xdr:pic>
    <xdr:clientData/>
  </xdr:twoCellAnchor>
  <xdr:twoCellAnchor editAs="oneCell">
    <xdr:from>
      <xdr:col>16</xdr:col>
      <xdr:colOff>219075</xdr:colOff>
      <xdr:row>0</xdr:row>
      <xdr:rowOff>66675</xdr:rowOff>
    </xdr:from>
    <xdr:to>
      <xdr:col>20</xdr:col>
      <xdr:colOff>224899</xdr:colOff>
      <xdr:row>0</xdr:row>
      <xdr:rowOff>624840</xdr:rowOff>
    </xdr:to>
    <xdr:pic>
      <xdr:nvPicPr>
        <xdr:cNvPr id="5" name="Picture 4">
          <a:extLst>
            <a:ext uri="{FF2B5EF4-FFF2-40B4-BE49-F238E27FC236}">
              <a16:creationId xmlns:a16="http://schemas.microsoft.com/office/drawing/2014/main" id="{FD851F15-36DB-4C9C-B910-DAC5171939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877050" y="66675"/>
          <a:ext cx="1720324" cy="558165"/>
        </a:xfrm>
        <a:prstGeom prst="rect">
          <a:avLst/>
        </a:prstGeom>
      </xdr:spPr>
    </xdr:pic>
    <xdr:clientData/>
  </xdr:twoCellAnchor>
  <xdr:twoCellAnchor editAs="oneCell">
    <xdr:from>
      <xdr:col>22</xdr:col>
      <xdr:colOff>0</xdr:colOff>
      <xdr:row>87</xdr:row>
      <xdr:rowOff>0</xdr:rowOff>
    </xdr:from>
    <xdr:to>
      <xdr:col>24</xdr:col>
      <xdr:colOff>376634</xdr:colOff>
      <xdr:row>103</xdr:row>
      <xdr:rowOff>171450</xdr:rowOff>
    </xdr:to>
    <xdr:pic>
      <xdr:nvPicPr>
        <xdr:cNvPr id="6" name="Picture 129" descr="Volume of Pipe II">
          <a:extLst>
            <a:ext uri="{FF2B5EF4-FFF2-40B4-BE49-F238E27FC236}">
              <a16:creationId xmlns:a16="http://schemas.microsoft.com/office/drawing/2014/main" id="{93AB69AD-00F9-4A66-AB03-50A6ECD135E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610725" y="13982700"/>
          <a:ext cx="1595834"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xdr:row>
      <xdr:rowOff>52372</xdr:rowOff>
    </xdr:from>
    <xdr:to>
      <xdr:col>20</xdr:col>
      <xdr:colOff>436215</xdr:colOff>
      <xdr:row>18</xdr:row>
      <xdr:rowOff>57713</xdr:rowOff>
    </xdr:to>
    <xdr:pic>
      <xdr:nvPicPr>
        <xdr:cNvPr id="7" name="Picture 6">
          <a:extLst>
            <a:ext uri="{FF2B5EF4-FFF2-40B4-BE49-F238E27FC236}">
              <a16:creationId xmlns:a16="http://schemas.microsoft.com/office/drawing/2014/main" id="{2C2B5214-4103-4D54-8EE5-FBEDA7F4C523}"/>
            </a:ext>
          </a:extLst>
        </xdr:cNvPr>
        <xdr:cNvPicPr>
          <a:picLocks noChangeAspect="1"/>
        </xdr:cNvPicPr>
      </xdr:nvPicPr>
      <xdr:blipFill>
        <a:blip xmlns:r="http://schemas.openxmlformats.org/officeDocument/2006/relationships" r:embed="rId6"/>
        <a:stretch>
          <a:fillRect/>
        </a:stretch>
      </xdr:blipFill>
      <xdr:spPr>
        <a:xfrm>
          <a:off x="4514850" y="1528747"/>
          <a:ext cx="4293840" cy="1948441"/>
        </a:xfrm>
        <a:prstGeom prst="rect">
          <a:avLst/>
        </a:prstGeom>
      </xdr:spPr>
    </xdr:pic>
    <xdr:clientData/>
  </xdr:twoCellAnchor>
  <xdr:oneCellAnchor>
    <xdr:from>
      <xdr:col>22</xdr:col>
      <xdr:colOff>0</xdr:colOff>
      <xdr:row>141</xdr:row>
      <xdr:rowOff>0</xdr:rowOff>
    </xdr:from>
    <xdr:ext cx="1592659" cy="2705100"/>
    <xdr:pic>
      <xdr:nvPicPr>
        <xdr:cNvPr id="8" name="Picture 129" descr="Volume of Pipe II">
          <a:extLst>
            <a:ext uri="{FF2B5EF4-FFF2-40B4-BE49-F238E27FC236}">
              <a16:creationId xmlns:a16="http://schemas.microsoft.com/office/drawing/2014/main" id="{E390BB2C-86BB-44EE-AC49-CB5EF7CDD92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610725" y="2232660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228600</xdr:colOff>
      <xdr:row>173</xdr:row>
      <xdr:rowOff>95250</xdr:rowOff>
    </xdr:from>
    <xdr:ext cx="1592659" cy="2705100"/>
    <xdr:pic>
      <xdr:nvPicPr>
        <xdr:cNvPr id="9" name="Picture 129" descr="Volume of Pipe II">
          <a:extLst>
            <a:ext uri="{FF2B5EF4-FFF2-40B4-BE49-F238E27FC236}">
              <a16:creationId xmlns:a16="http://schemas.microsoft.com/office/drawing/2014/main" id="{8A08665E-A87F-4748-9F1D-307BFE0C801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315200" y="2743200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249</xdr:row>
      <xdr:rowOff>0</xdr:rowOff>
    </xdr:from>
    <xdr:ext cx="1592659" cy="2705100"/>
    <xdr:pic>
      <xdr:nvPicPr>
        <xdr:cNvPr id="10" name="Picture 129" descr="Volume of Pipe II">
          <a:extLst>
            <a:ext uri="{FF2B5EF4-FFF2-40B4-BE49-F238E27FC236}">
              <a16:creationId xmlns:a16="http://schemas.microsoft.com/office/drawing/2014/main" id="{930533E8-0430-4E53-9C78-999AB7CF88C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610725" y="3901440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197</xdr:row>
      <xdr:rowOff>0</xdr:rowOff>
    </xdr:from>
    <xdr:ext cx="1592659" cy="2705100"/>
    <xdr:pic>
      <xdr:nvPicPr>
        <xdr:cNvPr id="11" name="Picture 129" descr="Volume of Pipe II">
          <a:extLst>
            <a:ext uri="{FF2B5EF4-FFF2-40B4-BE49-F238E27FC236}">
              <a16:creationId xmlns:a16="http://schemas.microsoft.com/office/drawing/2014/main" id="{2CF07E3B-1D09-4484-96DD-698E38435A0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610725" y="3099435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wsDr>
</file>

<file path=xl/drawings/drawing36.xml><?xml version="1.0" encoding="utf-8"?>
<xdr:wsDr xmlns:xdr="http://schemas.openxmlformats.org/drawingml/2006/spreadsheetDrawing" xmlns:a="http://schemas.openxmlformats.org/drawingml/2006/main">
  <xdr:twoCellAnchor editAs="oneCell">
    <xdr:from>
      <xdr:col>0</xdr:col>
      <xdr:colOff>114300</xdr:colOff>
      <xdr:row>55</xdr:row>
      <xdr:rowOff>0</xdr:rowOff>
    </xdr:from>
    <xdr:to>
      <xdr:col>11</xdr:col>
      <xdr:colOff>38100</xdr:colOff>
      <xdr:row>78</xdr:row>
      <xdr:rowOff>19050</xdr:rowOff>
    </xdr:to>
    <xdr:pic>
      <xdr:nvPicPr>
        <xdr:cNvPr id="2" name="Picture 6" descr="Drip Diagram #1.JPG">
          <a:extLst>
            <a:ext uri="{FF2B5EF4-FFF2-40B4-BE49-F238E27FC236}">
              <a16:creationId xmlns:a16="http://schemas.microsoft.com/office/drawing/2014/main" id="{BD59E0B1-9781-46A5-962A-4F04DF4E99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210675"/>
          <a:ext cx="4438650" cy="3524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149224</xdr:colOff>
      <xdr:row>54</xdr:row>
      <xdr:rowOff>74216</xdr:rowOff>
    </xdr:from>
    <xdr:to>
      <xdr:col>20</xdr:col>
      <xdr:colOff>16664</xdr:colOff>
      <xdr:row>78</xdr:row>
      <xdr:rowOff>36116</xdr:rowOff>
    </xdr:to>
    <xdr:pic>
      <xdr:nvPicPr>
        <xdr:cNvPr id="3" name="Picture 7" descr="Drip Diagram #2.JPG">
          <a:extLst>
            <a:ext uri="{FF2B5EF4-FFF2-40B4-BE49-F238E27FC236}">
              <a16:creationId xmlns:a16="http://schemas.microsoft.com/office/drawing/2014/main" id="{6CCF7EE6-6901-46FA-B014-63B66313599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4074" y="9208691"/>
          <a:ext cx="3725065" cy="35433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152400</xdr:colOff>
      <xdr:row>0</xdr:row>
      <xdr:rowOff>85725</xdr:rowOff>
    </xdr:from>
    <xdr:to>
      <xdr:col>3</xdr:col>
      <xdr:colOff>396875</xdr:colOff>
      <xdr:row>0</xdr:row>
      <xdr:rowOff>643890</xdr:rowOff>
    </xdr:to>
    <xdr:pic>
      <xdr:nvPicPr>
        <xdr:cNvPr id="4" name="Picture 3">
          <a:extLst>
            <a:ext uri="{FF2B5EF4-FFF2-40B4-BE49-F238E27FC236}">
              <a16:creationId xmlns:a16="http://schemas.microsoft.com/office/drawing/2014/main" id="{894E9042-22D1-400F-8F80-F4BB5D92616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2400" y="85725"/>
          <a:ext cx="1330325" cy="558165"/>
        </a:xfrm>
        <a:prstGeom prst="rect">
          <a:avLst/>
        </a:prstGeom>
      </xdr:spPr>
    </xdr:pic>
    <xdr:clientData/>
  </xdr:twoCellAnchor>
  <xdr:twoCellAnchor editAs="oneCell">
    <xdr:from>
      <xdr:col>16</xdr:col>
      <xdr:colOff>219075</xdr:colOff>
      <xdr:row>0</xdr:row>
      <xdr:rowOff>66675</xdr:rowOff>
    </xdr:from>
    <xdr:to>
      <xdr:col>20</xdr:col>
      <xdr:colOff>224899</xdr:colOff>
      <xdr:row>0</xdr:row>
      <xdr:rowOff>624840</xdr:rowOff>
    </xdr:to>
    <xdr:pic>
      <xdr:nvPicPr>
        <xdr:cNvPr id="5" name="Picture 4">
          <a:extLst>
            <a:ext uri="{FF2B5EF4-FFF2-40B4-BE49-F238E27FC236}">
              <a16:creationId xmlns:a16="http://schemas.microsoft.com/office/drawing/2014/main" id="{F5FA173D-D41D-4C96-B294-7AF34C32383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877050" y="66675"/>
          <a:ext cx="1720324" cy="558165"/>
        </a:xfrm>
        <a:prstGeom prst="rect">
          <a:avLst/>
        </a:prstGeom>
      </xdr:spPr>
    </xdr:pic>
    <xdr:clientData/>
  </xdr:twoCellAnchor>
  <xdr:twoCellAnchor editAs="oneCell">
    <xdr:from>
      <xdr:col>22</xdr:col>
      <xdr:colOff>0</xdr:colOff>
      <xdr:row>87</xdr:row>
      <xdr:rowOff>0</xdr:rowOff>
    </xdr:from>
    <xdr:to>
      <xdr:col>24</xdr:col>
      <xdr:colOff>376634</xdr:colOff>
      <xdr:row>103</xdr:row>
      <xdr:rowOff>171450</xdr:rowOff>
    </xdr:to>
    <xdr:pic>
      <xdr:nvPicPr>
        <xdr:cNvPr id="6" name="Picture 129" descr="Volume of Pipe II">
          <a:extLst>
            <a:ext uri="{FF2B5EF4-FFF2-40B4-BE49-F238E27FC236}">
              <a16:creationId xmlns:a16="http://schemas.microsoft.com/office/drawing/2014/main" id="{7522C80E-7BDC-4992-9EB5-8ED758B499E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610725" y="13982700"/>
          <a:ext cx="1595834"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xdr:row>
      <xdr:rowOff>52372</xdr:rowOff>
    </xdr:from>
    <xdr:to>
      <xdr:col>20</xdr:col>
      <xdr:colOff>436215</xdr:colOff>
      <xdr:row>18</xdr:row>
      <xdr:rowOff>57713</xdr:rowOff>
    </xdr:to>
    <xdr:pic>
      <xdr:nvPicPr>
        <xdr:cNvPr id="7" name="Picture 6">
          <a:extLst>
            <a:ext uri="{FF2B5EF4-FFF2-40B4-BE49-F238E27FC236}">
              <a16:creationId xmlns:a16="http://schemas.microsoft.com/office/drawing/2014/main" id="{8BFA3643-3C20-4D70-948F-6F64794B02E4}"/>
            </a:ext>
          </a:extLst>
        </xdr:cNvPr>
        <xdr:cNvPicPr>
          <a:picLocks noChangeAspect="1"/>
        </xdr:cNvPicPr>
      </xdr:nvPicPr>
      <xdr:blipFill>
        <a:blip xmlns:r="http://schemas.openxmlformats.org/officeDocument/2006/relationships" r:embed="rId6"/>
        <a:stretch>
          <a:fillRect/>
        </a:stretch>
      </xdr:blipFill>
      <xdr:spPr>
        <a:xfrm>
          <a:off x="4514850" y="1528747"/>
          <a:ext cx="4293840" cy="1948441"/>
        </a:xfrm>
        <a:prstGeom prst="rect">
          <a:avLst/>
        </a:prstGeom>
      </xdr:spPr>
    </xdr:pic>
    <xdr:clientData/>
  </xdr:twoCellAnchor>
  <xdr:oneCellAnchor>
    <xdr:from>
      <xdr:col>22</xdr:col>
      <xdr:colOff>0</xdr:colOff>
      <xdr:row>141</xdr:row>
      <xdr:rowOff>0</xdr:rowOff>
    </xdr:from>
    <xdr:ext cx="1592659" cy="2705100"/>
    <xdr:pic>
      <xdr:nvPicPr>
        <xdr:cNvPr id="8" name="Picture 129" descr="Volume of Pipe II">
          <a:extLst>
            <a:ext uri="{FF2B5EF4-FFF2-40B4-BE49-F238E27FC236}">
              <a16:creationId xmlns:a16="http://schemas.microsoft.com/office/drawing/2014/main" id="{27F1C61B-C7BB-4E14-8B34-10EEE1966A1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610725" y="2232660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228600</xdr:colOff>
      <xdr:row>173</xdr:row>
      <xdr:rowOff>95250</xdr:rowOff>
    </xdr:from>
    <xdr:ext cx="1592659" cy="2705100"/>
    <xdr:pic>
      <xdr:nvPicPr>
        <xdr:cNvPr id="9" name="Picture 129" descr="Volume of Pipe II">
          <a:extLst>
            <a:ext uri="{FF2B5EF4-FFF2-40B4-BE49-F238E27FC236}">
              <a16:creationId xmlns:a16="http://schemas.microsoft.com/office/drawing/2014/main" id="{F5F2F3D4-D810-42C1-BAB2-8AB0A50A7AF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315200" y="2743200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249</xdr:row>
      <xdr:rowOff>0</xdr:rowOff>
    </xdr:from>
    <xdr:ext cx="1592659" cy="2705100"/>
    <xdr:pic>
      <xdr:nvPicPr>
        <xdr:cNvPr id="10" name="Picture 129" descr="Volume of Pipe II">
          <a:extLst>
            <a:ext uri="{FF2B5EF4-FFF2-40B4-BE49-F238E27FC236}">
              <a16:creationId xmlns:a16="http://schemas.microsoft.com/office/drawing/2014/main" id="{8A60CC23-7FEB-49FB-90A6-263C30D60B7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610725" y="3901440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197</xdr:row>
      <xdr:rowOff>0</xdr:rowOff>
    </xdr:from>
    <xdr:ext cx="1592659" cy="2705100"/>
    <xdr:pic>
      <xdr:nvPicPr>
        <xdr:cNvPr id="11" name="Picture 129" descr="Volume of Pipe II">
          <a:extLst>
            <a:ext uri="{FF2B5EF4-FFF2-40B4-BE49-F238E27FC236}">
              <a16:creationId xmlns:a16="http://schemas.microsoft.com/office/drawing/2014/main" id="{1F4CA888-D79E-4B44-BE21-A130258F622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610725" y="30994350"/>
          <a:ext cx="1592659" cy="2705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14</xdr:col>
      <xdr:colOff>123825</xdr:colOff>
      <xdr:row>70</xdr:row>
      <xdr:rowOff>209550</xdr:rowOff>
    </xdr:from>
    <xdr:to>
      <xdr:col>17</xdr:col>
      <xdr:colOff>304800</xdr:colOff>
      <xdr:row>83</xdr:row>
      <xdr:rowOff>114300</xdr:rowOff>
    </xdr:to>
    <xdr:pic>
      <xdr:nvPicPr>
        <xdr:cNvPr id="2" name="Picture 99" descr="Volume of Pipe">
          <a:extLst>
            <a:ext uri="{FF2B5EF4-FFF2-40B4-BE49-F238E27FC236}">
              <a16:creationId xmlns:a16="http://schemas.microsoft.com/office/drawing/2014/main" id="{00000000-0008-0000-2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14" b="-2"/>
        <a:stretch>
          <a:fillRect/>
        </a:stretch>
      </xdr:blipFill>
      <xdr:spPr bwMode="auto">
        <a:xfrm>
          <a:off x="5191125" y="14697075"/>
          <a:ext cx="1266825"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26</xdr:row>
      <xdr:rowOff>28575</xdr:rowOff>
    </xdr:from>
    <xdr:to>
      <xdr:col>17</xdr:col>
      <xdr:colOff>323850</xdr:colOff>
      <xdr:row>32</xdr:row>
      <xdr:rowOff>66675</xdr:rowOff>
    </xdr:to>
    <xdr:pic>
      <xdr:nvPicPr>
        <xdr:cNvPr id="3" name="Picture 391">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5200650"/>
          <a:ext cx="6419850" cy="266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44451</xdr:colOff>
      <xdr:row>51</xdr:row>
      <xdr:rowOff>34925</xdr:rowOff>
    </xdr:from>
    <xdr:to>
      <xdr:col>17</xdr:col>
      <xdr:colOff>279401</xdr:colOff>
      <xdr:row>68</xdr:row>
      <xdr:rowOff>16177</xdr:rowOff>
    </xdr:to>
    <xdr:pic>
      <xdr:nvPicPr>
        <xdr:cNvPr id="4" name="Picture 10" descr="Perforation Discharge.JPG">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49801" y="11855450"/>
          <a:ext cx="1682750" cy="2724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247650</xdr:colOff>
      <xdr:row>0</xdr:row>
      <xdr:rowOff>66675</xdr:rowOff>
    </xdr:from>
    <xdr:to>
      <xdr:col>17</xdr:col>
      <xdr:colOff>272524</xdr:colOff>
      <xdr:row>0</xdr:row>
      <xdr:rowOff>615315</xdr:rowOff>
    </xdr:to>
    <xdr:pic>
      <xdr:nvPicPr>
        <xdr:cNvPr id="6" name="Picture 5">
          <a:extLst>
            <a:ext uri="{FF2B5EF4-FFF2-40B4-BE49-F238E27FC236}">
              <a16:creationId xmlns:a16="http://schemas.microsoft.com/office/drawing/2014/main" id="{00000000-0008-0000-23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91050" y="66675"/>
          <a:ext cx="1834624" cy="548640"/>
        </a:xfrm>
        <a:prstGeom prst="rect">
          <a:avLst/>
        </a:prstGeom>
      </xdr:spPr>
    </xdr:pic>
    <xdr:clientData/>
  </xdr:twoCellAnchor>
  <xdr:twoCellAnchor editAs="oneCell">
    <xdr:from>
      <xdr:col>0</xdr:col>
      <xdr:colOff>66675</xdr:colOff>
      <xdr:row>0</xdr:row>
      <xdr:rowOff>66675</xdr:rowOff>
    </xdr:from>
    <xdr:to>
      <xdr:col>4</xdr:col>
      <xdr:colOff>38100</xdr:colOff>
      <xdr:row>0</xdr:row>
      <xdr:rowOff>615315</xdr:rowOff>
    </xdr:to>
    <xdr:pic>
      <xdr:nvPicPr>
        <xdr:cNvPr id="7" name="Picture 6">
          <a:extLst>
            <a:ext uri="{FF2B5EF4-FFF2-40B4-BE49-F238E27FC236}">
              <a16:creationId xmlns:a16="http://schemas.microsoft.com/office/drawing/2014/main" id="{00000000-0008-0000-23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6675" y="66675"/>
          <a:ext cx="1419225" cy="548640"/>
        </a:xfrm>
        <a:prstGeom prst="rect">
          <a:avLst/>
        </a:prstGeom>
      </xdr:spPr>
    </xdr:pic>
    <xdr:clientData/>
  </xdr:twoCellAnchor>
  <xdr:twoCellAnchor editAs="oneCell">
    <xdr:from>
      <xdr:col>8</xdr:col>
      <xdr:colOff>292100</xdr:colOff>
      <xdr:row>33</xdr:row>
      <xdr:rowOff>146050</xdr:rowOff>
    </xdr:from>
    <xdr:to>
      <xdr:col>17</xdr:col>
      <xdr:colOff>254000</xdr:colOff>
      <xdr:row>33</xdr:row>
      <xdr:rowOff>1527175</xdr:rowOff>
    </xdr:to>
    <xdr:pic>
      <xdr:nvPicPr>
        <xdr:cNvPr id="8" name="Picture 111" descr="E-03 Manifold in Center">
          <a:extLst>
            <a:ext uri="{FF2B5EF4-FFF2-40B4-BE49-F238E27FC236}">
              <a16:creationId xmlns:a16="http://schemas.microsoft.com/office/drawing/2014/main" id="{00000000-0008-0000-23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187700" y="7775575"/>
          <a:ext cx="3219450" cy="1381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82550</xdr:colOff>
      <xdr:row>33</xdr:row>
      <xdr:rowOff>133350</xdr:rowOff>
    </xdr:from>
    <xdr:to>
      <xdr:col>8</xdr:col>
      <xdr:colOff>215900</xdr:colOff>
      <xdr:row>33</xdr:row>
      <xdr:rowOff>1524000</xdr:rowOff>
    </xdr:to>
    <xdr:pic>
      <xdr:nvPicPr>
        <xdr:cNvPr id="9" name="Picture 112" descr="E-02 manifold at End">
          <a:extLst>
            <a:ext uri="{FF2B5EF4-FFF2-40B4-BE49-F238E27FC236}">
              <a16:creationId xmlns:a16="http://schemas.microsoft.com/office/drawing/2014/main" id="{00000000-0008-0000-23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550" y="7762875"/>
          <a:ext cx="3028950" cy="1390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11</xdr:col>
      <xdr:colOff>9525</xdr:colOff>
      <xdr:row>12</xdr:row>
      <xdr:rowOff>38100</xdr:rowOff>
    </xdr:from>
    <xdr:to>
      <xdr:col>18</xdr:col>
      <xdr:colOff>400050</xdr:colOff>
      <xdr:row>18</xdr:row>
      <xdr:rowOff>237055</xdr:rowOff>
    </xdr:to>
    <xdr:pic>
      <xdr:nvPicPr>
        <xdr:cNvPr id="2967281" name="Picture 66" descr="Pump selection">
          <a:extLst>
            <a:ext uri="{FF2B5EF4-FFF2-40B4-BE49-F238E27FC236}">
              <a16:creationId xmlns:a16="http://schemas.microsoft.com/office/drawing/2014/main" id="{00000000-0008-0000-2400-0000F1462D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75" y="2524125"/>
          <a:ext cx="3390900" cy="1151455"/>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95250</xdr:colOff>
      <xdr:row>13</xdr:row>
      <xdr:rowOff>161925</xdr:rowOff>
    </xdr:from>
    <xdr:to>
      <xdr:col>35</xdr:col>
      <xdr:colOff>266700</xdr:colOff>
      <xdr:row>22</xdr:row>
      <xdr:rowOff>238125</xdr:rowOff>
    </xdr:to>
    <xdr:pic>
      <xdr:nvPicPr>
        <xdr:cNvPr id="2967282" name="Picture 68" descr="Distribution Head Loss">
          <a:extLst>
            <a:ext uri="{FF2B5EF4-FFF2-40B4-BE49-F238E27FC236}">
              <a16:creationId xmlns:a16="http://schemas.microsoft.com/office/drawing/2014/main" id="{00000000-0008-0000-2400-0000F246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10850" y="2724150"/>
          <a:ext cx="4457700" cy="160020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314325</xdr:colOff>
      <xdr:row>19</xdr:row>
      <xdr:rowOff>6510</xdr:rowOff>
    </xdr:from>
    <xdr:to>
      <xdr:col>18</xdr:col>
      <xdr:colOff>371475</xdr:colOff>
      <xdr:row>41</xdr:row>
      <xdr:rowOff>20134</xdr:rowOff>
    </xdr:to>
    <xdr:pic>
      <xdr:nvPicPr>
        <xdr:cNvPr id="2967286" name="Picture 2253">
          <a:extLst>
            <a:ext uri="{FF2B5EF4-FFF2-40B4-BE49-F238E27FC236}">
              <a16:creationId xmlns:a16="http://schemas.microsoft.com/office/drawing/2014/main" id="{00000000-0008-0000-2400-0000F6462D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57800" y="3692685"/>
          <a:ext cx="2628900" cy="3871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76200</xdr:rowOff>
    </xdr:from>
    <xdr:to>
      <xdr:col>3</xdr:col>
      <xdr:colOff>276225</xdr:colOff>
      <xdr:row>0</xdr:row>
      <xdr:rowOff>624840</xdr:rowOff>
    </xdr:to>
    <xdr:pic>
      <xdr:nvPicPr>
        <xdr:cNvPr id="8" name="Picture 7">
          <a:extLst>
            <a:ext uri="{FF2B5EF4-FFF2-40B4-BE49-F238E27FC236}">
              <a16:creationId xmlns:a16="http://schemas.microsoft.com/office/drawing/2014/main" id="{00000000-0008-0000-24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100" y="76200"/>
          <a:ext cx="1381125" cy="548640"/>
        </a:xfrm>
        <a:prstGeom prst="rect">
          <a:avLst/>
        </a:prstGeom>
      </xdr:spPr>
    </xdr:pic>
    <xdr:clientData/>
  </xdr:twoCellAnchor>
  <xdr:twoCellAnchor editAs="oneCell">
    <xdr:from>
      <xdr:col>14</xdr:col>
      <xdr:colOff>361950</xdr:colOff>
      <xdr:row>0</xdr:row>
      <xdr:rowOff>95250</xdr:rowOff>
    </xdr:from>
    <xdr:to>
      <xdr:col>18</xdr:col>
      <xdr:colOff>358249</xdr:colOff>
      <xdr:row>0</xdr:row>
      <xdr:rowOff>643890</xdr:rowOff>
    </xdr:to>
    <xdr:pic>
      <xdr:nvPicPr>
        <xdr:cNvPr id="9" name="Picture 8">
          <a:extLst>
            <a:ext uri="{FF2B5EF4-FFF2-40B4-BE49-F238E27FC236}">
              <a16:creationId xmlns:a16="http://schemas.microsoft.com/office/drawing/2014/main" id="{00000000-0008-0000-24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29375" y="95250"/>
          <a:ext cx="1786999" cy="54864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32</xdr:col>
      <xdr:colOff>342900</xdr:colOff>
      <xdr:row>1</xdr:row>
      <xdr:rowOff>0</xdr:rowOff>
    </xdr:from>
    <xdr:to>
      <xdr:col>36</xdr:col>
      <xdr:colOff>438150</xdr:colOff>
      <xdr:row>10</xdr:row>
      <xdr:rowOff>123825</xdr:rowOff>
    </xdr:to>
    <xdr:grpSp>
      <xdr:nvGrpSpPr>
        <xdr:cNvPr id="2999506" name="Group 1363">
          <a:extLst>
            <a:ext uri="{FF2B5EF4-FFF2-40B4-BE49-F238E27FC236}">
              <a16:creationId xmlns:a16="http://schemas.microsoft.com/office/drawing/2014/main" id="{00000000-0008-0000-2500-0000D2C42D00}"/>
            </a:ext>
          </a:extLst>
        </xdr:cNvPr>
        <xdr:cNvGrpSpPr>
          <a:grpSpLocks/>
        </xdr:cNvGrpSpPr>
      </xdr:nvGrpSpPr>
      <xdr:grpSpPr bwMode="auto">
        <a:xfrm>
          <a:off x="15125700" y="695325"/>
          <a:ext cx="1800225" cy="1724025"/>
          <a:chOff x="557" y="117"/>
          <a:chExt cx="209" cy="169"/>
        </a:xfrm>
      </xdr:grpSpPr>
      <xdr:grpSp>
        <xdr:nvGrpSpPr>
          <xdr:cNvPr id="2999513" name="Group 1362">
            <a:extLst>
              <a:ext uri="{FF2B5EF4-FFF2-40B4-BE49-F238E27FC236}">
                <a16:creationId xmlns:a16="http://schemas.microsoft.com/office/drawing/2014/main" id="{00000000-0008-0000-2500-0000D9C42D00}"/>
              </a:ext>
            </a:extLst>
          </xdr:cNvPr>
          <xdr:cNvGrpSpPr>
            <a:grpSpLocks/>
          </xdr:cNvGrpSpPr>
        </xdr:nvGrpSpPr>
        <xdr:grpSpPr bwMode="auto">
          <a:xfrm>
            <a:off x="557" y="117"/>
            <a:ext cx="209" cy="169"/>
            <a:chOff x="557" y="117"/>
            <a:chExt cx="209" cy="169"/>
          </a:xfrm>
        </xdr:grpSpPr>
        <xdr:sp macro="" textlink="">
          <xdr:nvSpPr>
            <xdr:cNvPr id="2999515" name="Oval 3">
              <a:extLst>
                <a:ext uri="{FF2B5EF4-FFF2-40B4-BE49-F238E27FC236}">
                  <a16:creationId xmlns:a16="http://schemas.microsoft.com/office/drawing/2014/main" id="{00000000-0008-0000-2500-0000DBC42D00}"/>
                </a:ext>
              </a:extLst>
            </xdr:cNvPr>
            <xdr:cNvSpPr>
              <a:spLocks noChangeArrowheads="1"/>
            </xdr:cNvSpPr>
          </xdr:nvSpPr>
          <xdr:spPr bwMode="auto">
            <a:xfrm>
              <a:off x="661" y="225"/>
              <a:ext cx="81" cy="61"/>
            </a:xfrm>
            <a:prstGeom prst="ellipse">
              <a:avLst/>
            </a:prstGeom>
            <a:solidFill>
              <a:srgbClr val="FFFFFF"/>
            </a:solidFill>
            <a:ln w="9525">
              <a:solidFill>
                <a:srgbClr val="000000"/>
              </a:solidFill>
              <a:round/>
              <a:headEnd/>
              <a:tailEnd/>
            </a:ln>
          </xdr:spPr>
        </xdr:sp>
        <xdr:sp macro="" textlink="">
          <xdr:nvSpPr>
            <xdr:cNvPr id="2999516" name="Rectangle 4">
              <a:extLst>
                <a:ext uri="{FF2B5EF4-FFF2-40B4-BE49-F238E27FC236}">
                  <a16:creationId xmlns:a16="http://schemas.microsoft.com/office/drawing/2014/main" id="{00000000-0008-0000-2500-0000DCC42D00}"/>
                </a:ext>
              </a:extLst>
            </xdr:cNvPr>
            <xdr:cNvSpPr>
              <a:spLocks noChangeArrowheads="1"/>
            </xdr:cNvSpPr>
          </xdr:nvSpPr>
          <xdr:spPr bwMode="auto">
            <a:xfrm>
              <a:off x="557" y="118"/>
              <a:ext cx="125" cy="63"/>
            </a:xfrm>
            <a:prstGeom prst="rect">
              <a:avLst/>
            </a:prstGeom>
            <a:solidFill>
              <a:srgbClr val="FFFFFF"/>
            </a:solidFill>
            <a:ln w="9525">
              <a:solidFill>
                <a:srgbClr val="000000"/>
              </a:solidFill>
              <a:miter lim="800000"/>
              <a:headEnd/>
              <a:tailEnd/>
            </a:ln>
          </xdr:spPr>
        </xdr:sp>
        <xdr:sp macro="" textlink="">
          <xdr:nvSpPr>
            <xdr:cNvPr id="2999517" name="Line 5">
              <a:extLst>
                <a:ext uri="{FF2B5EF4-FFF2-40B4-BE49-F238E27FC236}">
                  <a16:creationId xmlns:a16="http://schemas.microsoft.com/office/drawing/2014/main" id="{00000000-0008-0000-2500-0000DDC42D00}"/>
                </a:ext>
              </a:extLst>
            </xdr:cNvPr>
            <xdr:cNvSpPr>
              <a:spLocks noChangeShapeType="1"/>
            </xdr:cNvSpPr>
          </xdr:nvSpPr>
          <xdr:spPr bwMode="auto">
            <a:xfrm>
              <a:off x="557" y="196"/>
              <a:ext cx="123"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2999518" name="Line 6">
              <a:extLst>
                <a:ext uri="{FF2B5EF4-FFF2-40B4-BE49-F238E27FC236}">
                  <a16:creationId xmlns:a16="http://schemas.microsoft.com/office/drawing/2014/main" id="{00000000-0008-0000-2500-0000DEC42D00}"/>
                </a:ext>
              </a:extLst>
            </xdr:cNvPr>
            <xdr:cNvSpPr>
              <a:spLocks noChangeShapeType="1"/>
            </xdr:cNvSpPr>
          </xdr:nvSpPr>
          <xdr:spPr bwMode="auto">
            <a:xfrm>
              <a:off x="701" y="117"/>
              <a:ext cx="0" cy="66"/>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9" name="Text Box 7">
              <a:extLst>
                <a:ext uri="{FF2B5EF4-FFF2-40B4-BE49-F238E27FC236}">
                  <a16:creationId xmlns:a16="http://schemas.microsoft.com/office/drawing/2014/main" id="{00000000-0008-0000-2500-000009000000}"/>
                </a:ext>
              </a:extLst>
            </xdr:cNvPr>
            <xdr:cNvSpPr txBox="1">
              <a:spLocks noChangeArrowheads="1"/>
            </xdr:cNvSpPr>
          </xdr:nvSpPr>
          <xdr:spPr bwMode="auto">
            <a:xfrm>
              <a:off x="713" y="129"/>
              <a:ext cx="53" cy="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Width</a:t>
              </a:r>
            </a:p>
          </xdr:txBody>
        </xdr:sp>
        <xdr:sp macro="" textlink="">
          <xdr:nvSpPr>
            <xdr:cNvPr id="10" name="Text Box 8">
              <a:extLst>
                <a:ext uri="{FF2B5EF4-FFF2-40B4-BE49-F238E27FC236}">
                  <a16:creationId xmlns:a16="http://schemas.microsoft.com/office/drawing/2014/main" id="{00000000-0008-0000-2500-00000A000000}"/>
                </a:ext>
              </a:extLst>
            </xdr:cNvPr>
            <xdr:cNvSpPr txBox="1">
              <a:spLocks noChangeArrowheads="1"/>
            </xdr:cNvSpPr>
          </xdr:nvSpPr>
          <xdr:spPr bwMode="auto">
            <a:xfrm>
              <a:off x="574" y="200"/>
              <a:ext cx="77" cy="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Length</a:t>
              </a:r>
            </a:p>
          </xdr:txBody>
        </xdr:sp>
        <xdr:sp macro="" textlink="">
          <xdr:nvSpPr>
            <xdr:cNvPr id="11" name="Text Box 9">
              <a:extLst>
                <a:ext uri="{FF2B5EF4-FFF2-40B4-BE49-F238E27FC236}">
                  <a16:creationId xmlns:a16="http://schemas.microsoft.com/office/drawing/2014/main" id="{00000000-0008-0000-2500-00000B000000}"/>
                </a:ext>
              </a:extLst>
            </xdr:cNvPr>
            <xdr:cNvSpPr txBox="1">
              <a:spLocks noChangeArrowheads="1"/>
            </xdr:cNvSpPr>
          </xdr:nvSpPr>
          <xdr:spPr bwMode="auto">
            <a:xfrm>
              <a:off x="696" y="256"/>
              <a:ext cx="53" cy="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Radius</a:t>
              </a:r>
            </a:p>
          </xdr:txBody>
        </xdr:sp>
      </xdr:grpSp>
      <xdr:sp macro="" textlink="">
        <xdr:nvSpPr>
          <xdr:cNvPr id="2999514" name="Line 10">
            <a:extLst>
              <a:ext uri="{FF2B5EF4-FFF2-40B4-BE49-F238E27FC236}">
                <a16:creationId xmlns:a16="http://schemas.microsoft.com/office/drawing/2014/main" id="{00000000-0008-0000-2500-0000DAC42D00}"/>
              </a:ext>
            </a:extLst>
          </xdr:cNvPr>
          <xdr:cNvSpPr>
            <a:spLocks noChangeShapeType="1"/>
          </xdr:cNvSpPr>
        </xdr:nvSpPr>
        <xdr:spPr bwMode="auto">
          <a:xfrm>
            <a:off x="699" y="254"/>
            <a:ext cx="42" cy="0"/>
          </a:xfrm>
          <a:prstGeom prst="line">
            <a:avLst/>
          </a:prstGeom>
          <a:noFill/>
          <a:ln w="317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grpSp>
    <xdr:clientData/>
  </xdr:twoCellAnchor>
  <xdr:twoCellAnchor editAs="oneCell">
    <xdr:from>
      <xdr:col>20</xdr:col>
      <xdr:colOff>285750</xdr:colOff>
      <xdr:row>20</xdr:row>
      <xdr:rowOff>295275</xdr:rowOff>
    </xdr:from>
    <xdr:to>
      <xdr:col>28</xdr:col>
      <xdr:colOff>200025</xdr:colOff>
      <xdr:row>29</xdr:row>
      <xdr:rowOff>0</xdr:rowOff>
    </xdr:to>
    <xdr:pic>
      <xdr:nvPicPr>
        <xdr:cNvPr id="2999507" name="Picture 128" descr="Tank Capacity">
          <a:extLst>
            <a:ext uri="{FF2B5EF4-FFF2-40B4-BE49-F238E27FC236}">
              <a16:creationId xmlns:a16="http://schemas.microsoft.com/office/drawing/2014/main" id="{00000000-0008-0000-2500-0000D3C4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4724400"/>
          <a:ext cx="3343275" cy="1762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228600</xdr:colOff>
      <xdr:row>27</xdr:row>
      <xdr:rowOff>142875</xdr:rowOff>
    </xdr:from>
    <xdr:to>
      <xdr:col>18</xdr:col>
      <xdr:colOff>66675</xdr:colOff>
      <xdr:row>39</xdr:row>
      <xdr:rowOff>142875</xdr:rowOff>
    </xdr:to>
    <xdr:pic>
      <xdr:nvPicPr>
        <xdr:cNvPr id="2999508" name="Picture 129" descr="Volume of Pipe II">
          <a:extLst>
            <a:ext uri="{FF2B5EF4-FFF2-40B4-BE49-F238E27FC236}">
              <a16:creationId xmlns:a16="http://schemas.microsoft.com/office/drawing/2014/main" id="{00000000-0008-0000-2500-0000D4C4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91325" y="6276975"/>
          <a:ext cx="1781175" cy="2914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219075</xdr:colOff>
      <xdr:row>46</xdr:row>
      <xdr:rowOff>152400</xdr:rowOff>
    </xdr:from>
    <xdr:to>
      <xdr:col>19</xdr:col>
      <xdr:colOff>381000</xdr:colOff>
      <xdr:row>54</xdr:row>
      <xdr:rowOff>9525</xdr:rowOff>
    </xdr:to>
    <xdr:pic>
      <xdr:nvPicPr>
        <xdr:cNvPr id="2999512" name="Picture 142">
          <a:extLst>
            <a:ext uri="{FF2B5EF4-FFF2-40B4-BE49-F238E27FC236}">
              <a16:creationId xmlns:a16="http://schemas.microsoft.com/office/drawing/2014/main" id="{00000000-0008-0000-2500-0000D8C42D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b="10344"/>
        <a:stretch>
          <a:fillRect/>
        </a:stretch>
      </xdr:blipFill>
      <xdr:spPr bwMode="auto">
        <a:xfrm>
          <a:off x="7877175" y="11344275"/>
          <a:ext cx="1647825"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76200</xdr:rowOff>
    </xdr:from>
    <xdr:to>
      <xdr:col>3</xdr:col>
      <xdr:colOff>228600</xdr:colOff>
      <xdr:row>0</xdr:row>
      <xdr:rowOff>624840</xdr:rowOff>
    </xdr:to>
    <xdr:pic>
      <xdr:nvPicPr>
        <xdr:cNvPr id="18" name="Picture 17">
          <a:extLst>
            <a:ext uri="{FF2B5EF4-FFF2-40B4-BE49-F238E27FC236}">
              <a16:creationId xmlns:a16="http://schemas.microsoft.com/office/drawing/2014/main" id="{00000000-0008-0000-25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675" y="76200"/>
          <a:ext cx="1381125" cy="548640"/>
        </a:xfrm>
        <a:prstGeom prst="rect">
          <a:avLst/>
        </a:prstGeom>
      </xdr:spPr>
    </xdr:pic>
    <xdr:clientData/>
  </xdr:twoCellAnchor>
  <xdr:twoCellAnchor editAs="oneCell">
    <xdr:from>
      <xdr:col>15</xdr:col>
      <xdr:colOff>428625</xdr:colOff>
      <xdr:row>0</xdr:row>
      <xdr:rowOff>76200</xdr:rowOff>
    </xdr:from>
    <xdr:to>
      <xdr:col>19</xdr:col>
      <xdr:colOff>272524</xdr:colOff>
      <xdr:row>0</xdr:row>
      <xdr:rowOff>624840</xdr:rowOff>
    </xdr:to>
    <xdr:pic>
      <xdr:nvPicPr>
        <xdr:cNvPr id="19" name="Picture 18">
          <a:extLst>
            <a:ext uri="{FF2B5EF4-FFF2-40B4-BE49-F238E27FC236}">
              <a16:creationId xmlns:a16="http://schemas.microsoft.com/office/drawing/2014/main" id="{00000000-0008-0000-2500-00001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477125" y="76200"/>
          <a:ext cx="1786999" cy="5486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2</xdr:row>
          <xdr:rowOff>28575</xdr:rowOff>
        </xdr:from>
        <xdr:to>
          <xdr:col>6</xdr:col>
          <xdr:colOff>114300</xdr:colOff>
          <xdr:row>2</xdr:row>
          <xdr:rowOff>238125</xdr:rowOff>
        </xdr:to>
        <xdr:sp macro="" textlink="">
          <xdr:nvSpPr>
            <xdr:cNvPr id="4542465" name="Check Box 1" hidden="1">
              <a:extLst>
                <a:ext uri="{63B3BB69-23CF-44E3-9099-C40C66FF867C}">
                  <a14:compatExt spid="_x0000_s4542465"/>
                </a:ext>
                <a:ext uri="{FF2B5EF4-FFF2-40B4-BE49-F238E27FC236}">
                  <a16:creationId xmlns:a16="http://schemas.microsoft.com/office/drawing/2014/main" id="{00000000-0008-0000-0500-000001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2</xdr:row>
          <xdr:rowOff>28575</xdr:rowOff>
        </xdr:from>
        <xdr:to>
          <xdr:col>7</xdr:col>
          <xdr:colOff>257175</xdr:colOff>
          <xdr:row>2</xdr:row>
          <xdr:rowOff>238125</xdr:rowOff>
        </xdr:to>
        <xdr:sp macro="" textlink="">
          <xdr:nvSpPr>
            <xdr:cNvPr id="4542466" name="Check Box 2" hidden="1">
              <a:extLst>
                <a:ext uri="{63B3BB69-23CF-44E3-9099-C40C66FF867C}">
                  <a14:compatExt spid="_x0000_s4542466"/>
                </a:ext>
                <a:ext uri="{FF2B5EF4-FFF2-40B4-BE49-F238E27FC236}">
                  <a16:creationId xmlns:a16="http://schemas.microsoft.com/office/drawing/2014/main" id="{00000000-0008-0000-0500-000002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2</xdr:row>
          <xdr:rowOff>28575</xdr:rowOff>
        </xdr:from>
        <xdr:to>
          <xdr:col>7</xdr:col>
          <xdr:colOff>952500</xdr:colOff>
          <xdr:row>2</xdr:row>
          <xdr:rowOff>238125</xdr:rowOff>
        </xdr:to>
        <xdr:sp macro="" textlink="">
          <xdr:nvSpPr>
            <xdr:cNvPr id="4542467" name="Check Box 3" hidden="1">
              <a:extLst>
                <a:ext uri="{63B3BB69-23CF-44E3-9099-C40C66FF867C}">
                  <a14:compatExt spid="_x0000_s4542467"/>
                </a:ext>
                <a:ext uri="{FF2B5EF4-FFF2-40B4-BE49-F238E27FC236}">
                  <a16:creationId xmlns:a16="http://schemas.microsoft.com/office/drawing/2014/main" id="{00000000-0008-0000-0500-000003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428625</xdr:colOff>
          <xdr:row>2</xdr:row>
          <xdr:rowOff>28575</xdr:rowOff>
        </xdr:from>
        <xdr:to>
          <xdr:col>8</xdr:col>
          <xdr:colOff>485775</xdr:colOff>
          <xdr:row>2</xdr:row>
          <xdr:rowOff>238125</xdr:rowOff>
        </xdr:to>
        <xdr:sp macro="" textlink="">
          <xdr:nvSpPr>
            <xdr:cNvPr id="4542468" name="Check Box 4" hidden="1">
              <a:extLst>
                <a:ext uri="{63B3BB69-23CF-44E3-9099-C40C66FF867C}">
                  <a14:compatExt spid="_x0000_s4542468"/>
                </a:ext>
                <a:ext uri="{FF2B5EF4-FFF2-40B4-BE49-F238E27FC236}">
                  <a16:creationId xmlns:a16="http://schemas.microsoft.com/office/drawing/2014/main" id="{00000000-0008-0000-0500-000004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819150</xdr:colOff>
          <xdr:row>2</xdr:row>
          <xdr:rowOff>28575</xdr:rowOff>
        </xdr:from>
        <xdr:to>
          <xdr:col>9</xdr:col>
          <xdr:colOff>114300</xdr:colOff>
          <xdr:row>2</xdr:row>
          <xdr:rowOff>238125</xdr:rowOff>
        </xdr:to>
        <xdr:sp macro="" textlink="">
          <xdr:nvSpPr>
            <xdr:cNvPr id="4542469" name="Check Box 5" hidden="1">
              <a:extLst>
                <a:ext uri="{63B3BB69-23CF-44E3-9099-C40C66FF867C}">
                  <a14:compatExt spid="_x0000_s4542469"/>
                </a:ext>
                <a:ext uri="{FF2B5EF4-FFF2-40B4-BE49-F238E27FC236}">
                  <a16:creationId xmlns:a16="http://schemas.microsoft.com/office/drawing/2014/main" id="{00000000-0008-0000-0500-000005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485775</xdr:colOff>
          <xdr:row>2</xdr:row>
          <xdr:rowOff>28575</xdr:rowOff>
        </xdr:from>
        <xdr:to>
          <xdr:col>9</xdr:col>
          <xdr:colOff>733425</xdr:colOff>
          <xdr:row>2</xdr:row>
          <xdr:rowOff>238125</xdr:rowOff>
        </xdr:to>
        <xdr:sp macro="" textlink="">
          <xdr:nvSpPr>
            <xdr:cNvPr id="4542470" name="Check Box 6" hidden="1">
              <a:extLst>
                <a:ext uri="{63B3BB69-23CF-44E3-9099-C40C66FF867C}">
                  <a14:compatExt spid="_x0000_s4542470"/>
                </a:ext>
                <a:ext uri="{FF2B5EF4-FFF2-40B4-BE49-F238E27FC236}">
                  <a16:creationId xmlns:a16="http://schemas.microsoft.com/office/drawing/2014/main" id="{00000000-0008-0000-0500-000006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352425</xdr:colOff>
          <xdr:row>2</xdr:row>
          <xdr:rowOff>28575</xdr:rowOff>
        </xdr:from>
        <xdr:to>
          <xdr:col>10</xdr:col>
          <xdr:colOff>600075</xdr:colOff>
          <xdr:row>2</xdr:row>
          <xdr:rowOff>238125</xdr:rowOff>
        </xdr:to>
        <xdr:sp macro="" textlink="">
          <xdr:nvSpPr>
            <xdr:cNvPr id="4542471" name="Check Box 7" hidden="1">
              <a:extLst>
                <a:ext uri="{63B3BB69-23CF-44E3-9099-C40C66FF867C}">
                  <a14:compatExt spid="_x0000_s4542471"/>
                </a:ext>
                <a:ext uri="{FF2B5EF4-FFF2-40B4-BE49-F238E27FC236}">
                  <a16:creationId xmlns:a16="http://schemas.microsoft.com/office/drawing/2014/main" id="{00000000-0008-0000-0500-000007504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xdr:twoCellAnchor editAs="oneCell">
    <xdr:from>
      <xdr:col>0</xdr:col>
      <xdr:colOff>38100</xdr:colOff>
      <xdr:row>0</xdr:row>
      <xdr:rowOff>9525</xdr:rowOff>
    </xdr:from>
    <xdr:to>
      <xdr:col>1</xdr:col>
      <xdr:colOff>722688</xdr:colOff>
      <xdr:row>0</xdr:row>
      <xdr:rowOff>558165</xdr:rowOff>
    </xdr:to>
    <xdr:pic>
      <xdr:nvPicPr>
        <xdr:cNvPr id="2" name="Picture 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9525"/>
          <a:ext cx="1379913" cy="548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523875</xdr:colOff>
          <xdr:row>2</xdr:row>
          <xdr:rowOff>28575</xdr:rowOff>
        </xdr:from>
        <xdr:to>
          <xdr:col>11</xdr:col>
          <xdr:colOff>400050</xdr:colOff>
          <xdr:row>2</xdr:row>
          <xdr:rowOff>238125</xdr:rowOff>
        </xdr:to>
        <xdr:sp macro="" textlink="">
          <xdr:nvSpPr>
            <xdr:cNvPr id="4542472" name="Check Box 8" hidden="1">
              <a:extLst>
                <a:ext uri="{63B3BB69-23CF-44E3-9099-C40C66FF867C}">
                  <a14:compatExt spid="_x0000_s4542472"/>
                </a:ext>
                <a:ext uri="{FF2B5EF4-FFF2-40B4-BE49-F238E27FC236}">
                  <a16:creationId xmlns:a16="http://schemas.microsoft.com/office/drawing/2014/main" id="{00000000-0008-0000-0500-000008504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Disturbed/Fill</a:t>
              </a:r>
            </a:p>
          </xdr:txBody>
        </xdr:sp>
        <xdr:clientData/>
      </xdr:twoCellAnchor>
    </mc:Choice>
    <mc:Fallback/>
  </mc:AlternateContent>
</xdr:wsDr>
</file>

<file path=xl/drawings/drawing40.xml><?xml version="1.0" encoding="utf-8"?>
<xdr:wsDr xmlns:xdr="http://schemas.openxmlformats.org/drawingml/2006/spreadsheetDrawing" xmlns:a="http://schemas.openxmlformats.org/drawingml/2006/main">
  <xdr:twoCellAnchor editAs="oneCell">
    <xdr:from>
      <xdr:col>20</xdr:col>
      <xdr:colOff>161925</xdr:colOff>
      <xdr:row>30</xdr:row>
      <xdr:rowOff>152400</xdr:rowOff>
    </xdr:from>
    <xdr:to>
      <xdr:col>28</xdr:col>
      <xdr:colOff>76200</xdr:colOff>
      <xdr:row>39</xdr:row>
      <xdr:rowOff>139513</xdr:rowOff>
    </xdr:to>
    <xdr:pic>
      <xdr:nvPicPr>
        <xdr:cNvPr id="12" name="Picture 128" descr="Tank Capacity">
          <a:extLst>
            <a:ext uri="{FF2B5EF4-FFF2-40B4-BE49-F238E27FC236}">
              <a16:creationId xmlns:a16="http://schemas.microsoft.com/office/drawing/2014/main" id="{00000000-0008-0000-2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2900" y="5715000"/>
          <a:ext cx="3419475" cy="180638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228600</xdr:colOff>
      <xdr:row>29</xdr:row>
      <xdr:rowOff>142875</xdr:rowOff>
    </xdr:from>
    <xdr:to>
      <xdr:col>19</xdr:col>
      <xdr:colOff>47625</xdr:colOff>
      <xdr:row>44</xdr:row>
      <xdr:rowOff>53789</xdr:rowOff>
    </xdr:to>
    <xdr:pic>
      <xdr:nvPicPr>
        <xdr:cNvPr id="13" name="Picture 129" descr="Volume of Pipe II">
          <a:extLst>
            <a:ext uri="{FF2B5EF4-FFF2-40B4-BE49-F238E27FC236}">
              <a16:creationId xmlns:a16="http://schemas.microsoft.com/office/drawing/2014/main" id="{00000000-0008-0000-26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0675" y="5467350"/>
          <a:ext cx="1819275" cy="314941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38197</xdr:colOff>
      <xdr:row>70</xdr:row>
      <xdr:rowOff>199152</xdr:rowOff>
    </xdr:from>
    <xdr:to>
      <xdr:col>19</xdr:col>
      <xdr:colOff>600076</xdr:colOff>
      <xdr:row>82</xdr:row>
      <xdr:rowOff>38100</xdr:rowOff>
    </xdr:to>
    <xdr:pic>
      <xdr:nvPicPr>
        <xdr:cNvPr id="14" name="Picture 142">
          <a:extLst>
            <a:ext uri="{FF2B5EF4-FFF2-40B4-BE49-F238E27FC236}">
              <a16:creationId xmlns:a16="http://schemas.microsoft.com/office/drawing/2014/main" id="{00000000-0008-0000-2600-00000E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b="10344"/>
        <a:stretch>
          <a:fillRect/>
        </a:stretch>
      </xdr:blipFill>
      <xdr:spPr bwMode="auto">
        <a:xfrm>
          <a:off x="6067522" y="13772277"/>
          <a:ext cx="1704879" cy="2658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4</xdr:col>
      <xdr:colOff>200025</xdr:colOff>
      <xdr:row>0</xdr:row>
      <xdr:rowOff>634365</xdr:rowOff>
    </xdr:to>
    <xdr:pic>
      <xdr:nvPicPr>
        <xdr:cNvPr id="15" name="Picture 14">
          <a:extLst>
            <a:ext uri="{FF2B5EF4-FFF2-40B4-BE49-F238E27FC236}">
              <a16:creationId xmlns:a16="http://schemas.microsoft.com/office/drawing/2014/main" id="{00000000-0008-0000-26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3350" y="85725"/>
          <a:ext cx="1390650" cy="548640"/>
        </a:xfrm>
        <a:prstGeom prst="rect">
          <a:avLst/>
        </a:prstGeom>
      </xdr:spPr>
    </xdr:pic>
    <xdr:clientData/>
  </xdr:twoCellAnchor>
  <xdr:twoCellAnchor editAs="oneCell">
    <xdr:from>
      <xdr:col>15</xdr:col>
      <xdr:colOff>323850</xdr:colOff>
      <xdr:row>0</xdr:row>
      <xdr:rowOff>104775</xdr:rowOff>
    </xdr:from>
    <xdr:to>
      <xdr:col>19</xdr:col>
      <xdr:colOff>624949</xdr:colOff>
      <xdr:row>0</xdr:row>
      <xdr:rowOff>653415</xdr:rowOff>
    </xdr:to>
    <xdr:pic>
      <xdr:nvPicPr>
        <xdr:cNvPr id="16" name="Picture 15">
          <a:extLst>
            <a:ext uri="{FF2B5EF4-FFF2-40B4-BE49-F238E27FC236}">
              <a16:creationId xmlns:a16="http://schemas.microsoft.com/office/drawing/2014/main" id="{00000000-0008-0000-26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72175" y="104775"/>
          <a:ext cx="1825099" cy="548640"/>
        </a:xfrm>
        <a:prstGeom prst="rect">
          <a:avLst/>
        </a:prstGeom>
      </xdr:spPr>
    </xdr:pic>
    <xdr:clientData/>
  </xdr:twoCellAnchor>
  <xdr:twoCellAnchor>
    <xdr:from>
      <xdr:col>32</xdr:col>
      <xdr:colOff>361950</xdr:colOff>
      <xdr:row>0</xdr:row>
      <xdr:rowOff>466725</xdr:rowOff>
    </xdr:from>
    <xdr:to>
      <xdr:col>37</xdr:col>
      <xdr:colOff>19050</xdr:colOff>
      <xdr:row>7</xdr:row>
      <xdr:rowOff>163165</xdr:rowOff>
    </xdr:to>
    <xdr:grpSp>
      <xdr:nvGrpSpPr>
        <xdr:cNvPr id="17" name="Group 1363">
          <a:extLst>
            <a:ext uri="{FF2B5EF4-FFF2-40B4-BE49-F238E27FC236}">
              <a16:creationId xmlns:a16="http://schemas.microsoft.com/office/drawing/2014/main" id="{00000000-0008-0000-2600-000011000000}"/>
            </a:ext>
          </a:extLst>
        </xdr:cNvPr>
        <xdr:cNvGrpSpPr>
          <a:grpSpLocks/>
        </xdr:cNvGrpSpPr>
      </xdr:nvGrpSpPr>
      <xdr:grpSpPr bwMode="auto">
        <a:xfrm>
          <a:off x="13306425" y="466725"/>
          <a:ext cx="1800225" cy="1391890"/>
          <a:chOff x="557" y="117"/>
          <a:chExt cx="209" cy="198"/>
        </a:xfrm>
      </xdr:grpSpPr>
      <xdr:grpSp>
        <xdr:nvGrpSpPr>
          <xdr:cNvPr id="18" name="Group 1362">
            <a:extLst>
              <a:ext uri="{FF2B5EF4-FFF2-40B4-BE49-F238E27FC236}">
                <a16:creationId xmlns:a16="http://schemas.microsoft.com/office/drawing/2014/main" id="{00000000-0008-0000-2600-000012000000}"/>
              </a:ext>
            </a:extLst>
          </xdr:cNvPr>
          <xdr:cNvGrpSpPr>
            <a:grpSpLocks/>
          </xdr:cNvGrpSpPr>
        </xdr:nvGrpSpPr>
        <xdr:grpSpPr bwMode="auto">
          <a:xfrm>
            <a:off x="557" y="117"/>
            <a:ext cx="209" cy="198"/>
            <a:chOff x="557" y="117"/>
            <a:chExt cx="209" cy="198"/>
          </a:xfrm>
        </xdr:grpSpPr>
        <xdr:sp macro="" textlink="">
          <xdr:nvSpPr>
            <xdr:cNvPr id="20" name="Oval 3">
              <a:extLst>
                <a:ext uri="{FF2B5EF4-FFF2-40B4-BE49-F238E27FC236}">
                  <a16:creationId xmlns:a16="http://schemas.microsoft.com/office/drawing/2014/main" id="{00000000-0008-0000-2600-000014000000}"/>
                </a:ext>
              </a:extLst>
            </xdr:cNvPr>
            <xdr:cNvSpPr>
              <a:spLocks noChangeArrowheads="1"/>
            </xdr:cNvSpPr>
          </xdr:nvSpPr>
          <xdr:spPr bwMode="auto">
            <a:xfrm>
              <a:off x="661" y="225"/>
              <a:ext cx="81" cy="61"/>
            </a:xfrm>
            <a:prstGeom prst="ellipse">
              <a:avLst/>
            </a:prstGeom>
            <a:solidFill>
              <a:srgbClr val="FFFFFF"/>
            </a:solidFill>
            <a:ln w="9525">
              <a:solidFill>
                <a:srgbClr val="000000"/>
              </a:solidFill>
              <a:round/>
              <a:headEnd/>
              <a:tailEnd/>
            </a:ln>
          </xdr:spPr>
        </xdr:sp>
        <xdr:sp macro="" textlink="">
          <xdr:nvSpPr>
            <xdr:cNvPr id="21" name="Rectangle 4">
              <a:extLst>
                <a:ext uri="{FF2B5EF4-FFF2-40B4-BE49-F238E27FC236}">
                  <a16:creationId xmlns:a16="http://schemas.microsoft.com/office/drawing/2014/main" id="{00000000-0008-0000-2600-000015000000}"/>
                </a:ext>
              </a:extLst>
            </xdr:cNvPr>
            <xdr:cNvSpPr>
              <a:spLocks noChangeArrowheads="1"/>
            </xdr:cNvSpPr>
          </xdr:nvSpPr>
          <xdr:spPr bwMode="auto">
            <a:xfrm>
              <a:off x="557" y="118"/>
              <a:ext cx="125" cy="63"/>
            </a:xfrm>
            <a:prstGeom prst="rect">
              <a:avLst/>
            </a:prstGeom>
            <a:solidFill>
              <a:srgbClr val="FFFFFF"/>
            </a:solidFill>
            <a:ln w="9525">
              <a:solidFill>
                <a:srgbClr val="000000"/>
              </a:solidFill>
              <a:miter lim="800000"/>
              <a:headEnd/>
              <a:tailEnd/>
            </a:ln>
          </xdr:spPr>
        </xdr:sp>
        <xdr:sp macro="" textlink="">
          <xdr:nvSpPr>
            <xdr:cNvPr id="22" name="Line 5">
              <a:extLst>
                <a:ext uri="{FF2B5EF4-FFF2-40B4-BE49-F238E27FC236}">
                  <a16:creationId xmlns:a16="http://schemas.microsoft.com/office/drawing/2014/main" id="{00000000-0008-0000-2600-000016000000}"/>
                </a:ext>
              </a:extLst>
            </xdr:cNvPr>
            <xdr:cNvSpPr>
              <a:spLocks noChangeShapeType="1"/>
            </xdr:cNvSpPr>
          </xdr:nvSpPr>
          <xdr:spPr bwMode="auto">
            <a:xfrm>
              <a:off x="557" y="196"/>
              <a:ext cx="123"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23" name="Line 6">
              <a:extLst>
                <a:ext uri="{FF2B5EF4-FFF2-40B4-BE49-F238E27FC236}">
                  <a16:creationId xmlns:a16="http://schemas.microsoft.com/office/drawing/2014/main" id="{00000000-0008-0000-2600-000017000000}"/>
                </a:ext>
              </a:extLst>
            </xdr:cNvPr>
            <xdr:cNvSpPr>
              <a:spLocks noChangeShapeType="1"/>
            </xdr:cNvSpPr>
          </xdr:nvSpPr>
          <xdr:spPr bwMode="auto">
            <a:xfrm>
              <a:off x="701" y="117"/>
              <a:ext cx="0" cy="66"/>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24" name="Text Box 7">
              <a:extLst>
                <a:ext uri="{FF2B5EF4-FFF2-40B4-BE49-F238E27FC236}">
                  <a16:creationId xmlns:a16="http://schemas.microsoft.com/office/drawing/2014/main" id="{00000000-0008-0000-2600-000018000000}"/>
                </a:ext>
              </a:extLst>
            </xdr:cNvPr>
            <xdr:cNvSpPr txBox="1">
              <a:spLocks noChangeArrowheads="1"/>
            </xdr:cNvSpPr>
          </xdr:nvSpPr>
          <xdr:spPr bwMode="auto">
            <a:xfrm>
              <a:off x="713" y="129"/>
              <a:ext cx="53" cy="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Width</a:t>
              </a:r>
            </a:p>
          </xdr:txBody>
        </xdr:sp>
        <xdr:sp macro="" textlink="">
          <xdr:nvSpPr>
            <xdr:cNvPr id="25" name="Text Box 8">
              <a:extLst>
                <a:ext uri="{FF2B5EF4-FFF2-40B4-BE49-F238E27FC236}">
                  <a16:creationId xmlns:a16="http://schemas.microsoft.com/office/drawing/2014/main" id="{00000000-0008-0000-2600-000019000000}"/>
                </a:ext>
              </a:extLst>
            </xdr:cNvPr>
            <xdr:cNvSpPr txBox="1">
              <a:spLocks noChangeArrowheads="1"/>
            </xdr:cNvSpPr>
          </xdr:nvSpPr>
          <xdr:spPr bwMode="auto">
            <a:xfrm>
              <a:off x="574" y="200"/>
              <a:ext cx="77" cy="25"/>
            </a:xfrm>
            <a:prstGeom prst="rect">
              <a:avLst/>
            </a:prstGeom>
            <a:solidFill>
              <a:srgbClr val="FFFFFF"/>
            </a:solidFill>
            <a:ln w="9525">
              <a:noFill/>
              <a:miter lim="800000"/>
              <a:headEnd/>
              <a:tailEnd/>
            </a:ln>
          </xdr:spPr>
          <xdr:txBody>
            <a:bodyPr vertOverflow="clip" wrap="square" lIns="27432" tIns="22860" rIns="0" bIns="0" anchor="ctr" upright="1"/>
            <a:lstStyle/>
            <a:p>
              <a:pPr algn="ctr" rtl="0">
                <a:defRPr sz="1000"/>
              </a:pPr>
              <a:r>
                <a:rPr lang="en-US" sz="1000" b="0" i="0" strike="noStrike">
                  <a:solidFill>
                    <a:srgbClr val="000000"/>
                  </a:solidFill>
                  <a:latin typeface="Arial"/>
                  <a:cs typeface="Arial"/>
                </a:rPr>
                <a:t>Length</a:t>
              </a:r>
            </a:p>
          </xdr:txBody>
        </xdr:sp>
        <xdr:sp macro="" textlink="">
          <xdr:nvSpPr>
            <xdr:cNvPr id="26" name="Text Box 9">
              <a:extLst>
                <a:ext uri="{FF2B5EF4-FFF2-40B4-BE49-F238E27FC236}">
                  <a16:creationId xmlns:a16="http://schemas.microsoft.com/office/drawing/2014/main" id="{00000000-0008-0000-2600-00001A000000}"/>
                </a:ext>
              </a:extLst>
            </xdr:cNvPr>
            <xdr:cNvSpPr txBox="1">
              <a:spLocks noChangeArrowheads="1"/>
            </xdr:cNvSpPr>
          </xdr:nvSpPr>
          <xdr:spPr bwMode="auto">
            <a:xfrm>
              <a:off x="709" y="283"/>
              <a:ext cx="53" cy="32"/>
            </a:xfrm>
            <a:prstGeom prst="rect">
              <a:avLst/>
            </a:prstGeom>
            <a:noFill/>
            <a:ln w="9525">
              <a:noFill/>
              <a:miter lim="800000"/>
              <a:headEnd/>
              <a:tailEnd/>
            </a:ln>
          </xdr:spPr>
          <xdr:txBody>
            <a:bodyPr vertOverflow="clip" wrap="square" lIns="27432" tIns="22860" rIns="0" bIns="0" anchor="ctr" upright="1"/>
            <a:lstStyle/>
            <a:p>
              <a:pPr algn="ctr" rtl="0">
                <a:defRPr sz="1000"/>
              </a:pPr>
              <a:r>
                <a:rPr lang="en-US" sz="1000" b="0" i="0" strike="noStrike">
                  <a:solidFill>
                    <a:srgbClr val="000000"/>
                  </a:solidFill>
                  <a:latin typeface="Arial"/>
                  <a:cs typeface="Arial"/>
                </a:rPr>
                <a:t>Radius</a:t>
              </a:r>
            </a:p>
          </xdr:txBody>
        </xdr:sp>
      </xdr:grpSp>
      <xdr:sp macro="" textlink="">
        <xdr:nvSpPr>
          <xdr:cNvPr id="19" name="Line 10">
            <a:extLst>
              <a:ext uri="{FF2B5EF4-FFF2-40B4-BE49-F238E27FC236}">
                <a16:creationId xmlns:a16="http://schemas.microsoft.com/office/drawing/2014/main" id="{00000000-0008-0000-2600-000013000000}"/>
              </a:ext>
            </a:extLst>
          </xdr:cNvPr>
          <xdr:cNvSpPr>
            <a:spLocks noChangeShapeType="1"/>
          </xdr:cNvSpPr>
        </xdr:nvSpPr>
        <xdr:spPr bwMode="auto">
          <a:xfrm>
            <a:off x="699" y="254"/>
            <a:ext cx="42" cy="0"/>
          </a:xfrm>
          <a:prstGeom prst="line">
            <a:avLst/>
          </a:prstGeom>
          <a:noFill/>
          <a:ln w="317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grpSp>
    <xdr:clientData/>
  </xdr:twoCellAnchor>
</xdr:wsDr>
</file>

<file path=xl/drawings/drawing41.xml><?xml version="1.0" encoding="utf-8"?>
<xdr:wsDr xmlns:xdr="http://schemas.openxmlformats.org/drawingml/2006/spreadsheetDrawing" xmlns:a="http://schemas.openxmlformats.org/drawingml/2006/main">
  <xdr:twoCellAnchor editAs="oneCell">
    <xdr:from>
      <xdr:col>12</xdr:col>
      <xdr:colOff>85725</xdr:colOff>
      <xdr:row>21</xdr:row>
      <xdr:rowOff>38100</xdr:rowOff>
    </xdr:from>
    <xdr:to>
      <xdr:col>18</xdr:col>
      <xdr:colOff>409575</xdr:colOff>
      <xdr:row>30</xdr:row>
      <xdr:rowOff>209550</xdr:rowOff>
    </xdr:to>
    <xdr:pic>
      <xdr:nvPicPr>
        <xdr:cNvPr id="2976492" name="Picture 69" descr="Equivalent Length Factors">
          <a:extLst>
            <a:ext uri="{FF2B5EF4-FFF2-40B4-BE49-F238E27FC236}">
              <a16:creationId xmlns:a16="http://schemas.microsoft.com/office/drawing/2014/main" id="{00000000-0008-0000-2700-0000EC6A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7800" y="4486275"/>
          <a:ext cx="30099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190500</xdr:colOff>
      <xdr:row>2</xdr:row>
      <xdr:rowOff>19050</xdr:rowOff>
    </xdr:from>
    <xdr:to>
      <xdr:col>19</xdr:col>
      <xdr:colOff>219075</xdr:colOff>
      <xdr:row>9</xdr:row>
      <xdr:rowOff>66675</xdr:rowOff>
    </xdr:to>
    <xdr:pic>
      <xdr:nvPicPr>
        <xdr:cNvPr id="2976496" name="Picture 4591">
          <a:extLst>
            <a:ext uri="{FF2B5EF4-FFF2-40B4-BE49-F238E27FC236}">
              <a16:creationId xmlns:a16="http://schemas.microsoft.com/office/drawing/2014/main" id="{00000000-0008-0000-2700-0000F06A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53275" y="1028700"/>
          <a:ext cx="137160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85725</xdr:colOff>
      <xdr:row>2</xdr:row>
      <xdr:rowOff>19050</xdr:rowOff>
    </xdr:from>
    <xdr:to>
      <xdr:col>16</xdr:col>
      <xdr:colOff>104775</xdr:colOff>
      <xdr:row>10</xdr:row>
      <xdr:rowOff>0</xdr:rowOff>
    </xdr:to>
    <xdr:pic>
      <xdr:nvPicPr>
        <xdr:cNvPr id="2976497" name="Picture 4590">
          <a:extLst>
            <a:ext uri="{FF2B5EF4-FFF2-40B4-BE49-F238E27FC236}">
              <a16:creationId xmlns:a16="http://schemas.microsoft.com/office/drawing/2014/main" id="{00000000-0008-0000-2700-0000F16A2D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05475" y="1028700"/>
          <a:ext cx="1362075"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13</xdr:col>
          <xdr:colOff>257175</xdr:colOff>
          <xdr:row>32</xdr:row>
          <xdr:rowOff>104775</xdr:rowOff>
        </xdr:from>
        <xdr:to>
          <xdr:col>18</xdr:col>
          <xdr:colOff>66675</xdr:colOff>
          <xdr:row>34</xdr:row>
          <xdr:rowOff>123825</xdr:rowOff>
        </xdr:to>
        <xdr:sp macro="" textlink="">
          <xdr:nvSpPr>
            <xdr:cNvPr id="43019" name="Object 11" hidden="1">
              <a:extLst>
                <a:ext uri="{63B3BB69-23CF-44E3-9099-C40C66FF867C}">
                  <a14:compatExt spid="_x0000_s43019"/>
                </a:ext>
                <a:ext uri="{FF2B5EF4-FFF2-40B4-BE49-F238E27FC236}">
                  <a16:creationId xmlns:a16="http://schemas.microsoft.com/office/drawing/2014/main" id="{00000000-0008-0000-2A00-00000BA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57150</xdr:colOff>
      <xdr:row>0</xdr:row>
      <xdr:rowOff>66675</xdr:rowOff>
    </xdr:from>
    <xdr:to>
      <xdr:col>3</xdr:col>
      <xdr:colOff>295275</xdr:colOff>
      <xdr:row>0</xdr:row>
      <xdr:rowOff>615315</xdr:rowOff>
    </xdr:to>
    <xdr:pic>
      <xdr:nvPicPr>
        <xdr:cNvPr id="11" name="Picture 10">
          <a:extLst>
            <a:ext uri="{FF2B5EF4-FFF2-40B4-BE49-F238E27FC236}">
              <a16:creationId xmlns:a16="http://schemas.microsoft.com/office/drawing/2014/main" id="{00000000-0008-0000-27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150" y="66675"/>
          <a:ext cx="1381125" cy="548640"/>
        </a:xfrm>
        <a:prstGeom prst="rect">
          <a:avLst/>
        </a:prstGeom>
      </xdr:spPr>
    </xdr:pic>
    <xdr:clientData/>
  </xdr:twoCellAnchor>
  <xdr:twoCellAnchor editAs="oneCell">
    <xdr:from>
      <xdr:col>15</xdr:col>
      <xdr:colOff>390525</xdr:colOff>
      <xdr:row>0</xdr:row>
      <xdr:rowOff>57150</xdr:rowOff>
    </xdr:from>
    <xdr:to>
      <xdr:col>19</xdr:col>
      <xdr:colOff>386824</xdr:colOff>
      <xdr:row>0</xdr:row>
      <xdr:rowOff>605790</xdr:rowOff>
    </xdr:to>
    <xdr:pic>
      <xdr:nvPicPr>
        <xdr:cNvPr id="12" name="Picture 11">
          <a:extLst>
            <a:ext uri="{FF2B5EF4-FFF2-40B4-BE49-F238E27FC236}">
              <a16:creationId xmlns:a16="http://schemas.microsoft.com/office/drawing/2014/main" id="{00000000-0008-0000-2700-00000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905625" y="57150"/>
          <a:ext cx="1786999" cy="54864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19050</xdr:colOff>
      <xdr:row>0</xdr:row>
      <xdr:rowOff>66675</xdr:rowOff>
    </xdr:from>
    <xdr:to>
      <xdr:col>2</xdr:col>
      <xdr:colOff>447675</xdr:colOff>
      <xdr:row>0</xdr:row>
      <xdr:rowOff>615315</xdr:rowOff>
    </xdr:to>
    <xdr:pic>
      <xdr:nvPicPr>
        <xdr:cNvPr id="6" name="Picture 5">
          <a:extLst>
            <a:ext uri="{FF2B5EF4-FFF2-40B4-BE49-F238E27FC236}">
              <a16:creationId xmlns:a16="http://schemas.microsoft.com/office/drawing/2014/main" id="{00000000-0008-0000-28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66675"/>
          <a:ext cx="1381125" cy="548640"/>
        </a:xfrm>
        <a:prstGeom prst="rect">
          <a:avLst/>
        </a:prstGeom>
      </xdr:spPr>
    </xdr:pic>
    <xdr:clientData/>
  </xdr:twoCellAnchor>
  <xdr:twoCellAnchor editAs="oneCell">
    <xdr:from>
      <xdr:col>5</xdr:col>
      <xdr:colOff>790575</xdr:colOff>
      <xdr:row>0</xdr:row>
      <xdr:rowOff>66675</xdr:rowOff>
    </xdr:from>
    <xdr:to>
      <xdr:col>6</xdr:col>
      <xdr:colOff>1653649</xdr:colOff>
      <xdr:row>0</xdr:row>
      <xdr:rowOff>615315</xdr:rowOff>
    </xdr:to>
    <xdr:pic>
      <xdr:nvPicPr>
        <xdr:cNvPr id="7" name="Picture 6">
          <a:extLst>
            <a:ext uri="{FF2B5EF4-FFF2-40B4-BE49-F238E27FC236}">
              <a16:creationId xmlns:a16="http://schemas.microsoft.com/office/drawing/2014/main" id="{00000000-0008-0000-28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91000" y="66675"/>
          <a:ext cx="1786999" cy="54864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19050</xdr:colOff>
      <xdr:row>0</xdr:row>
      <xdr:rowOff>66675</xdr:rowOff>
    </xdr:from>
    <xdr:to>
      <xdr:col>2</xdr:col>
      <xdr:colOff>447675</xdr:colOff>
      <xdr:row>0</xdr:row>
      <xdr:rowOff>615315</xdr:rowOff>
    </xdr:to>
    <xdr:pic>
      <xdr:nvPicPr>
        <xdr:cNvPr id="2" name="Picture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66675"/>
          <a:ext cx="1381125" cy="548640"/>
        </a:xfrm>
        <a:prstGeom prst="rect">
          <a:avLst/>
        </a:prstGeom>
      </xdr:spPr>
    </xdr:pic>
    <xdr:clientData/>
  </xdr:twoCellAnchor>
  <xdr:twoCellAnchor editAs="oneCell">
    <xdr:from>
      <xdr:col>5</xdr:col>
      <xdr:colOff>790575</xdr:colOff>
      <xdr:row>0</xdr:row>
      <xdr:rowOff>66675</xdr:rowOff>
    </xdr:from>
    <xdr:to>
      <xdr:col>6</xdr:col>
      <xdr:colOff>1653649</xdr:colOff>
      <xdr:row>0</xdr:row>
      <xdr:rowOff>615315</xdr:rowOff>
    </xdr:to>
    <xdr:pic>
      <xdr:nvPicPr>
        <xdr:cNvPr id="3" name="Picture 2">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91000" y="66675"/>
          <a:ext cx="1786999" cy="54864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47625</xdr:colOff>
      <xdr:row>0</xdr:row>
      <xdr:rowOff>104775</xdr:rowOff>
    </xdr:from>
    <xdr:to>
      <xdr:col>1</xdr:col>
      <xdr:colOff>828675</xdr:colOff>
      <xdr:row>0</xdr:row>
      <xdr:rowOff>653415</xdr:rowOff>
    </xdr:to>
    <xdr:pic>
      <xdr:nvPicPr>
        <xdr:cNvPr id="5" name="Picture 4">
          <a:extLst>
            <a:ext uri="{FF2B5EF4-FFF2-40B4-BE49-F238E27FC236}">
              <a16:creationId xmlns:a16="http://schemas.microsoft.com/office/drawing/2014/main" id="{00000000-0008-0000-2A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04775"/>
          <a:ext cx="1381125" cy="548640"/>
        </a:xfrm>
        <a:prstGeom prst="rect">
          <a:avLst/>
        </a:prstGeom>
      </xdr:spPr>
    </xdr:pic>
    <xdr:clientData/>
  </xdr:twoCellAnchor>
  <xdr:twoCellAnchor editAs="oneCell">
    <xdr:from>
      <xdr:col>4</xdr:col>
      <xdr:colOff>114300</xdr:colOff>
      <xdr:row>0</xdr:row>
      <xdr:rowOff>104775</xdr:rowOff>
    </xdr:from>
    <xdr:to>
      <xdr:col>5</xdr:col>
      <xdr:colOff>872599</xdr:colOff>
      <xdr:row>0</xdr:row>
      <xdr:rowOff>653415</xdr:rowOff>
    </xdr:to>
    <xdr:pic>
      <xdr:nvPicPr>
        <xdr:cNvPr id="6" name="Picture 5">
          <a:extLst>
            <a:ext uri="{FF2B5EF4-FFF2-40B4-BE49-F238E27FC236}">
              <a16:creationId xmlns:a16="http://schemas.microsoft.com/office/drawing/2014/main" id="{00000000-0008-0000-2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6650" y="104775"/>
          <a:ext cx="1786999" cy="54864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133350</xdr:colOff>
      <xdr:row>0</xdr:row>
      <xdr:rowOff>104775</xdr:rowOff>
    </xdr:from>
    <xdr:to>
      <xdr:col>2</xdr:col>
      <xdr:colOff>476250</xdr:colOff>
      <xdr:row>0</xdr:row>
      <xdr:rowOff>653415</xdr:rowOff>
    </xdr:to>
    <xdr:pic>
      <xdr:nvPicPr>
        <xdr:cNvPr id="4" name="Picture 3">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04775"/>
          <a:ext cx="1409700" cy="548640"/>
        </a:xfrm>
        <a:prstGeom prst="rect">
          <a:avLst/>
        </a:prstGeom>
      </xdr:spPr>
    </xdr:pic>
    <xdr:clientData/>
  </xdr:twoCellAnchor>
  <xdr:twoCellAnchor editAs="oneCell">
    <xdr:from>
      <xdr:col>11</xdr:col>
      <xdr:colOff>76200</xdr:colOff>
      <xdr:row>0</xdr:row>
      <xdr:rowOff>104775</xdr:rowOff>
    </xdr:from>
    <xdr:to>
      <xdr:col>14</xdr:col>
      <xdr:colOff>272524</xdr:colOff>
      <xdr:row>0</xdr:row>
      <xdr:rowOff>653415</xdr:rowOff>
    </xdr:to>
    <xdr:pic>
      <xdr:nvPicPr>
        <xdr:cNvPr id="5" name="Picture 4">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19675" y="104775"/>
          <a:ext cx="1844149" cy="54864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1</xdr:col>
      <xdr:colOff>609600</xdr:colOff>
      <xdr:row>1</xdr:row>
      <xdr:rowOff>72390</xdr:rowOff>
    </xdr:to>
    <xdr:pic>
      <xdr:nvPicPr>
        <xdr:cNvPr id="5" name="Picture 4">
          <a:extLst>
            <a:ext uri="{FF2B5EF4-FFF2-40B4-BE49-F238E27FC236}">
              <a16:creationId xmlns:a16="http://schemas.microsoft.com/office/drawing/2014/main" id="{00000000-0008-0000-2C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675"/>
          <a:ext cx="1381125" cy="548640"/>
        </a:xfrm>
        <a:prstGeom prst="rect">
          <a:avLst/>
        </a:prstGeom>
      </xdr:spPr>
    </xdr:pic>
    <xdr:clientData/>
  </xdr:twoCellAnchor>
  <xdr:twoCellAnchor editAs="oneCell">
    <xdr:from>
      <xdr:col>4</xdr:col>
      <xdr:colOff>66675</xdr:colOff>
      <xdr:row>0</xdr:row>
      <xdr:rowOff>19050</xdr:rowOff>
    </xdr:from>
    <xdr:to>
      <xdr:col>5</xdr:col>
      <xdr:colOff>920224</xdr:colOff>
      <xdr:row>1</xdr:row>
      <xdr:rowOff>24765</xdr:rowOff>
    </xdr:to>
    <xdr:pic>
      <xdr:nvPicPr>
        <xdr:cNvPr id="6" name="Picture 5">
          <a:extLst>
            <a:ext uri="{FF2B5EF4-FFF2-40B4-BE49-F238E27FC236}">
              <a16:creationId xmlns:a16="http://schemas.microsoft.com/office/drawing/2014/main" id="{00000000-0008-0000-2C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0" y="19050"/>
          <a:ext cx="1786999" cy="54864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0</xdr:col>
      <xdr:colOff>1466850</xdr:colOff>
      <xdr:row>1</xdr:row>
      <xdr:rowOff>81915</xdr:rowOff>
    </xdr:to>
    <xdr:pic>
      <xdr:nvPicPr>
        <xdr:cNvPr id="5" name="Picture 4">
          <a:extLst>
            <a:ext uri="{FF2B5EF4-FFF2-40B4-BE49-F238E27FC236}">
              <a16:creationId xmlns:a16="http://schemas.microsoft.com/office/drawing/2014/main" id="{00000000-0008-0000-2D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85725"/>
          <a:ext cx="1381125" cy="548640"/>
        </a:xfrm>
        <a:prstGeom prst="rect">
          <a:avLst/>
        </a:prstGeom>
      </xdr:spPr>
    </xdr:pic>
    <xdr:clientData/>
  </xdr:twoCellAnchor>
  <xdr:twoCellAnchor editAs="oneCell">
    <xdr:from>
      <xdr:col>4</xdr:col>
      <xdr:colOff>114300</xdr:colOff>
      <xdr:row>0</xdr:row>
      <xdr:rowOff>19050</xdr:rowOff>
    </xdr:from>
    <xdr:to>
      <xdr:col>6</xdr:col>
      <xdr:colOff>586849</xdr:colOff>
      <xdr:row>1</xdr:row>
      <xdr:rowOff>15240</xdr:rowOff>
    </xdr:to>
    <xdr:pic>
      <xdr:nvPicPr>
        <xdr:cNvPr id="6" name="Picture 5">
          <a:extLst>
            <a:ext uri="{FF2B5EF4-FFF2-40B4-BE49-F238E27FC236}">
              <a16:creationId xmlns:a16="http://schemas.microsoft.com/office/drawing/2014/main" id="{00000000-0008-0000-2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05375" y="19050"/>
          <a:ext cx="1786999" cy="54864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9</xdr:col>
      <xdr:colOff>9525</xdr:colOff>
      <xdr:row>81</xdr:row>
      <xdr:rowOff>9525</xdr:rowOff>
    </xdr:from>
    <xdr:to>
      <xdr:col>14</xdr:col>
      <xdr:colOff>514350</xdr:colOff>
      <xdr:row>96</xdr:row>
      <xdr:rowOff>85725</xdr:rowOff>
    </xdr:to>
    <xdr:pic>
      <xdr:nvPicPr>
        <xdr:cNvPr id="2993312" name="Picture 5" descr="Table IXa.jpg">
          <a:extLst>
            <a:ext uri="{FF2B5EF4-FFF2-40B4-BE49-F238E27FC236}">
              <a16:creationId xmlns:a16="http://schemas.microsoft.com/office/drawing/2014/main" id="{00000000-0008-0000-2E00-0000A0AC2D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0" y="16202025"/>
          <a:ext cx="2933700" cy="266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330200</xdr:colOff>
      <xdr:row>104</xdr:row>
      <xdr:rowOff>25400</xdr:rowOff>
    </xdr:from>
    <xdr:to>
      <xdr:col>7</xdr:col>
      <xdr:colOff>63500</xdr:colOff>
      <xdr:row>105</xdr:row>
      <xdr:rowOff>101600</xdr:rowOff>
    </xdr:to>
    <xdr:sp macro="" textlink="">
      <xdr:nvSpPr>
        <xdr:cNvPr id="38923" name="CheckBox1" hidden="1">
          <a:extLst>
            <a:ext uri="{63B3BB69-23CF-44E3-9099-C40C66FF867C}">
              <a14:compatExt xmlns:a14="http://schemas.microsoft.com/office/drawing/2010/main" spid="_x0000_s38923"/>
            </a:ext>
            <a:ext uri="{FF2B5EF4-FFF2-40B4-BE49-F238E27FC236}">
              <a16:creationId xmlns:a16="http://schemas.microsoft.com/office/drawing/2014/main" id="{00000000-0008-0000-2E00-00000B9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254000</xdr:colOff>
      <xdr:row>104</xdr:row>
      <xdr:rowOff>25400</xdr:rowOff>
    </xdr:from>
    <xdr:to>
      <xdr:col>9</xdr:col>
      <xdr:colOff>0</xdr:colOff>
      <xdr:row>105</xdr:row>
      <xdr:rowOff>101600</xdr:rowOff>
    </xdr:to>
    <xdr:sp macro="" textlink="">
      <xdr:nvSpPr>
        <xdr:cNvPr id="38924" name="CheckBox2" hidden="1">
          <a:extLst>
            <a:ext uri="{63B3BB69-23CF-44E3-9099-C40C66FF867C}">
              <a14:compatExt xmlns:a14="http://schemas.microsoft.com/office/drawing/2010/main" spid="_x0000_s38924"/>
            </a:ext>
            <a:ext uri="{FF2B5EF4-FFF2-40B4-BE49-F238E27FC236}">
              <a16:creationId xmlns:a16="http://schemas.microsoft.com/office/drawing/2014/main" id="{00000000-0008-0000-2E00-00000C9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12700</xdr:colOff>
      <xdr:row>7</xdr:row>
      <xdr:rowOff>25400</xdr:rowOff>
    </xdr:from>
    <xdr:to>
      <xdr:col>11</xdr:col>
      <xdr:colOff>165100</xdr:colOff>
      <xdr:row>8</xdr:row>
      <xdr:rowOff>127000</xdr:rowOff>
    </xdr:to>
    <xdr:sp macro="" textlink="">
      <xdr:nvSpPr>
        <xdr:cNvPr id="38931" name="CheckBox5" hidden="1">
          <a:extLst>
            <a:ext uri="{63B3BB69-23CF-44E3-9099-C40C66FF867C}">
              <a14:compatExt xmlns:a14="http://schemas.microsoft.com/office/drawing/2010/main" spid="_x0000_s38931"/>
            </a:ext>
            <a:ext uri="{FF2B5EF4-FFF2-40B4-BE49-F238E27FC236}">
              <a16:creationId xmlns:a16="http://schemas.microsoft.com/office/drawing/2014/main" id="{00000000-0008-0000-2E00-0000139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12</xdr:col>
      <xdr:colOff>12700</xdr:colOff>
      <xdr:row>7</xdr:row>
      <xdr:rowOff>38100</xdr:rowOff>
    </xdr:from>
    <xdr:to>
      <xdr:col>13</xdr:col>
      <xdr:colOff>165100</xdr:colOff>
      <xdr:row>8</xdr:row>
      <xdr:rowOff>139700</xdr:rowOff>
    </xdr:to>
    <xdr:sp macro="" textlink="">
      <xdr:nvSpPr>
        <xdr:cNvPr id="38932" name="CheckBox6" hidden="1">
          <a:extLst>
            <a:ext uri="{63B3BB69-23CF-44E3-9099-C40C66FF867C}">
              <a14:compatExt xmlns:a14="http://schemas.microsoft.com/office/drawing/2010/main" spid="_x0000_s38932"/>
            </a:ext>
            <a:ext uri="{FF2B5EF4-FFF2-40B4-BE49-F238E27FC236}">
              <a16:creationId xmlns:a16="http://schemas.microsoft.com/office/drawing/2014/main" id="{00000000-0008-0000-2E00-0000149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12700</xdr:colOff>
      <xdr:row>10</xdr:row>
      <xdr:rowOff>25400</xdr:rowOff>
    </xdr:from>
    <xdr:to>
      <xdr:col>9</xdr:col>
      <xdr:colOff>25400</xdr:colOff>
      <xdr:row>11</xdr:row>
      <xdr:rowOff>127000</xdr:rowOff>
    </xdr:to>
    <xdr:sp macro="" textlink="">
      <xdr:nvSpPr>
        <xdr:cNvPr id="38933" name="CheckBox7" hidden="1">
          <a:extLst>
            <a:ext uri="{63B3BB69-23CF-44E3-9099-C40C66FF867C}">
              <a14:compatExt xmlns:a14="http://schemas.microsoft.com/office/drawing/2010/main" spid="_x0000_s38933"/>
            </a:ext>
            <a:ext uri="{FF2B5EF4-FFF2-40B4-BE49-F238E27FC236}">
              <a16:creationId xmlns:a16="http://schemas.microsoft.com/office/drawing/2014/main" id="{00000000-0008-0000-2E00-0000159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12700</xdr:colOff>
      <xdr:row>10</xdr:row>
      <xdr:rowOff>25400</xdr:rowOff>
    </xdr:from>
    <xdr:to>
      <xdr:col>11</xdr:col>
      <xdr:colOff>38100</xdr:colOff>
      <xdr:row>11</xdr:row>
      <xdr:rowOff>127000</xdr:rowOff>
    </xdr:to>
    <xdr:sp macro="" textlink="">
      <xdr:nvSpPr>
        <xdr:cNvPr id="38934" name="CheckBox8" hidden="1">
          <a:extLst>
            <a:ext uri="{63B3BB69-23CF-44E3-9099-C40C66FF867C}">
              <a14:compatExt xmlns:a14="http://schemas.microsoft.com/office/drawing/2010/main" spid="_x0000_s38934"/>
            </a:ext>
            <a:ext uri="{FF2B5EF4-FFF2-40B4-BE49-F238E27FC236}">
              <a16:creationId xmlns:a16="http://schemas.microsoft.com/office/drawing/2014/main" id="{00000000-0008-0000-2E00-0000169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12700</xdr:colOff>
      <xdr:row>67</xdr:row>
      <xdr:rowOff>25400</xdr:rowOff>
    </xdr:from>
    <xdr:to>
      <xdr:col>8</xdr:col>
      <xdr:colOff>165100</xdr:colOff>
      <xdr:row>68</xdr:row>
      <xdr:rowOff>63500</xdr:rowOff>
    </xdr:to>
    <xdr:sp macro="" textlink="">
      <xdr:nvSpPr>
        <xdr:cNvPr id="38936" name="CheckBox9" hidden="1">
          <a:extLst>
            <a:ext uri="{63B3BB69-23CF-44E3-9099-C40C66FF867C}">
              <a14:compatExt xmlns:a14="http://schemas.microsoft.com/office/drawing/2010/main" spid="_x0000_s38936"/>
            </a:ext>
            <a:ext uri="{FF2B5EF4-FFF2-40B4-BE49-F238E27FC236}">
              <a16:creationId xmlns:a16="http://schemas.microsoft.com/office/drawing/2014/main" id="{00000000-0008-0000-2E00-0000189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12700</xdr:colOff>
      <xdr:row>67</xdr:row>
      <xdr:rowOff>38100</xdr:rowOff>
    </xdr:from>
    <xdr:to>
      <xdr:col>10</xdr:col>
      <xdr:colOff>165100</xdr:colOff>
      <xdr:row>68</xdr:row>
      <xdr:rowOff>63500</xdr:rowOff>
    </xdr:to>
    <xdr:sp macro="" textlink="">
      <xdr:nvSpPr>
        <xdr:cNvPr id="38937" name="CheckBox10" hidden="1">
          <a:extLst>
            <a:ext uri="{63B3BB69-23CF-44E3-9099-C40C66FF867C}">
              <a14:compatExt xmlns:a14="http://schemas.microsoft.com/office/drawing/2010/main" spid="_x0000_s38937"/>
            </a:ext>
            <a:ext uri="{FF2B5EF4-FFF2-40B4-BE49-F238E27FC236}">
              <a16:creationId xmlns:a16="http://schemas.microsoft.com/office/drawing/2014/main" id="{00000000-0008-0000-2E00-0000199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85725</xdr:colOff>
          <xdr:row>37</xdr:row>
          <xdr:rowOff>0</xdr:rowOff>
        </xdr:from>
        <xdr:to>
          <xdr:col>6</xdr:col>
          <xdr:colOff>142875</xdr:colOff>
          <xdr:row>38</xdr:row>
          <xdr:rowOff>9525</xdr:rowOff>
        </xdr:to>
        <xdr:sp macro="" textlink="">
          <xdr:nvSpPr>
            <xdr:cNvPr id="39285" name="Check Box 373" hidden="1">
              <a:extLst>
                <a:ext uri="{63B3BB69-23CF-44E3-9099-C40C66FF867C}">
                  <a14:compatExt spid="_x0000_s39285"/>
                </a:ext>
                <a:ext uri="{FF2B5EF4-FFF2-40B4-BE49-F238E27FC236}">
                  <a16:creationId xmlns:a16="http://schemas.microsoft.com/office/drawing/2014/main" id="{00000000-0008-0000-3100-0000759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37</xdr:row>
          <xdr:rowOff>0</xdr:rowOff>
        </xdr:from>
        <xdr:to>
          <xdr:col>7</xdr:col>
          <xdr:colOff>219075</xdr:colOff>
          <xdr:row>38</xdr:row>
          <xdr:rowOff>28575</xdr:rowOff>
        </xdr:to>
        <xdr:sp macro="" textlink="">
          <xdr:nvSpPr>
            <xdr:cNvPr id="39286" name="Check Box 374" hidden="1">
              <a:extLst>
                <a:ext uri="{63B3BB69-23CF-44E3-9099-C40C66FF867C}">
                  <a14:compatExt spid="_x0000_s39286"/>
                </a:ext>
                <a:ext uri="{FF2B5EF4-FFF2-40B4-BE49-F238E27FC236}">
                  <a16:creationId xmlns:a16="http://schemas.microsoft.com/office/drawing/2014/main" id="{00000000-0008-0000-3100-0000769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twoCellAnchor editAs="oneCell">
    <xdr:from>
      <xdr:col>4</xdr:col>
      <xdr:colOff>152400</xdr:colOff>
      <xdr:row>108</xdr:row>
      <xdr:rowOff>25400</xdr:rowOff>
    </xdr:from>
    <xdr:to>
      <xdr:col>6</xdr:col>
      <xdr:colOff>50800</xdr:colOff>
      <xdr:row>109</xdr:row>
      <xdr:rowOff>63500</xdr:rowOff>
    </xdr:to>
    <xdr:sp macro="" textlink="">
      <xdr:nvSpPr>
        <xdr:cNvPr id="959812" name="CheckBox11" hidden="1">
          <a:extLst>
            <a:ext uri="{63B3BB69-23CF-44E3-9099-C40C66FF867C}">
              <a14:compatExt xmlns:a14="http://schemas.microsoft.com/office/drawing/2010/main" spid="_x0000_s959812"/>
            </a:ext>
            <a:ext uri="{FF2B5EF4-FFF2-40B4-BE49-F238E27FC236}">
              <a16:creationId xmlns:a16="http://schemas.microsoft.com/office/drawing/2014/main" id="{00000000-0008-0000-2E00-000044A50E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254000</xdr:colOff>
      <xdr:row>108</xdr:row>
      <xdr:rowOff>25400</xdr:rowOff>
    </xdr:from>
    <xdr:to>
      <xdr:col>7</xdr:col>
      <xdr:colOff>0</xdr:colOff>
      <xdr:row>109</xdr:row>
      <xdr:rowOff>63500</xdr:rowOff>
    </xdr:to>
    <xdr:sp macro="" textlink="">
      <xdr:nvSpPr>
        <xdr:cNvPr id="959813" name="CheckBox12" hidden="1">
          <a:extLst>
            <a:ext uri="{63B3BB69-23CF-44E3-9099-C40C66FF867C}">
              <a14:compatExt xmlns:a14="http://schemas.microsoft.com/office/drawing/2010/main" spid="_x0000_s959813"/>
            </a:ext>
            <a:ext uri="{FF2B5EF4-FFF2-40B4-BE49-F238E27FC236}">
              <a16:creationId xmlns:a16="http://schemas.microsoft.com/office/drawing/2014/main" id="{00000000-0008-0000-2E00-000045A50E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368300</xdr:colOff>
      <xdr:row>108</xdr:row>
      <xdr:rowOff>25400</xdr:rowOff>
    </xdr:from>
    <xdr:to>
      <xdr:col>8</xdr:col>
      <xdr:colOff>127000</xdr:colOff>
      <xdr:row>109</xdr:row>
      <xdr:rowOff>63500</xdr:rowOff>
    </xdr:to>
    <xdr:sp macro="" textlink="">
      <xdr:nvSpPr>
        <xdr:cNvPr id="959814" name="CheckBox13" hidden="1">
          <a:extLst>
            <a:ext uri="{63B3BB69-23CF-44E3-9099-C40C66FF867C}">
              <a14:compatExt xmlns:a14="http://schemas.microsoft.com/office/drawing/2010/main" spid="_x0000_s959814"/>
            </a:ext>
            <a:ext uri="{FF2B5EF4-FFF2-40B4-BE49-F238E27FC236}">
              <a16:creationId xmlns:a16="http://schemas.microsoft.com/office/drawing/2014/main" id="{00000000-0008-0000-2E00-000046A50E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50800</xdr:colOff>
      <xdr:row>108</xdr:row>
      <xdr:rowOff>25400</xdr:rowOff>
    </xdr:from>
    <xdr:to>
      <xdr:col>9</xdr:col>
      <xdr:colOff>292100</xdr:colOff>
      <xdr:row>109</xdr:row>
      <xdr:rowOff>63500</xdr:rowOff>
    </xdr:to>
    <xdr:sp macro="" textlink="">
      <xdr:nvSpPr>
        <xdr:cNvPr id="959815" name="CheckBox14" hidden="1">
          <a:extLst>
            <a:ext uri="{63B3BB69-23CF-44E3-9099-C40C66FF867C}">
              <a14:compatExt xmlns:a14="http://schemas.microsoft.com/office/drawing/2010/main" spid="_x0000_s959815"/>
            </a:ext>
            <a:ext uri="{FF2B5EF4-FFF2-40B4-BE49-F238E27FC236}">
              <a16:creationId xmlns:a16="http://schemas.microsoft.com/office/drawing/2014/main" id="{00000000-0008-0000-2E00-000047A50E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50800</xdr:colOff>
      <xdr:row>108</xdr:row>
      <xdr:rowOff>25400</xdr:rowOff>
    </xdr:from>
    <xdr:to>
      <xdr:col>10</xdr:col>
      <xdr:colOff>431800</xdr:colOff>
      <xdr:row>109</xdr:row>
      <xdr:rowOff>63500</xdr:rowOff>
    </xdr:to>
    <xdr:sp macro="" textlink="">
      <xdr:nvSpPr>
        <xdr:cNvPr id="959816" name="CheckBox15" hidden="1">
          <a:extLst>
            <a:ext uri="{63B3BB69-23CF-44E3-9099-C40C66FF867C}">
              <a14:compatExt xmlns:a14="http://schemas.microsoft.com/office/drawing/2010/main" spid="_x0000_s959816"/>
            </a:ext>
            <a:ext uri="{FF2B5EF4-FFF2-40B4-BE49-F238E27FC236}">
              <a16:creationId xmlns:a16="http://schemas.microsoft.com/office/drawing/2014/main" id="{00000000-0008-0000-2E00-000048A50E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12700</xdr:colOff>
      <xdr:row>69</xdr:row>
      <xdr:rowOff>25400</xdr:rowOff>
    </xdr:from>
    <xdr:to>
      <xdr:col>10</xdr:col>
      <xdr:colOff>12700</xdr:colOff>
      <xdr:row>70</xdr:row>
      <xdr:rowOff>63500</xdr:rowOff>
    </xdr:to>
    <xdr:sp macro="" textlink="">
      <xdr:nvSpPr>
        <xdr:cNvPr id="1834600" name="CheckBox16" hidden="1">
          <a:extLst>
            <a:ext uri="{63B3BB69-23CF-44E3-9099-C40C66FF867C}">
              <a14:compatExt xmlns:a14="http://schemas.microsoft.com/office/drawing/2010/main" spid="_x0000_s1834600"/>
            </a:ext>
            <a:ext uri="{FF2B5EF4-FFF2-40B4-BE49-F238E27FC236}">
              <a16:creationId xmlns:a16="http://schemas.microsoft.com/office/drawing/2014/main" id="{00000000-0008-0000-2E00-000068FE1B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139700</xdr:colOff>
      <xdr:row>69</xdr:row>
      <xdr:rowOff>38100</xdr:rowOff>
    </xdr:from>
    <xdr:to>
      <xdr:col>10</xdr:col>
      <xdr:colOff>292100</xdr:colOff>
      <xdr:row>70</xdr:row>
      <xdr:rowOff>63500</xdr:rowOff>
    </xdr:to>
    <xdr:sp macro="" textlink="">
      <xdr:nvSpPr>
        <xdr:cNvPr id="1834601" name="CheckBox17" hidden="1">
          <a:extLst>
            <a:ext uri="{63B3BB69-23CF-44E3-9099-C40C66FF867C}">
              <a14:compatExt xmlns:a14="http://schemas.microsoft.com/office/drawing/2010/main" spid="_x0000_s1834601"/>
            </a:ext>
            <a:ext uri="{FF2B5EF4-FFF2-40B4-BE49-F238E27FC236}">
              <a16:creationId xmlns:a16="http://schemas.microsoft.com/office/drawing/2014/main" id="{00000000-0008-0000-2E00-000069FE1B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38100</xdr:colOff>
      <xdr:row>0</xdr:row>
      <xdr:rowOff>66675</xdr:rowOff>
    </xdr:from>
    <xdr:to>
      <xdr:col>4</xdr:col>
      <xdr:colOff>142875</xdr:colOff>
      <xdr:row>0</xdr:row>
      <xdr:rowOff>615315</xdr:rowOff>
    </xdr:to>
    <xdr:pic>
      <xdr:nvPicPr>
        <xdr:cNvPr id="25" name="Picture 24">
          <a:extLst>
            <a:ext uri="{FF2B5EF4-FFF2-40B4-BE49-F238E27FC236}">
              <a16:creationId xmlns:a16="http://schemas.microsoft.com/office/drawing/2014/main" id="{00000000-0008-0000-2E00-00001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66675"/>
          <a:ext cx="1381125" cy="548640"/>
        </a:xfrm>
        <a:prstGeom prst="rect">
          <a:avLst/>
        </a:prstGeom>
      </xdr:spPr>
    </xdr:pic>
    <xdr:clientData/>
  </xdr:twoCellAnchor>
  <xdr:twoCellAnchor editAs="oneCell">
    <xdr:from>
      <xdr:col>11</xdr:col>
      <xdr:colOff>95250</xdr:colOff>
      <xdr:row>0</xdr:row>
      <xdr:rowOff>76200</xdr:rowOff>
    </xdr:from>
    <xdr:to>
      <xdr:col>14</xdr:col>
      <xdr:colOff>424924</xdr:colOff>
      <xdr:row>0</xdr:row>
      <xdr:rowOff>624840</xdr:rowOff>
    </xdr:to>
    <xdr:pic>
      <xdr:nvPicPr>
        <xdr:cNvPr id="26" name="Picture 25">
          <a:extLst>
            <a:ext uri="{FF2B5EF4-FFF2-40B4-BE49-F238E27FC236}">
              <a16:creationId xmlns:a16="http://schemas.microsoft.com/office/drawing/2014/main" id="{00000000-0008-0000-2E00-00001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72025" y="76200"/>
          <a:ext cx="1786999" cy="548640"/>
        </a:xfrm>
        <a:prstGeom prst="rect">
          <a:avLst/>
        </a:prstGeom>
      </xdr:spPr>
    </xdr:pic>
    <xdr:clientData/>
  </xdr:twoCellAnchor>
  <xdr:twoCellAnchor editAs="oneCell">
    <xdr:from>
      <xdr:col>7</xdr:col>
      <xdr:colOff>76200</xdr:colOff>
      <xdr:row>109</xdr:row>
      <xdr:rowOff>114300</xdr:rowOff>
    </xdr:from>
    <xdr:to>
      <xdr:col>7</xdr:col>
      <xdr:colOff>482600</xdr:colOff>
      <xdr:row>111</xdr:row>
      <xdr:rowOff>12700</xdr:rowOff>
    </xdr:to>
    <xdr:sp macro="" textlink="">
      <xdr:nvSpPr>
        <xdr:cNvPr id="1834602" name="CheckBox3" hidden="1">
          <a:extLst>
            <a:ext uri="{63B3BB69-23CF-44E3-9099-C40C66FF867C}">
              <a14:compatExt xmlns:a14="http://schemas.microsoft.com/office/drawing/2010/main" spid="_x0000_s1834602"/>
            </a:ext>
            <a:ext uri="{FF2B5EF4-FFF2-40B4-BE49-F238E27FC236}">
              <a16:creationId xmlns:a16="http://schemas.microsoft.com/office/drawing/2014/main" id="{00000000-0008-0000-2E00-00006AFE1B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393700</xdr:colOff>
      <xdr:row>109</xdr:row>
      <xdr:rowOff>101600</xdr:rowOff>
    </xdr:from>
    <xdr:to>
      <xdr:col>9</xdr:col>
      <xdr:colOff>457200</xdr:colOff>
      <xdr:row>111</xdr:row>
      <xdr:rowOff>25400</xdr:rowOff>
    </xdr:to>
    <xdr:sp macro="" textlink="">
      <xdr:nvSpPr>
        <xdr:cNvPr id="1834603" name="CheckBox4" hidden="1">
          <a:extLst>
            <a:ext uri="{63B3BB69-23CF-44E3-9099-C40C66FF867C}">
              <a14:compatExt xmlns:a14="http://schemas.microsoft.com/office/drawing/2010/main" spid="_x0000_s1834603"/>
            </a:ext>
            <a:ext uri="{FF2B5EF4-FFF2-40B4-BE49-F238E27FC236}">
              <a16:creationId xmlns:a16="http://schemas.microsoft.com/office/drawing/2014/main" id="{00000000-0008-0000-2E00-00006BFE1B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247650</xdr:colOff>
      <xdr:row>104</xdr:row>
      <xdr:rowOff>19050</xdr:rowOff>
    </xdr:from>
    <xdr:to>
      <xdr:col>7</xdr:col>
      <xdr:colOff>47625</xdr:colOff>
      <xdr:row>105</xdr:row>
      <xdr:rowOff>76200</xdr:rowOff>
    </xdr:to>
    <xdr:pic>
      <xdr:nvPicPr>
        <xdr:cNvPr id="2" name="CheckBox1">
          <a:extLst>
            <a:ext uri="{FF2B5EF4-FFF2-40B4-BE49-F238E27FC236}">
              <a16:creationId xmlns:a16="http://schemas.microsoft.com/office/drawing/2014/main" id="{00000000-0008-0000-2E00-000002000000}"/>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57400" y="20088225"/>
          <a:ext cx="79057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190500</xdr:colOff>
      <xdr:row>104</xdr:row>
      <xdr:rowOff>19050</xdr:rowOff>
    </xdr:from>
    <xdr:to>
      <xdr:col>9</xdr:col>
      <xdr:colOff>0</xdr:colOff>
      <xdr:row>105</xdr:row>
      <xdr:rowOff>76200</xdr:rowOff>
    </xdr:to>
    <xdr:pic>
      <xdr:nvPicPr>
        <xdr:cNvPr id="3" name="CheckBox2">
          <a:extLst>
            <a:ext uri="{FF2B5EF4-FFF2-40B4-BE49-F238E27FC236}">
              <a16:creationId xmlns:a16="http://schemas.microsoft.com/office/drawing/2014/main" id="{00000000-0008-0000-2E00-000003000000}"/>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990850" y="20088225"/>
          <a:ext cx="8001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10</xdr:col>
      <xdr:colOff>9525</xdr:colOff>
      <xdr:row>7</xdr:row>
      <xdr:rowOff>19050</xdr:rowOff>
    </xdr:from>
    <xdr:to>
      <xdr:col>11</xdr:col>
      <xdr:colOff>123825</xdr:colOff>
      <xdr:row>8</xdr:row>
      <xdr:rowOff>95250</xdr:rowOff>
    </xdr:to>
    <xdr:pic>
      <xdr:nvPicPr>
        <xdr:cNvPr id="4" name="CheckBox5">
          <a:extLst>
            <a:ext uri="{FF2B5EF4-FFF2-40B4-BE49-F238E27FC236}">
              <a16:creationId xmlns:a16="http://schemas.microsoft.com/office/drawing/2014/main" id="{00000000-0008-0000-2E00-000004000000}"/>
            </a:ext>
          </a:extLst>
        </xdr:cNvPr>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295775" y="1809750"/>
          <a:ext cx="6096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12</xdr:col>
      <xdr:colOff>9525</xdr:colOff>
      <xdr:row>7</xdr:row>
      <xdr:rowOff>28575</xdr:rowOff>
    </xdr:from>
    <xdr:to>
      <xdr:col>13</xdr:col>
      <xdr:colOff>123825</xdr:colOff>
      <xdr:row>8</xdr:row>
      <xdr:rowOff>104775</xdr:rowOff>
    </xdr:to>
    <xdr:pic>
      <xdr:nvPicPr>
        <xdr:cNvPr id="5" name="CheckBox6">
          <a:extLst>
            <a:ext uri="{FF2B5EF4-FFF2-40B4-BE49-F238E27FC236}">
              <a16:creationId xmlns:a16="http://schemas.microsoft.com/office/drawing/2014/main" id="{00000000-0008-0000-2E00-000005000000}"/>
            </a:ext>
          </a:extLst>
        </xdr:cNvPr>
        <xdr:cNvPicPr preferRelativeResize="0">
          <a:picLocks noChangeArrowheads="1" noChangeShapeType="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286375" y="1819275"/>
          <a:ext cx="6096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9525</xdr:colOff>
      <xdr:row>10</xdr:row>
      <xdr:rowOff>19050</xdr:rowOff>
    </xdr:from>
    <xdr:to>
      <xdr:col>9</xdr:col>
      <xdr:colOff>19050</xdr:colOff>
      <xdr:row>11</xdr:row>
      <xdr:rowOff>95250</xdr:rowOff>
    </xdr:to>
    <xdr:pic>
      <xdr:nvPicPr>
        <xdr:cNvPr id="6" name="CheckBox7">
          <a:extLst>
            <a:ext uri="{FF2B5EF4-FFF2-40B4-BE49-F238E27FC236}">
              <a16:creationId xmlns:a16="http://schemas.microsoft.com/office/drawing/2014/main" id="{00000000-0008-0000-2E00-000006000000}"/>
            </a:ext>
          </a:extLst>
        </xdr:cNvPr>
        <xdr:cNvPicPr preferRelativeResize="0">
          <a:picLocks noChangeArrowheads="1" noChangeShapeType="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809875" y="2362200"/>
          <a:ext cx="10001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9</xdr:col>
      <xdr:colOff>9525</xdr:colOff>
      <xdr:row>10</xdr:row>
      <xdr:rowOff>19050</xdr:rowOff>
    </xdr:from>
    <xdr:to>
      <xdr:col>11</xdr:col>
      <xdr:colOff>28575</xdr:colOff>
      <xdr:row>11</xdr:row>
      <xdr:rowOff>95250</xdr:rowOff>
    </xdr:to>
    <xdr:pic>
      <xdr:nvPicPr>
        <xdr:cNvPr id="7" name="CheckBox8">
          <a:extLst>
            <a:ext uri="{FF2B5EF4-FFF2-40B4-BE49-F238E27FC236}">
              <a16:creationId xmlns:a16="http://schemas.microsoft.com/office/drawing/2014/main" id="{00000000-0008-0000-2E00-000007000000}"/>
            </a:ext>
          </a:extLst>
        </xdr:cNvPr>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800475" y="2362200"/>
          <a:ext cx="100965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9525</xdr:colOff>
      <xdr:row>67</xdr:row>
      <xdr:rowOff>19050</xdr:rowOff>
    </xdr:from>
    <xdr:to>
      <xdr:col>8</xdr:col>
      <xdr:colOff>123825</xdr:colOff>
      <xdr:row>68</xdr:row>
      <xdr:rowOff>47625</xdr:rowOff>
    </xdr:to>
    <xdr:pic>
      <xdr:nvPicPr>
        <xdr:cNvPr id="8" name="CheckBox9">
          <a:extLst>
            <a:ext uri="{FF2B5EF4-FFF2-40B4-BE49-F238E27FC236}">
              <a16:creationId xmlns:a16="http://schemas.microsoft.com/office/drawing/2014/main" id="{00000000-0008-0000-2E00-000008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809875" y="13449300"/>
          <a:ext cx="609600" cy="3333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9</xdr:col>
      <xdr:colOff>9525</xdr:colOff>
      <xdr:row>67</xdr:row>
      <xdr:rowOff>28575</xdr:rowOff>
    </xdr:from>
    <xdr:to>
      <xdr:col>10</xdr:col>
      <xdr:colOff>123825</xdr:colOff>
      <xdr:row>68</xdr:row>
      <xdr:rowOff>47625</xdr:rowOff>
    </xdr:to>
    <xdr:pic>
      <xdr:nvPicPr>
        <xdr:cNvPr id="9" name="CheckBox10">
          <a:extLst>
            <a:ext uri="{FF2B5EF4-FFF2-40B4-BE49-F238E27FC236}">
              <a16:creationId xmlns:a16="http://schemas.microsoft.com/office/drawing/2014/main" id="{00000000-0008-0000-2E00-000009000000}"/>
            </a:ext>
          </a:extLst>
        </xdr:cNvPr>
        <xdr:cNvPicPr preferRelativeResize="0">
          <a:picLocks noChangeArrowheads="1" noChangeShapeType="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800475" y="13458825"/>
          <a:ext cx="609600" cy="3238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4</xdr:col>
      <xdr:colOff>114300</xdr:colOff>
      <xdr:row>108</xdr:row>
      <xdr:rowOff>19050</xdr:rowOff>
    </xdr:from>
    <xdr:to>
      <xdr:col>6</xdr:col>
      <xdr:colOff>38100</xdr:colOff>
      <xdr:row>109</xdr:row>
      <xdr:rowOff>47625</xdr:rowOff>
    </xdr:to>
    <xdr:pic>
      <xdr:nvPicPr>
        <xdr:cNvPr id="10" name="CheckBox11">
          <a:extLst>
            <a:ext uri="{FF2B5EF4-FFF2-40B4-BE49-F238E27FC236}">
              <a16:creationId xmlns:a16="http://schemas.microsoft.com/office/drawing/2014/main" id="{00000000-0008-0000-2E00-00000A000000}"/>
            </a:ext>
          </a:extLst>
        </xdr:cNvPr>
        <xdr:cNvPicPr preferRelativeResize="0">
          <a:picLocks noChangeArrowheads="1" noChangeShapeType="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28750" y="20793075"/>
          <a:ext cx="914400" cy="3333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5</xdr:col>
      <xdr:colOff>190500</xdr:colOff>
      <xdr:row>108</xdr:row>
      <xdr:rowOff>19050</xdr:rowOff>
    </xdr:from>
    <xdr:to>
      <xdr:col>7</xdr:col>
      <xdr:colOff>0</xdr:colOff>
      <xdr:row>109</xdr:row>
      <xdr:rowOff>47625</xdr:rowOff>
    </xdr:to>
    <xdr:pic>
      <xdr:nvPicPr>
        <xdr:cNvPr id="11" name="CheckBox12">
          <a:extLst>
            <a:ext uri="{FF2B5EF4-FFF2-40B4-BE49-F238E27FC236}">
              <a16:creationId xmlns:a16="http://schemas.microsoft.com/office/drawing/2014/main" id="{00000000-0008-0000-2E00-00000B000000}"/>
            </a:ext>
          </a:extLst>
        </xdr:cNvPr>
        <xdr:cNvPicPr preferRelativeResize="0">
          <a:picLocks noChangeArrowheads="1" noChangeShapeType="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000250" y="20793075"/>
          <a:ext cx="800100" cy="3333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6</xdr:col>
      <xdr:colOff>276225</xdr:colOff>
      <xdr:row>108</xdr:row>
      <xdr:rowOff>19050</xdr:rowOff>
    </xdr:from>
    <xdr:to>
      <xdr:col>8</xdr:col>
      <xdr:colOff>95250</xdr:colOff>
      <xdr:row>109</xdr:row>
      <xdr:rowOff>47625</xdr:rowOff>
    </xdr:to>
    <xdr:pic>
      <xdr:nvPicPr>
        <xdr:cNvPr id="12" name="CheckBox13">
          <a:extLst>
            <a:ext uri="{FF2B5EF4-FFF2-40B4-BE49-F238E27FC236}">
              <a16:creationId xmlns:a16="http://schemas.microsoft.com/office/drawing/2014/main" id="{00000000-0008-0000-2E00-00000C000000}"/>
            </a:ext>
          </a:extLst>
        </xdr:cNvPr>
        <xdr:cNvPicPr preferRelativeResize="0">
          <a:picLocks noChangeArrowheads="1" noChangeShapeType="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581275" y="20793075"/>
          <a:ext cx="809625" cy="3333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38100</xdr:colOff>
      <xdr:row>108</xdr:row>
      <xdr:rowOff>19050</xdr:rowOff>
    </xdr:from>
    <xdr:to>
      <xdr:col>9</xdr:col>
      <xdr:colOff>219075</xdr:colOff>
      <xdr:row>109</xdr:row>
      <xdr:rowOff>47625</xdr:rowOff>
    </xdr:to>
    <xdr:pic>
      <xdr:nvPicPr>
        <xdr:cNvPr id="13" name="CheckBox14">
          <a:extLst>
            <a:ext uri="{FF2B5EF4-FFF2-40B4-BE49-F238E27FC236}">
              <a16:creationId xmlns:a16="http://schemas.microsoft.com/office/drawing/2014/main" id="{00000000-0008-0000-2E00-00000D000000}"/>
            </a:ext>
          </a:extLst>
        </xdr:cNvPr>
        <xdr:cNvPicPr preferRelativeResize="0">
          <a:picLocks noChangeArrowheads="1" noChangeShapeType="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333750" y="20793075"/>
          <a:ext cx="676275" cy="3333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9</xdr:col>
      <xdr:colOff>38100</xdr:colOff>
      <xdr:row>108</xdr:row>
      <xdr:rowOff>19050</xdr:rowOff>
    </xdr:from>
    <xdr:to>
      <xdr:col>10</xdr:col>
      <xdr:colOff>323850</xdr:colOff>
      <xdr:row>109</xdr:row>
      <xdr:rowOff>47625</xdr:rowOff>
    </xdr:to>
    <xdr:pic>
      <xdr:nvPicPr>
        <xdr:cNvPr id="14" name="CheckBox15">
          <a:extLst>
            <a:ext uri="{FF2B5EF4-FFF2-40B4-BE49-F238E27FC236}">
              <a16:creationId xmlns:a16="http://schemas.microsoft.com/office/drawing/2014/main" id="{00000000-0008-0000-2E00-00000E000000}"/>
            </a:ext>
          </a:extLst>
        </xdr:cNvPr>
        <xdr:cNvPicPr preferRelativeResize="0">
          <a:picLocks noChangeArrowheads="1" noChangeShapeType="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829050" y="20793075"/>
          <a:ext cx="781050" cy="3333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9525</xdr:colOff>
      <xdr:row>69</xdr:row>
      <xdr:rowOff>19050</xdr:rowOff>
    </xdr:from>
    <xdr:to>
      <xdr:col>10</xdr:col>
      <xdr:colOff>9525</xdr:colOff>
      <xdr:row>70</xdr:row>
      <xdr:rowOff>47625</xdr:rowOff>
    </xdr:to>
    <xdr:pic>
      <xdr:nvPicPr>
        <xdr:cNvPr id="15" name="CheckBox16">
          <a:extLst>
            <a:ext uri="{FF2B5EF4-FFF2-40B4-BE49-F238E27FC236}">
              <a16:creationId xmlns:a16="http://schemas.microsoft.com/office/drawing/2014/main" id="{00000000-0008-0000-2E00-00000F000000}"/>
            </a:ext>
          </a:extLst>
        </xdr:cNvPr>
        <xdr:cNvPicPr preferRelativeResize="0">
          <a:picLocks noChangeArrowheads="1" noChangeShapeType="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809875" y="13830300"/>
          <a:ext cx="1485900" cy="3333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9</xdr:col>
      <xdr:colOff>104775</xdr:colOff>
      <xdr:row>69</xdr:row>
      <xdr:rowOff>28575</xdr:rowOff>
    </xdr:from>
    <xdr:to>
      <xdr:col>10</xdr:col>
      <xdr:colOff>219075</xdr:colOff>
      <xdr:row>70</xdr:row>
      <xdr:rowOff>47625</xdr:rowOff>
    </xdr:to>
    <xdr:pic>
      <xdr:nvPicPr>
        <xdr:cNvPr id="16" name="CheckBox17">
          <a:extLst>
            <a:ext uri="{FF2B5EF4-FFF2-40B4-BE49-F238E27FC236}">
              <a16:creationId xmlns:a16="http://schemas.microsoft.com/office/drawing/2014/main" id="{00000000-0008-0000-2E00-000010000000}"/>
            </a:ext>
          </a:extLst>
        </xdr:cNvPr>
        <xdr:cNvPicPr preferRelativeResize="0">
          <a:picLocks noChangeArrowheads="1" noChangeShapeType="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895725" y="13839825"/>
          <a:ext cx="609600" cy="3238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57150</xdr:colOff>
      <xdr:row>109</xdr:row>
      <xdr:rowOff>85725</xdr:rowOff>
    </xdr:from>
    <xdr:to>
      <xdr:col>7</xdr:col>
      <xdr:colOff>361950</xdr:colOff>
      <xdr:row>111</xdr:row>
      <xdr:rowOff>9525</xdr:rowOff>
    </xdr:to>
    <xdr:pic>
      <xdr:nvPicPr>
        <xdr:cNvPr id="17" name="CheckBox3">
          <a:extLst>
            <a:ext uri="{FF2B5EF4-FFF2-40B4-BE49-F238E27FC236}">
              <a16:creationId xmlns:a16="http://schemas.microsoft.com/office/drawing/2014/main" id="{00000000-0008-0000-2E00-000011000000}"/>
            </a:ext>
          </a:extLst>
        </xdr:cNvPr>
        <xdr:cNvPicPr preferRelativeResize="0">
          <a:picLocks noChangeArrowheads="1" noChangeShapeType="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857500" y="21164550"/>
          <a:ext cx="3048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295275</xdr:colOff>
      <xdr:row>109</xdr:row>
      <xdr:rowOff>76200</xdr:rowOff>
    </xdr:from>
    <xdr:to>
      <xdr:col>9</xdr:col>
      <xdr:colOff>342900</xdr:colOff>
      <xdr:row>111</xdr:row>
      <xdr:rowOff>19050</xdr:rowOff>
    </xdr:to>
    <xdr:pic>
      <xdr:nvPicPr>
        <xdr:cNvPr id="18" name="CheckBox4">
          <a:extLst>
            <a:ext uri="{FF2B5EF4-FFF2-40B4-BE49-F238E27FC236}">
              <a16:creationId xmlns:a16="http://schemas.microsoft.com/office/drawing/2014/main" id="{00000000-0008-0000-2E00-000012000000}"/>
            </a:ext>
          </a:extLst>
        </xdr:cNvPr>
        <xdr:cNvPicPr preferRelativeResize="0">
          <a:picLocks noChangeArrowheads="1" noChangeShapeType="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590925" y="21155025"/>
          <a:ext cx="542925" cy="3238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6</xdr:col>
      <xdr:colOff>285750</xdr:colOff>
      <xdr:row>96</xdr:row>
      <xdr:rowOff>76200</xdr:rowOff>
    </xdr:from>
    <xdr:to>
      <xdr:col>9</xdr:col>
      <xdr:colOff>0</xdr:colOff>
      <xdr:row>105</xdr:row>
      <xdr:rowOff>190500</xdr:rowOff>
    </xdr:to>
    <xdr:pic>
      <xdr:nvPicPr>
        <xdr:cNvPr id="2953156" name="Picture 12" descr="Treatment Media Specs">
          <a:extLst>
            <a:ext uri="{FF2B5EF4-FFF2-40B4-BE49-F238E27FC236}">
              <a16:creationId xmlns:a16="http://schemas.microsoft.com/office/drawing/2014/main" id="{00000000-0008-0000-2F00-0000C40F2D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14850" y="21840825"/>
          <a:ext cx="2038350" cy="1924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895350</xdr:colOff>
      <xdr:row>76</xdr:row>
      <xdr:rowOff>161925</xdr:rowOff>
    </xdr:from>
    <xdr:to>
      <xdr:col>8</xdr:col>
      <xdr:colOff>685800</xdr:colOff>
      <xdr:row>76</xdr:row>
      <xdr:rowOff>1914525</xdr:rowOff>
    </xdr:to>
    <xdr:pic>
      <xdr:nvPicPr>
        <xdr:cNvPr id="2953160" name="Picture 7" descr="10.17_RMF.tif">
          <a:extLst>
            <a:ext uri="{FF2B5EF4-FFF2-40B4-BE49-F238E27FC236}">
              <a16:creationId xmlns:a16="http://schemas.microsoft.com/office/drawing/2014/main" id="{00000000-0008-0000-2F00-0000C80F2D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85950" y="16230600"/>
          <a:ext cx="45910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800100</xdr:colOff>
      <xdr:row>4</xdr:row>
      <xdr:rowOff>101600</xdr:rowOff>
    </xdr:from>
    <xdr:to>
      <xdr:col>4</xdr:col>
      <xdr:colOff>177800</xdr:colOff>
      <xdr:row>6</xdr:row>
      <xdr:rowOff>12700</xdr:rowOff>
    </xdr:to>
    <xdr:sp macro="" textlink="">
      <xdr:nvSpPr>
        <xdr:cNvPr id="39937" name="CheckBox1" hidden="1">
          <a:extLst>
            <a:ext uri="{63B3BB69-23CF-44E3-9099-C40C66FF867C}">
              <a14:compatExt xmlns:a14="http://schemas.microsoft.com/office/drawing/2010/main" spid="_x0000_s39937"/>
            </a:ext>
            <a:ext uri="{FF2B5EF4-FFF2-40B4-BE49-F238E27FC236}">
              <a16:creationId xmlns:a16="http://schemas.microsoft.com/office/drawing/2014/main" id="{00000000-0008-0000-2F00-0000019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190500</xdr:colOff>
      <xdr:row>4</xdr:row>
      <xdr:rowOff>101600</xdr:rowOff>
    </xdr:from>
    <xdr:to>
      <xdr:col>5</xdr:col>
      <xdr:colOff>711200</xdr:colOff>
      <xdr:row>6</xdr:row>
      <xdr:rowOff>12700</xdr:rowOff>
    </xdr:to>
    <xdr:sp macro="" textlink="">
      <xdr:nvSpPr>
        <xdr:cNvPr id="39938" name="CheckBox2" hidden="1">
          <a:extLst>
            <a:ext uri="{63B3BB69-23CF-44E3-9099-C40C66FF867C}">
              <a14:compatExt xmlns:a14="http://schemas.microsoft.com/office/drawing/2010/main" spid="_x0000_s39938"/>
            </a:ext>
            <a:ext uri="{FF2B5EF4-FFF2-40B4-BE49-F238E27FC236}">
              <a16:creationId xmlns:a16="http://schemas.microsoft.com/office/drawing/2014/main" id="{00000000-0008-0000-2F00-0000029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0</xdr:colOff>
      <xdr:row>110</xdr:row>
      <xdr:rowOff>114300</xdr:rowOff>
    </xdr:from>
    <xdr:to>
      <xdr:col>2</xdr:col>
      <xdr:colOff>876300</xdr:colOff>
      <xdr:row>111</xdr:row>
      <xdr:rowOff>241300</xdr:rowOff>
    </xdr:to>
    <xdr:sp macro="" textlink="">
      <xdr:nvSpPr>
        <xdr:cNvPr id="39945" name="CheckBox3" hidden="1">
          <a:extLst>
            <a:ext uri="{63B3BB69-23CF-44E3-9099-C40C66FF867C}">
              <a14:compatExt xmlns:a14="http://schemas.microsoft.com/office/drawing/2010/main" spid="_x0000_s39945"/>
            </a:ext>
            <a:ext uri="{FF2B5EF4-FFF2-40B4-BE49-F238E27FC236}">
              <a16:creationId xmlns:a16="http://schemas.microsoft.com/office/drawing/2014/main" id="{00000000-0008-0000-2F00-0000099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50800</xdr:colOff>
      <xdr:row>111</xdr:row>
      <xdr:rowOff>0</xdr:rowOff>
    </xdr:from>
    <xdr:to>
      <xdr:col>1</xdr:col>
      <xdr:colOff>723900</xdr:colOff>
      <xdr:row>112</xdr:row>
      <xdr:rowOff>0</xdr:rowOff>
    </xdr:to>
    <xdr:sp macro="" textlink="">
      <xdr:nvSpPr>
        <xdr:cNvPr id="39946" name="CheckBox4" hidden="1">
          <a:extLst>
            <a:ext uri="{63B3BB69-23CF-44E3-9099-C40C66FF867C}">
              <a14:compatExt xmlns:a14="http://schemas.microsoft.com/office/drawing/2010/main" spid="_x0000_s39946"/>
            </a:ext>
            <a:ext uri="{FF2B5EF4-FFF2-40B4-BE49-F238E27FC236}">
              <a16:creationId xmlns:a16="http://schemas.microsoft.com/office/drawing/2014/main" id="{00000000-0008-0000-2F00-00000A9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161925</xdr:colOff>
      <xdr:row>0</xdr:row>
      <xdr:rowOff>85725</xdr:rowOff>
    </xdr:from>
    <xdr:to>
      <xdr:col>2</xdr:col>
      <xdr:colOff>552450</xdr:colOff>
      <xdr:row>0</xdr:row>
      <xdr:rowOff>634365</xdr:rowOff>
    </xdr:to>
    <xdr:pic>
      <xdr:nvPicPr>
        <xdr:cNvPr id="11" name="Picture 10">
          <a:extLst>
            <a:ext uri="{FF2B5EF4-FFF2-40B4-BE49-F238E27FC236}">
              <a16:creationId xmlns:a16="http://schemas.microsoft.com/office/drawing/2014/main" id="{00000000-0008-0000-2F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1925" y="85725"/>
          <a:ext cx="1381125" cy="548640"/>
        </a:xfrm>
        <a:prstGeom prst="rect">
          <a:avLst/>
        </a:prstGeom>
      </xdr:spPr>
    </xdr:pic>
    <xdr:clientData/>
  </xdr:twoCellAnchor>
  <xdr:twoCellAnchor editAs="oneCell">
    <xdr:from>
      <xdr:col>6</xdr:col>
      <xdr:colOff>381000</xdr:colOff>
      <xdr:row>0</xdr:row>
      <xdr:rowOff>76200</xdr:rowOff>
    </xdr:from>
    <xdr:to>
      <xdr:col>8</xdr:col>
      <xdr:colOff>605899</xdr:colOff>
      <xdr:row>0</xdr:row>
      <xdr:rowOff>624840</xdr:rowOff>
    </xdr:to>
    <xdr:pic>
      <xdr:nvPicPr>
        <xdr:cNvPr id="12" name="Picture 11">
          <a:extLst>
            <a:ext uri="{FF2B5EF4-FFF2-40B4-BE49-F238E27FC236}">
              <a16:creationId xmlns:a16="http://schemas.microsoft.com/office/drawing/2014/main" id="{00000000-0008-0000-2F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10100" y="76200"/>
          <a:ext cx="1786999" cy="548640"/>
        </a:xfrm>
        <a:prstGeom prst="rect">
          <a:avLst/>
        </a:prstGeom>
      </xdr:spPr>
    </xdr:pic>
    <xdr:clientData/>
  </xdr:twoCellAnchor>
  <xdr:twoCellAnchor editAs="oneCell">
    <xdr:from>
      <xdr:col>2</xdr:col>
      <xdr:colOff>704850</xdr:colOff>
      <xdr:row>5</xdr:row>
      <xdr:rowOff>0</xdr:rowOff>
    </xdr:from>
    <xdr:to>
      <xdr:col>4</xdr:col>
      <xdr:colOff>238125</xdr:colOff>
      <xdr:row>6</xdr:row>
      <xdr:rowOff>66675</xdr:rowOff>
    </xdr:to>
    <xdr:pic>
      <xdr:nvPicPr>
        <xdr:cNvPr id="2" name="CheckBox1">
          <a:extLst>
            <a:ext uri="{FF2B5EF4-FFF2-40B4-BE49-F238E27FC236}">
              <a16:creationId xmlns:a16="http://schemas.microsoft.com/office/drawing/2014/main" id="{00000000-0008-0000-2F00-000002000000}"/>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76400" y="1438275"/>
          <a:ext cx="1190625"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4</xdr:col>
      <xdr:colOff>342900</xdr:colOff>
      <xdr:row>5</xdr:row>
      <xdr:rowOff>0</xdr:rowOff>
    </xdr:from>
    <xdr:to>
      <xdr:col>5</xdr:col>
      <xdr:colOff>733425</xdr:colOff>
      <xdr:row>6</xdr:row>
      <xdr:rowOff>66675</xdr:rowOff>
    </xdr:to>
    <xdr:pic>
      <xdr:nvPicPr>
        <xdr:cNvPr id="3" name="CheckBox2">
          <a:extLst>
            <a:ext uri="{FF2B5EF4-FFF2-40B4-BE49-F238E27FC236}">
              <a16:creationId xmlns:a16="http://schemas.microsoft.com/office/drawing/2014/main" id="{00000000-0008-0000-2F00-000003000000}"/>
            </a:ext>
          </a:extLst>
        </xdr:cNvPr>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71800" y="1438275"/>
          <a:ext cx="1152525"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110</xdr:row>
      <xdr:rowOff>123825</xdr:rowOff>
    </xdr:from>
    <xdr:to>
      <xdr:col>2</xdr:col>
      <xdr:colOff>657225</xdr:colOff>
      <xdr:row>111</xdr:row>
      <xdr:rowOff>219075</xdr:rowOff>
    </xdr:to>
    <xdr:pic>
      <xdr:nvPicPr>
        <xdr:cNvPr id="4" name="CheckBox3">
          <a:extLst>
            <a:ext uri="{FF2B5EF4-FFF2-40B4-BE49-F238E27FC236}">
              <a16:creationId xmlns:a16="http://schemas.microsoft.com/office/drawing/2014/main" id="{00000000-0008-0000-2F00-000004000000}"/>
            </a:ext>
          </a:extLst>
        </xdr:cNvPr>
        <xdr:cNvPicPr preferRelativeResize="0">
          <a:picLocks noChangeArrowheads="1" noChangeShapeType="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71550" y="24555450"/>
          <a:ext cx="657225"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76200</xdr:colOff>
      <xdr:row>110</xdr:row>
      <xdr:rowOff>95250</xdr:rowOff>
    </xdr:from>
    <xdr:to>
      <xdr:col>1</xdr:col>
      <xdr:colOff>581025</xdr:colOff>
      <xdr:row>111</xdr:row>
      <xdr:rowOff>209550</xdr:rowOff>
    </xdr:to>
    <xdr:pic>
      <xdr:nvPicPr>
        <xdr:cNvPr id="5" name="CheckBox4">
          <a:extLst>
            <a:ext uri="{FF2B5EF4-FFF2-40B4-BE49-F238E27FC236}">
              <a16:creationId xmlns:a16="http://schemas.microsoft.com/office/drawing/2014/main" id="{00000000-0008-0000-2F00-000005000000}"/>
            </a:ext>
          </a:extLst>
        </xdr:cNvPr>
        <xdr:cNvPicPr preferRelativeResize="0">
          <a:picLocks noChangeArrowheads="1" noChangeShapeType="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85750" y="24526875"/>
          <a:ext cx="5048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38100</xdr:colOff>
          <xdr:row>127</xdr:row>
          <xdr:rowOff>171450</xdr:rowOff>
        </xdr:from>
        <xdr:to>
          <xdr:col>12</xdr:col>
          <xdr:colOff>200025</xdr:colOff>
          <xdr:row>129</xdr:row>
          <xdr:rowOff>19050</xdr:rowOff>
        </xdr:to>
        <xdr:sp macro="" textlink="">
          <xdr:nvSpPr>
            <xdr:cNvPr id="4895745" name="Check Box 1" hidden="1">
              <a:extLst>
                <a:ext uri="{63B3BB69-23CF-44E3-9099-C40C66FF867C}">
                  <a14:compatExt spid="_x0000_s4895745"/>
                </a:ext>
                <a:ext uri="{FF2B5EF4-FFF2-40B4-BE49-F238E27FC236}">
                  <a16:creationId xmlns:a16="http://schemas.microsoft.com/office/drawing/2014/main" id="{00000000-0008-0000-0600-000001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Benchmark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128</xdr:row>
          <xdr:rowOff>161925</xdr:rowOff>
        </xdr:from>
        <xdr:to>
          <xdr:col>12</xdr:col>
          <xdr:colOff>133350</xdr:colOff>
          <xdr:row>130</xdr:row>
          <xdr:rowOff>9525</xdr:rowOff>
        </xdr:to>
        <xdr:sp macro="" textlink="">
          <xdr:nvSpPr>
            <xdr:cNvPr id="4895746" name="Check Box 2" hidden="1">
              <a:extLst>
                <a:ext uri="{63B3BB69-23CF-44E3-9099-C40C66FF867C}">
                  <a14:compatExt spid="_x0000_s4895746"/>
                </a:ext>
                <a:ext uri="{FF2B5EF4-FFF2-40B4-BE49-F238E27FC236}">
                  <a16:creationId xmlns:a16="http://schemas.microsoft.com/office/drawing/2014/main" id="{00000000-0008-0000-0600-000002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Borings</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129</xdr:row>
          <xdr:rowOff>200025</xdr:rowOff>
        </xdr:from>
        <xdr:to>
          <xdr:col>12</xdr:col>
          <xdr:colOff>104775</xdr:colOff>
          <xdr:row>130</xdr:row>
          <xdr:rowOff>180975</xdr:rowOff>
        </xdr:to>
        <xdr:sp macro="" textlink="">
          <xdr:nvSpPr>
            <xdr:cNvPr id="4895747" name="Check Box 3" hidden="1">
              <a:extLst>
                <a:ext uri="{63B3BB69-23CF-44E3-9099-C40C66FF867C}">
                  <a14:compatExt spid="_x0000_s4895747"/>
                </a:ext>
                <a:ext uri="{FF2B5EF4-FFF2-40B4-BE49-F238E27FC236}">
                  <a16:creationId xmlns:a16="http://schemas.microsoft.com/office/drawing/2014/main" id="{00000000-0008-0000-0600-000003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Perc Tests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130</xdr:row>
          <xdr:rowOff>200025</xdr:rowOff>
        </xdr:from>
        <xdr:to>
          <xdr:col>15</xdr:col>
          <xdr:colOff>9525</xdr:colOff>
          <xdr:row>131</xdr:row>
          <xdr:rowOff>142875</xdr:rowOff>
        </xdr:to>
        <xdr:sp macro="" textlink="">
          <xdr:nvSpPr>
            <xdr:cNvPr id="4895748" name="Check Box 4" hidden="1">
              <a:extLst>
                <a:ext uri="{63B3BB69-23CF-44E3-9099-C40C66FF867C}">
                  <a14:compatExt spid="_x0000_s4895748"/>
                </a:ext>
                <a:ext uri="{FF2B5EF4-FFF2-40B4-BE49-F238E27FC236}">
                  <a16:creationId xmlns:a16="http://schemas.microsoft.com/office/drawing/2014/main" id="{00000000-0008-0000-0600-000004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Horizontal and Vertical Reference Points</a:t>
              </a:r>
            </a:p>
          </xdr:txBody>
        </xdr:sp>
        <xdr:clientData/>
      </xdr:twoCellAnchor>
    </mc:Choice>
    <mc:Fallback/>
  </mc:AlternateContent>
  <xdr:oneCellAnchor>
    <xdr:from>
      <xdr:col>1</xdr:col>
      <xdr:colOff>5443</xdr:colOff>
      <xdr:row>0</xdr:row>
      <xdr:rowOff>66675</xdr:rowOff>
    </xdr:from>
    <xdr:ext cx="1490870" cy="558165"/>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7586" y="66675"/>
          <a:ext cx="1490870" cy="558165"/>
        </a:xfrm>
        <a:prstGeom prst="rect">
          <a:avLst/>
        </a:prstGeom>
      </xdr:spPr>
    </xdr:pic>
    <xdr:clientData/>
  </xdr:oneCellAnchor>
  <xdr:oneCellAnchor>
    <xdr:from>
      <xdr:col>18</xdr:col>
      <xdr:colOff>28575</xdr:colOff>
      <xdr:row>0</xdr:row>
      <xdr:rowOff>66675</xdr:rowOff>
    </xdr:from>
    <xdr:ext cx="1910824" cy="558165"/>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67425" y="66675"/>
          <a:ext cx="1910824" cy="558165"/>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15</xdr:col>
          <xdr:colOff>28575</xdr:colOff>
          <xdr:row>130</xdr:row>
          <xdr:rowOff>47625</xdr:rowOff>
        </xdr:from>
        <xdr:to>
          <xdr:col>17</xdr:col>
          <xdr:colOff>209550</xdr:colOff>
          <xdr:row>131</xdr:row>
          <xdr:rowOff>28575</xdr:rowOff>
        </xdr:to>
        <xdr:sp macro="" textlink="">
          <xdr:nvSpPr>
            <xdr:cNvPr id="4895749" name="Check Box 5" hidden="1">
              <a:extLst>
                <a:ext uri="{63B3BB69-23CF-44E3-9099-C40C66FF867C}">
                  <a14:compatExt spid="_x0000_s4895749"/>
                </a:ext>
                <a:ext uri="{FF2B5EF4-FFF2-40B4-BE49-F238E27FC236}">
                  <a16:creationId xmlns:a16="http://schemas.microsoft.com/office/drawing/2014/main" id="{00000000-0008-0000-0600-000005B44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120</xdr:row>
          <xdr:rowOff>28575</xdr:rowOff>
        </xdr:from>
        <xdr:to>
          <xdr:col>19</xdr:col>
          <xdr:colOff>66675</xdr:colOff>
          <xdr:row>121</xdr:row>
          <xdr:rowOff>66675</xdr:rowOff>
        </xdr:to>
        <xdr:sp macro="" textlink="">
          <xdr:nvSpPr>
            <xdr:cNvPr id="4895750" name="Check Box 6" hidden="1">
              <a:extLst>
                <a:ext uri="{63B3BB69-23CF-44E3-9099-C40C66FF867C}">
                  <a14:compatExt spid="_x0000_s4895750"/>
                </a:ext>
                <a:ext uri="{FF2B5EF4-FFF2-40B4-BE49-F238E27FC236}">
                  <a16:creationId xmlns:a16="http://schemas.microsoft.com/office/drawing/2014/main" id="{00000000-0008-0000-0600-000006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Building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121</xdr:row>
          <xdr:rowOff>133350</xdr:rowOff>
        </xdr:from>
        <xdr:to>
          <xdr:col>22</xdr:col>
          <xdr:colOff>28575</xdr:colOff>
          <xdr:row>122</xdr:row>
          <xdr:rowOff>133350</xdr:rowOff>
        </xdr:to>
        <xdr:sp macro="" textlink="">
          <xdr:nvSpPr>
            <xdr:cNvPr id="4895751" name="Check Box 7" hidden="1">
              <a:extLst>
                <a:ext uri="{63B3BB69-23CF-44E3-9099-C40C66FF867C}">
                  <a14:compatExt spid="_x0000_s4895751"/>
                </a:ext>
                <a:ext uri="{FF2B5EF4-FFF2-40B4-BE49-F238E27FC236}">
                  <a16:creationId xmlns:a16="http://schemas.microsoft.com/office/drawing/2014/main" id="{00000000-0008-0000-0600-000007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 water wells within 200 feet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123</xdr:row>
          <xdr:rowOff>0</xdr:rowOff>
        </xdr:from>
        <xdr:to>
          <xdr:col>21</xdr:col>
          <xdr:colOff>114300</xdr:colOff>
          <xdr:row>124</xdr:row>
          <xdr:rowOff>38100</xdr:rowOff>
        </xdr:to>
        <xdr:sp macro="" textlink="">
          <xdr:nvSpPr>
            <xdr:cNvPr id="4895752" name="Check Box 8" hidden="1">
              <a:extLst>
                <a:ext uri="{63B3BB69-23CF-44E3-9099-C40C66FF867C}">
                  <a14:compatExt spid="_x0000_s4895752"/>
                </a:ext>
                <a:ext uri="{FF2B5EF4-FFF2-40B4-BE49-F238E27FC236}">
                  <a16:creationId xmlns:a16="http://schemas.microsoft.com/office/drawing/2014/main" id="{00000000-0008-0000-0600-000008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Pressure Pipe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124</xdr:row>
          <xdr:rowOff>9525</xdr:rowOff>
        </xdr:from>
        <xdr:to>
          <xdr:col>21</xdr:col>
          <xdr:colOff>104775</xdr:colOff>
          <xdr:row>125</xdr:row>
          <xdr:rowOff>85725</xdr:rowOff>
        </xdr:to>
        <xdr:sp macro="" textlink="">
          <xdr:nvSpPr>
            <xdr:cNvPr id="4895753" name="Check Box 9" hidden="1">
              <a:extLst>
                <a:ext uri="{63B3BB69-23CF-44E3-9099-C40C66FF867C}">
                  <a14:compatExt spid="_x0000_s4895753"/>
                </a:ext>
                <a:ext uri="{FF2B5EF4-FFF2-40B4-BE49-F238E27FC236}">
                  <a16:creationId xmlns:a16="http://schemas.microsoft.com/office/drawing/2014/main" id="{00000000-0008-0000-0600-000009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Water Suction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125</xdr:row>
          <xdr:rowOff>66675</xdr:rowOff>
        </xdr:from>
        <xdr:to>
          <xdr:col>20</xdr:col>
          <xdr:colOff>152400</xdr:colOff>
          <xdr:row>126</xdr:row>
          <xdr:rowOff>123825</xdr:rowOff>
        </xdr:to>
        <xdr:sp macro="" textlink="">
          <xdr:nvSpPr>
            <xdr:cNvPr id="4895754" name="Check Box 10" hidden="1">
              <a:extLst>
                <a:ext uri="{63B3BB69-23CF-44E3-9099-C40C66FF867C}">
                  <a14:compatExt spid="_x0000_s4895754"/>
                </a:ext>
                <a:ext uri="{FF2B5EF4-FFF2-40B4-BE49-F238E27FC236}">
                  <a16:creationId xmlns:a16="http://schemas.microsoft.com/office/drawing/2014/main" id="{00000000-0008-0000-0600-00000A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Streams, Lakes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126</xdr:row>
          <xdr:rowOff>123825</xdr:rowOff>
        </xdr:from>
        <xdr:to>
          <xdr:col>20</xdr:col>
          <xdr:colOff>190500</xdr:colOff>
          <xdr:row>128</xdr:row>
          <xdr:rowOff>0</xdr:rowOff>
        </xdr:to>
        <xdr:sp macro="" textlink="">
          <xdr:nvSpPr>
            <xdr:cNvPr id="4895755" name="Check Box 11" hidden="1">
              <a:extLst>
                <a:ext uri="{63B3BB69-23CF-44E3-9099-C40C66FF867C}">
                  <a14:compatExt spid="_x0000_s4895755"/>
                </a:ext>
                <a:ext uri="{FF2B5EF4-FFF2-40B4-BE49-F238E27FC236}">
                  <a16:creationId xmlns:a16="http://schemas.microsoft.com/office/drawing/2014/main" id="{00000000-0008-0000-0600-00000B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Floodway and Fringe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128</xdr:row>
          <xdr:rowOff>9525</xdr:rowOff>
        </xdr:from>
        <xdr:to>
          <xdr:col>17</xdr:col>
          <xdr:colOff>209550</xdr:colOff>
          <xdr:row>128</xdr:row>
          <xdr:rowOff>190500</xdr:rowOff>
        </xdr:to>
        <xdr:sp macro="" textlink="">
          <xdr:nvSpPr>
            <xdr:cNvPr id="4895756" name="Check Box 12" hidden="1">
              <a:extLst>
                <a:ext uri="{63B3BB69-23CF-44E3-9099-C40C66FF867C}">
                  <a14:compatExt spid="_x0000_s4895756"/>
                </a:ext>
                <a:ext uri="{FF2B5EF4-FFF2-40B4-BE49-F238E27FC236}">
                  <a16:creationId xmlns:a16="http://schemas.microsoft.com/office/drawing/2014/main" id="{00000000-0008-0000-0600-00000CB44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129</xdr:row>
          <xdr:rowOff>38100</xdr:rowOff>
        </xdr:from>
        <xdr:to>
          <xdr:col>17</xdr:col>
          <xdr:colOff>209550</xdr:colOff>
          <xdr:row>130</xdr:row>
          <xdr:rowOff>9525</xdr:rowOff>
        </xdr:to>
        <xdr:sp macro="" textlink="">
          <xdr:nvSpPr>
            <xdr:cNvPr id="4895757" name="Check Box 13" hidden="1">
              <a:extLst>
                <a:ext uri="{63B3BB69-23CF-44E3-9099-C40C66FF867C}">
                  <a14:compatExt spid="_x0000_s4895757"/>
                </a:ext>
                <a:ext uri="{FF2B5EF4-FFF2-40B4-BE49-F238E27FC236}">
                  <a16:creationId xmlns:a16="http://schemas.microsoft.com/office/drawing/2014/main" id="{00000000-0008-0000-0600-00000DB44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120</xdr:row>
          <xdr:rowOff>47625</xdr:rowOff>
        </xdr:from>
        <xdr:to>
          <xdr:col>11</xdr:col>
          <xdr:colOff>28575</xdr:colOff>
          <xdr:row>121</xdr:row>
          <xdr:rowOff>123825</xdr:rowOff>
        </xdr:to>
        <xdr:sp macro="" textlink="">
          <xdr:nvSpPr>
            <xdr:cNvPr id="4895758" name="Check Box 14" hidden="1">
              <a:extLst>
                <a:ext uri="{63B3BB69-23CF-44E3-9099-C40C66FF867C}">
                  <a14:compatExt spid="_x0000_s4895758"/>
                </a:ext>
                <a:ext uri="{FF2B5EF4-FFF2-40B4-BE49-F238E27FC236}">
                  <a16:creationId xmlns:a16="http://schemas.microsoft.com/office/drawing/2014/main" id="{00000000-0008-0000-0600-00000E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121</xdr:row>
          <xdr:rowOff>104775</xdr:rowOff>
        </xdr:from>
        <xdr:to>
          <xdr:col>12</xdr:col>
          <xdr:colOff>180975</xdr:colOff>
          <xdr:row>122</xdr:row>
          <xdr:rowOff>133350</xdr:rowOff>
        </xdr:to>
        <xdr:sp macro="" textlink="">
          <xdr:nvSpPr>
            <xdr:cNvPr id="4895759" name="Check Box 15" hidden="1">
              <a:extLst>
                <a:ext uri="{63B3BB69-23CF-44E3-9099-C40C66FF867C}">
                  <a14:compatExt spid="_x0000_s4895759"/>
                </a:ext>
                <a:ext uri="{FF2B5EF4-FFF2-40B4-BE49-F238E27FC236}">
                  <a16:creationId xmlns:a16="http://schemas.microsoft.com/office/drawing/2014/main" id="{00000000-0008-0000-0600-00000F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Electric</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122</xdr:row>
          <xdr:rowOff>161925</xdr:rowOff>
        </xdr:from>
        <xdr:to>
          <xdr:col>10</xdr:col>
          <xdr:colOff>266700</xdr:colOff>
          <xdr:row>124</xdr:row>
          <xdr:rowOff>19050</xdr:rowOff>
        </xdr:to>
        <xdr:sp macro="" textlink="">
          <xdr:nvSpPr>
            <xdr:cNvPr id="4895760" name="Check Box 16" hidden="1">
              <a:extLst>
                <a:ext uri="{63B3BB69-23CF-44E3-9099-C40C66FF867C}">
                  <a14:compatExt spid="_x0000_s4895760"/>
                </a:ext>
                <a:ext uri="{FF2B5EF4-FFF2-40B4-BE49-F238E27FC236}">
                  <a16:creationId xmlns:a16="http://schemas.microsoft.com/office/drawing/2014/main" id="{00000000-0008-0000-0600-000010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Gas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124</xdr:row>
          <xdr:rowOff>28575</xdr:rowOff>
        </xdr:from>
        <xdr:to>
          <xdr:col>10</xdr:col>
          <xdr:colOff>0</xdr:colOff>
          <xdr:row>125</xdr:row>
          <xdr:rowOff>0</xdr:rowOff>
        </xdr:to>
        <xdr:sp macro="" textlink="">
          <xdr:nvSpPr>
            <xdr:cNvPr id="4895761" name="Check Box 17" hidden="1">
              <a:extLst>
                <a:ext uri="{63B3BB69-23CF-44E3-9099-C40C66FF867C}">
                  <a14:compatExt spid="_x0000_s4895761"/>
                </a:ext>
                <a:ext uri="{FF2B5EF4-FFF2-40B4-BE49-F238E27FC236}">
                  <a16:creationId xmlns:a16="http://schemas.microsoft.com/office/drawing/2014/main" id="{00000000-0008-0000-0600-000011B44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125</xdr:row>
          <xdr:rowOff>57150</xdr:rowOff>
        </xdr:from>
        <xdr:to>
          <xdr:col>10</xdr:col>
          <xdr:colOff>0</xdr:colOff>
          <xdr:row>126</xdr:row>
          <xdr:rowOff>28575</xdr:rowOff>
        </xdr:to>
        <xdr:sp macro="" textlink="">
          <xdr:nvSpPr>
            <xdr:cNvPr id="4895762" name="Check Box 18" hidden="1">
              <a:extLst>
                <a:ext uri="{63B3BB69-23CF-44E3-9099-C40C66FF867C}">
                  <a14:compatExt spid="_x0000_s4895762"/>
                </a:ext>
                <a:ext uri="{FF2B5EF4-FFF2-40B4-BE49-F238E27FC236}">
                  <a16:creationId xmlns:a16="http://schemas.microsoft.com/office/drawing/2014/main" id="{00000000-0008-0000-0600-000012B44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120</xdr:row>
          <xdr:rowOff>0</xdr:rowOff>
        </xdr:from>
        <xdr:to>
          <xdr:col>8</xdr:col>
          <xdr:colOff>0</xdr:colOff>
          <xdr:row>121</xdr:row>
          <xdr:rowOff>28575</xdr:rowOff>
        </xdr:to>
        <xdr:sp macro="" textlink="">
          <xdr:nvSpPr>
            <xdr:cNvPr id="4895763" name="Check Box 19" hidden="1">
              <a:extLst>
                <a:ext uri="{63B3BB69-23CF-44E3-9099-C40C66FF867C}">
                  <a14:compatExt spid="_x0000_s4895763"/>
                </a:ext>
                <a:ext uri="{FF2B5EF4-FFF2-40B4-BE49-F238E27FC236}">
                  <a16:creationId xmlns:a16="http://schemas.microsoft.com/office/drawing/2014/main" id="{00000000-0008-0000-0600-000013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Lot Dimensions/Property Lines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121</xdr:row>
          <xdr:rowOff>66675</xdr:rowOff>
        </xdr:from>
        <xdr:to>
          <xdr:col>8</xdr:col>
          <xdr:colOff>0</xdr:colOff>
          <xdr:row>122</xdr:row>
          <xdr:rowOff>85725</xdr:rowOff>
        </xdr:to>
        <xdr:sp macro="" textlink="">
          <xdr:nvSpPr>
            <xdr:cNvPr id="4895764" name="Check Box 20" hidden="1">
              <a:extLst>
                <a:ext uri="{63B3BB69-23CF-44E3-9099-C40C66FF867C}">
                  <a14:compatExt spid="_x0000_s4895764"/>
                </a:ext>
                <a:ext uri="{FF2B5EF4-FFF2-40B4-BE49-F238E27FC236}">
                  <a16:creationId xmlns:a16="http://schemas.microsoft.com/office/drawing/2014/main" id="{00000000-0008-0000-0600-000014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Dwellings and Other Improvements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122</xdr:row>
          <xdr:rowOff>114300</xdr:rowOff>
        </xdr:from>
        <xdr:to>
          <xdr:col>8</xdr:col>
          <xdr:colOff>0</xdr:colOff>
          <xdr:row>123</xdr:row>
          <xdr:rowOff>142875</xdr:rowOff>
        </xdr:to>
        <xdr:sp macro="" textlink="">
          <xdr:nvSpPr>
            <xdr:cNvPr id="4895765" name="Check Box 21" hidden="1">
              <a:extLst>
                <a:ext uri="{63B3BB69-23CF-44E3-9099-C40C66FF867C}">
                  <a14:compatExt spid="_x0000_s4895765"/>
                </a:ext>
                <a:ext uri="{FF2B5EF4-FFF2-40B4-BE49-F238E27FC236}">
                  <a16:creationId xmlns:a16="http://schemas.microsoft.com/office/drawing/2014/main" id="{00000000-0008-0000-0600-000015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Existing or Proposed System(s)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123</xdr:row>
          <xdr:rowOff>180975</xdr:rowOff>
        </xdr:from>
        <xdr:to>
          <xdr:col>8</xdr:col>
          <xdr:colOff>0</xdr:colOff>
          <xdr:row>125</xdr:row>
          <xdr:rowOff>9525</xdr:rowOff>
        </xdr:to>
        <xdr:sp macro="" textlink="">
          <xdr:nvSpPr>
            <xdr:cNvPr id="4895766" name="Check Box 22" hidden="1">
              <a:extLst>
                <a:ext uri="{63B3BB69-23CF-44E3-9099-C40C66FF867C}">
                  <a14:compatExt spid="_x0000_s4895766"/>
                </a:ext>
                <a:ext uri="{FF2B5EF4-FFF2-40B4-BE49-F238E27FC236}">
                  <a16:creationId xmlns:a16="http://schemas.microsoft.com/office/drawing/2014/main" id="{00000000-0008-0000-0600-000016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Replacement Area</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125</xdr:row>
          <xdr:rowOff>38100</xdr:rowOff>
        </xdr:from>
        <xdr:to>
          <xdr:col>8</xdr:col>
          <xdr:colOff>0</xdr:colOff>
          <xdr:row>126</xdr:row>
          <xdr:rowOff>66675</xdr:rowOff>
        </xdr:to>
        <xdr:sp macro="" textlink="">
          <xdr:nvSpPr>
            <xdr:cNvPr id="4895767" name="Check Box 23" hidden="1">
              <a:extLst>
                <a:ext uri="{63B3BB69-23CF-44E3-9099-C40C66FF867C}">
                  <a14:compatExt spid="_x0000_s4895767"/>
                </a:ext>
                <a:ext uri="{FF2B5EF4-FFF2-40B4-BE49-F238E27FC236}">
                  <a16:creationId xmlns:a16="http://schemas.microsoft.com/office/drawing/2014/main" id="{00000000-0008-0000-0600-000017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Unsuitable Area(s)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126</xdr:row>
          <xdr:rowOff>104775</xdr:rowOff>
        </xdr:from>
        <xdr:to>
          <xdr:col>8</xdr:col>
          <xdr:colOff>0</xdr:colOff>
          <xdr:row>127</xdr:row>
          <xdr:rowOff>123825</xdr:rowOff>
        </xdr:to>
        <xdr:sp macro="" textlink="">
          <xdr:nvSpPr>
            <xdr:cNvPr id="4895768" name="Check Box 24" hidden="1">
              <a:extLst>
                <a:ext uri="{63B3BB69-23CF-44E3-9099-C40C66FF867C}">
                  <a14:compatExt spid="_x0000_s4895768"/>
                </a:ext>
                <a:ext uri="{FF2B5EF4-FFF2-40B4-BE49-F238E27FC236}">
                  <a16:creationId xmlns:a16="http://schemas.microsoft.com/office/drawing/2014/main" id="{00000000-0008-0000-0600-000018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Public Water Supply Wells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127</xdr:row>
          <xdr:rowOff>152400</xdr:rowOff>
        </xdr:from>
        <xdr:to>
          <xdr:col>8</xdr:col>
          <xdr:colOff>0</xdr:colOff>
          <xdr:row>128</xdr:row>
          <xdr:rowOff>180975</xdr:rowOff>
        </xdr:to>
        <xdr:sp macro="" textlink="">
          <xdr:nvSpPr>
            <xdr:cNvPr id="4895769" name="Check Box 25" hidden="1">
              <a:extLst>
                <a:ext uri="{63B3BB69-23CF-44E3-9099-C40C66FF867C}">
                  <a14:compatExt spid="_x0000_s4895769"/>
                </a:ext>
                <a:ext uri="{FF2B5EF4-FFF2-40B4-BE49-F238E27FC236}">
                  <a16:creationId xmlns:a16="http://schemas.microsoft.com/office/drawing/2014/main" id="{00000000-0008-0000-0600-000019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Pumping Access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128</xdr:row>
          <xdr:rowOff>152400</xdr:rowOff>
        </xdr:from>
        <xdr:to>
          <xdr:col>8</xdr:col>
          <xdr:colOff>0</xdr:colOff>
          <xdr:row>130</xdr:row>
          <xdr:rowOff>9525</xdr:rowOff>
        </xdr:to>
        <xdr:sp macro="" textlink="">
          <xdr:nvSpPr>
            <xdr:cNvPr id="4895770" name="Check Box 26" hidden="1">
              <a:extLst>
                <a:ext uri="{63B3BB69-23CF-44E3-9099-C40C66FF867C}">
                  <a14:compatExt spid="_x0000_s4895770"/>
                </a:ext>
                <a:ext uri="{FF2B5EF4-FFF2-40B4-BE49-F238E27FC236}">
                  <a16:creationId xmlns:a16="http://schemas.microsoft.com/office/drawing/2014/main" id="{00000000-0008-0000-0600-00001AB44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Inner Wellhead Zone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130</xdr:row>
          <xdr:rowOff>28575</xdr:rowOff>
        </xdr:from>
        <xdr:to>
          <xdr:col>2</xdr:col>
          <xdr:colOff>247650</xdr:colOff>
          <xdr:row>131</xdr:row>
          <xdr:rowOff>28575</xdr:rowOff>
        </xdr:to>
        <xdr:sp macro="" textlink="">
          <xdr:nvSpPr>
            <xdr:cNvPr id="4895771" name="Check Box 27" hidden="1">
              <a:extLst>
                <a:ext uri="{63B3BB69-23CF-44E3-9099-C40C66FF867C}">
                  <a14:compatExt spid="_x0000_s4895771"/>
                </a:ext>
                <a:ext uri="{FF2B5EF4-FFF2-40B4-BE49-F238E27FC236}">
                  <a16:creationId xmlns:a16="http://schemas.microsoft.com/office/drawing/2014/main" id="{00000000-0008-0000-0600-00001BB44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131</xdr:row>
          <xdr:rowOff>28575</xdr:rowOff>
        </xdr:from>
        <xdr:to>
          <xdr:col>2</xdr:col>
          <xdr:colOff>247650</xdr:colOff>
          <xdr:row>132</xdr:row>
          <xdr:rowOff>0</xdr:rowOff>
        </xdr:to>
        <xdr:sp macro="" textlink="">
          <xdr:nvSpPr>
            <xdr:cNvPr id="4895772" name="Check Box 28" hidden="1">
              <a:extLst>
                <a:ext uri="{63B3BB69-23CF-44E3-9099-C40C66FF867C}">
                  <a14:compatExt spid="_x0000_s4895772"/>
                </a:ext>
                <a:ext uri="{FF2B5EF4-FFF2-40B4-BE49-F238E27FC236}">
                  <a16:creationId xmlns:a16="http://schemas.microsoft.com/office/drawing/2014/main" id="{00000000-0008-0000-0600-00001CB44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43</xdr:row>
          <xdr:rowOff>152400</xdr:rowOff>
        </xdr:from>
        <xdr:to>
          <xdr:col>2</xdr:col>
          <xdr:colOff>66675</xdr:colOff>
          <xdr:row>44</xdr:row>
          <xdr:rowOff>171450</xdr:rowOff>
        </xdr:to>
        <xdr:sp macro="" textlink="">
          <xdr:nvSpPr>
            <xdr:cNvPr id="4895773" name="Check Box 29" hidden="1">
              <a:extLst>
                <a:ext uri="{63B3BB69-23CF-44E3-9099-C40C66FF867C}">
                  <a14:compatExt spid="_x0000_s4895773"/>
                </a:ext>
                <a:ext uri="{FF2B5EF4-FFF2-40B4-BE49-F238E27FC236}">
                  <a16:creationId xmlns:a16="http://schemas.microsoft.com/office/drawing/2014/main" id="{00000000-0008-0000-0600-00001DB44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52</xdr:row>
          <xdr:rowOff>171450</xdr:rowOff>
        </xdr:from>
        <xdr:to>
          <xdr:col>2</xdr:col>
          <xdr:colOff>66675</xdr:colOff>
          <xdr:row>54</xdr:row>
          <xdr:rowOff>9525</xdr:rowOff>
        </xdr:to>
        <xdr:sp macro="" textlink="">
          <xdr:nvSpPr>
            <xdr:cNvPr id="4895774" name="Check Box 30" hidden="1">
              <a:extLst>
                <a:ext uri="{63B3BB69-23CF-44E3-9099-C40C66FF867C}">
                  <a14:compatExt spid="_x0000_s4895774"/>
                </a:ext>
                <a:ext uri="{FF2B5EF4-FFF2-40B4-BE49-F238E27FC236}">
                  <a16:creationId xmlns:a16="http://schemas.microsoft.com/office/drawing/2014/main" id="{00000000-0008-0000-0600-00001EB44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58</xdr:row>
          <xdr:rowOff>171450</xdr:rowOff>
        </xdr:from>
        <xdr:to>
          <xdr:col>2</xdr:col>
          <xdr:colOff>66675</xdr:colOff>
          <xdr:row>60</xdr:row>
          <xdr:rowOff>0</xdr:rowOff>
        </xdr:to>
        <xdr:sp macro="" textlink="">
          <xdr:nvSpPr>
            <xdr:cNvPr id="4895775" name="Check Box 31" hidden="1">
              <a:extLst>
                <a:ext uri="{63B3BB69-23CF-44E3-9099-C40C66FF867C}">
                  <a14:compatExt spid="_x0000_s4895775"/>
                </a:ext>
                <a:ext uri="{FF2B5EF4-FFF2-40B4-BE49-F238E27FC236}">
                  <a16:creationId xmlns:a16="http://schemas.microsoft.com/office/drawing/2014/main" id="{00000000-0008-0000-0600-00001FB44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152400</xdr:rowOff>
        </xdr:from>
        <xdr:to>
          <xdr:col>2</xdr:col>
          <xdr:colOff>66675</xdr:colOff>
          <xdr:row>74</xdr:row>
          <xdr:rowOff>0</xdr:rowOff>
        </xdr:to>
        <xdr:sp macro="" textlink="">
          <xdr:nvSpPr>
            <xdr:cNvPr id="4895776" name="Check Box 32" hidden="1">
              <a:extLst>
                <a:ext uri="{63B3BB69-23CF-44E3-9099-C40C66FF867C}">
                  <a14:compatExt spid="_x0000_s4895776"/>
                </a:ext>
                <a:ext uri="{FF2B5EF4-FFF2-40B4-BE49-F238E27FC236}">
                  <a16:creationId xmlns:a16="http://schemas.microsoft.com/office/drawing/2014/main" id="{00000000-0008-0000-0600-000020B44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161925</xdr:colOff>
          <xdr:row>26</xdr:row>
          <xdr:rowOff>66675</xdr:rowOff>
        </xdr:from>
        <xdr:to>
          <xdr:col>13</xdr:col>
          <xdr:colOff>28575</xdr:colOff>
          <xdr:row>29</xdr:row>
          <xdr:rowOff>28575</xdr:rowOff>
        </xdr:to>
        <xdr:sp macro="" textlink="">
          <xdr:nvSpPr>
            <xdr:cNvPr id="2162836" name="Check Box 1172" hidden="1">
              <a:extLst>
                <a:ext uri="{63B3BB69-23CF-44E3-9099-C40C66FF867C}">
                  <a14:compatExt spid="_x0000_s2162836"/>
                </a:ext>
                <a:ext uri="{FF2B5EF4-FFF2-40B4-BE49-F238E27FC236}">
                  <a16:creationId xmlns:a16="http://schemas.microsoft.com/office/drawing/2014/main" id="{00000000-0008-0000-0700-000094002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Indicated north</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26</xdr:row>
          <xdr:rowOff>47625</xdr:rowOff>
        </xdr:from>
        <xdr:to>
          <xdr:col>17</xdr:col>
          <xdr:colOff>142875</xdr:colOff>
          <xdr:row>29</xdr:row>
          <xdr:rowOff>28575</xdr:rowOff>
        </xdr:to>
        <xdr:sp macro="" textlink="">
          <xdr:nvSpPr>
            <xdr:cNvPr id="2162837" name="Check Box 1173" hidden="1">
              <a:extLst>
                <a:ext uri="{63B3BB69-23CF-44E3-9099-C40C66FF867C}">
                  <a14:compatExt spid="_x0000_s2162837"/>
                </a:ext>
                <a:ext uri="{FF2B5EF4-FFF2-40B4-BE49-F238E27FC236}">
                  <a16:creationId xmlns:a16="http://schemas.microsoft.com/office/drawing/2014/main" id="{00000000-0008-0000-0700-000095002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Show slope/contours</a:t>
              </a:r>
            </a:p>
          </xdr:txBody>
        </xdr:sp>
        <xdr:clientData/>
      </xdr:twoCellAnchor>
    </mc:Choice>
    <mc:Fallback/>
  </mc:AlternateContent>
  <xdr:twoCellAnchor editAs="oneCell">
    <xdr:from>
      <xdr:col>0</xdr:col>
      <xdr:colOff>115956</xdr:colOff>
      <xdr:row>0</xdr:row>
      <xdr:rowOff>124240</xdr:rowOff>
    </xdr:from>
    <xdr:to>
      <xdr:col>5</xdr:col>
      <xdr:colOff>130451</xdr:colOff>
      <xdr:row>0</xdr:row>
      <xdr:rowOff>672880</xdr:rowOff>
    </xdr:to>
    <xdr:pic>
      <xdr:nvPicPr>
        <xdr:cNvPr id="28" name="Picture 27">
          <a:extLst>
            <a:ext uri="{FF2B5EF4-FFF2-40B4-BE49-F238E27FC236}">
              <a16:creationId xmlns:a16="http://schemas.microsoft.com/office/drawing/2014/main" id="{00000000-0008-0000-0E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956" y="124240"/>
          <a:ext cx="1381125" cy="548640"/>
        </a:xfrm>
        <a:prstGeom prst="rect">
          <a:avLst/>
        </a:prstGeom>
      </xdr:spPr>
    </xdr:pic>
    <xdr:clientData/>
  </xdr:twoCellAnchor>
  <xdr:twoCellAnchor editAs="oneCell">
    <xdr:from>
      <xdr:col>16</xdr:col>
      <xdr:colOff>207066</xdr:colOff>
      <xdr:row>0</xdr:row>
      <xdr:rowOff>24848</xdr:rowOff>
    </xdr:from>
    <xdr:to>
      <xdr:col>23</xdr:col>
      <xdr:colOff>80782</xdr:colOff>
      <xdr:row>0</xdr:row>
      <xdr:rowOff>573488</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80283" y="24848"/>
          <a:ext cx="1786999" cy="548640"/>
        </a:xfrm>
        <a:prstGeom prst="rect">
          <a:avLst/>
        </a:prstGeom>
      </xdr:spPr>
    </xdr:pic>
    <xdr:clientData/>
  </xdr:twoCellAnchor>
  <xdr:twoCellAnchor editAs="oneCell">
    <xdr:from>
      <xdr:col>0</xdr:col>
      <xdr:colOff>38100</xdr:colOff>
      <xdr:row>33</xdr:row>
      <xdr:rowOff>12700</xdr:rowOff>
    </xdr:from>
    <xdr:to>
      <xdr:col>7</xdr:col>
      <xdr:colOff>114300</xdr:colOff>
      <xdr:row>34</xdr:row>
      <xdr:rowOff>38100</xdr:rowOff>
    </xdr:to>
    <xdr:sp macro="" textlink="">
      <xdr:nvSpPr>
        <xdr:cNvPr id="2162863" name="CheckBox1" hidden="1">
          <a:extLst>
            <a:ext uri="{63B3BB69-23CF-44E3-9099-C40C66FF867C}">
              <a14:compatExt xmlns:a14="http://schemas.microsoft.com/office/drawing/2010/main" spid="_x0000_s2162863"/>
            </a:ext>
            <a:ext uri="{FF2B5EF4-FFF2-40B4-BE49-F238E27FC236}">
              <a16:creationId xmlns:a16="http://schemas.microsoft.com/office/drawing/2014/main" id="{00000000-0008-0000-0E00-0000AF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25400</xdr:colOff>
      <xdr:row>35</xdr:row>
      <xdr:rowOff>12700</xdr:rowOff>
    </xdr:from>
    <xdr:to>
      <xdr:col>16</xdr:col>
      <xdr:colOff>101600</xdr:colOff>
      <xdr:row>36</xdr:row>
      <xdr:rowOff>38100</xdr:rowOff>
    </xdr:to>
    <xdr:sp macro="" textlink="">
      <xdr:nvSpPr>
        <xdr:cNvPr id="2162864" name="CheckBox2" hidden="1">
          <a:extLst>
            <a:ext uri="{63B3BB69-23CF-44E3-9099-C40C66FF867C}">
              <a14:compatExt xmlns:a14="http://schemas.microsoft.com/office/drawing/2010/main" spid="_x0000_s2162864"/>
            </a:ext>
            <a:ext uri="{FF2B5EF4-FFF2-40B4-BE49-F238E27FC236}">
              <a16:creationId xmlns:a16="http://schemas.microsoft.com/office/drawing/2014/main" id="{00000000-0008-0000-0E00-0000B0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12700</xdr:colOff>
      <xdr:row>33</xdr:row>
      <xdr:rowOff>0</xdr:rowOff>
    </xdr:from>
    <xdr:to>
      <xdr:col>16</xdr:col>
      <xdr:colOff>88900</xdr:colOff>
      <xdr:row>34</xdr:row>
      <xdr:rowOff>25400</xdr:rowOff>
    </xdr:to>
    <xdr:sp macro="" textlink="">
      <xdr:nvSpPr>
        <xdr:cNvPr id="2162865" name="CheckBox3" hidden="1">
          <a:extLst>
            <a:ext uri="{63B3BB69-23CF-44E3-9099-C40C66FF867C}">
              <a14:compatExt xmlns:a14="http://schemas.microsoft.com/office/drawing/2010/main" spid="_x0000_s2162865"/>
            </a:ext>
            <a:ext uri="{FF2B5EF4-FFF2-40B4-BE49-F238E27FC236}">
              <a16:creationId xmlns:a16="http://schemas.microsoft.com/office/drawing/2014/main" id="{00000000-0008-0000-0E00-0000B1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38100</xdr:colOff>
      <xdr:row>34</xdr:row>
      <xdr:rowOff>12700</xdr:rowOff>
    </xdr:from>
    <xdr:to>
      <xdr:col>8</xdr:col>
      <xdr:colOff>101600</xdr:colOff>
      <xdr:row>35</xdr:row>
      <xdr:rowOff>38100</xdr:rowOff>
    </xdr:to>
    <xdr:sp macro="" textlink="">
      <xdr:nvSpPr>
        <xdr:cNvPr id="2162866" name="CheckBox4" hidden="1">
          <a:extLst>
            <a:ext uri="{63B3BB69-23CF-44E3-9099-C40C66FF867C}">
              <a14:compatExt xmlns:a14="http://schemas.microsoft.com/office/drawing/2010/main" spid="_x0000_s2162866"/>
            </a:ext>
            <a:ext uri="{FF2B5EF4-FFF2-40B4-BE49-F238E27FC236}">
              <a16:creationId xmlns:a16="http://schemas.microsoft.com/office/drawing/2014/main" id="{00000000-0008-0000-0E00-0000B2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38100</xdr:colOff>
      <xdr:row>35</xdr:row>
      <xdr:rowOff>12700</xdr:rowOff>
    </xdr:from>
    <xdr:to>
      <xdr:col>7</xdr:col>
      <xdr:colOff>114300</xdr:colOff>
      <xdr:row>36</xdr:row>
      <xdr:rowOff>38100</xdr:rowOff>
    </xdr:to>
    <xdr:sp macro="" textlink="">
      <xdr:nvSpPr>
        <xdr:cNvPr id="2162867" name="CheckBox5" hidden="1">
          <a:extLst>
            <a:ext uri="{63B3BB69-23CF-44E3-9099-C40C66FF867C}">
              <a14:compatExt xmlns:a14="http://schemas.microsoft.com/office/drawing/2010/main" spid="_x0000_s2162867"/>
            </a:ext>
            <a:ext uri="{FF2B5EF4-FFF2-40B4-BE49-F238E27FC236}">
              <a16:creationId xmlns:a16="http://schemas.microsoft.com/office/drawing/2014/main" id="{00000000-0008-0000-0E00-0000B3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38100</xdr:colOff>
      <xdr:row>36</xdr:row>
      <xdr:rowOff>12700</xdr:rowOff>
    </xdr:from>
    <xdr:to>
      <xdr:col>7</xdr:col>
      <xdr:colOff>114300</xdr:colOff>
      <xdr:row>37</xdr:row>
      <xdr:rowOff>38100</xdr:rowOff>
    </xdr:to>
    <xdr:sp macro="" textlink="">
      <xdr:nvSpPr>
        <xdr:cNvPr id="2162868" name="CheckBox6" hidden="1">
          <a:extLst>
            <a:ext uri="{63B3BB69-23CF-44E3-9099-C40C66FF867C}">
              <a14:compatExt xmlns:a14="http://schemas.microsoft.com/office/drawing/2010/main" spid="_x0000_s2162868"/>
            </a:ext>
            <a:ext uri="{FF2B5EF4-FFF2-40B4-BE49-F238E27FC236}">
              <a16:creationId xmlns:a16="http://schemas.microsoft.com/office/drawing/2014/main" id="{00000000-0008-0000-0E00-0000B4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38100</xdr:colOff>
      <xdr:row>37</xdr:row>
      <xdr:rowOff>12700</xdr:rowOff>
    </xdr:from>
    <xdr:to>
      <xdr:col>7</xdr:col>
      <xdr:colOff>114300</xdr:colOff>
      <xdr:row>38</xdr:row>
      <xdr:rowOff>38100</xdr:rowOff>
    </xdr:to>
    <xdr:sp macro="" textlink="">
      <xdr:nvSpPr>
        <xdr:cNvPr id="2162869" name="CheckBox7" hidden="1">
          <a:extLst>
            <a:ext uri="{63B3BB69-23CF-44E3-9099-C40C66FF867C}">
              <a14:compatExt xmlns:a14="http://schemas.microsoft.com/office/drawing/2010/main" spid="_x0000_s2162869"/>
            </a:ext>
            <a:ext uri="{FF2B5EF4-FFF2-40B4-BE49-F238E27FC236}">
              <a16:creationId xmlns:a16="http://schemas.microsoft.com/office/drawing/2014/main" id="{00000000-0008-0000-0E00-0000B5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38100</xdr:colOff>
      <xdr:row>38</xdr:row>
      <xdr:rowOff>12700</xdr:rowOff>
    </xdr:from>
    <xdr:to>
      <xdr:col>7</xdr:col>
      <xdr:colOff>114300</xdr:colOff>
      <xdr:row>39</xdr:row>
      <xdr:rowOff>38100</xdr:rowOff>
    </xdr:to>
    <xdr:sp macro="" textlink="">
      <xdr:nvSpPr>
        <xdr:cNvPr id="2162870" name="CheckBox8" hidden="1">
          <a:extLst>
            <a:ext uri="{63B3BB69-23CF-44E3-9099-C40C66FF867C}">
              <a14:compatExt xmlns:a14="http://schemas.microsoft.com/office/drawing/2010/main" spid="_x0000_s2162870"/>
            </a:ext>
            <a:ext uri="{FF2B5EF4-FFF2-40B4-BE49-F238E27FC236}">
              <a16:creationId xmlns:a16="http://schemas.microsoft.com/office/drawing/2014/main" id="{00000000-0008-0000-0E00-0000B6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38100</xdr:colOff>
      <xdr:row>39</xdr:row>
      <xdr:rowOff>12700</xdr:rowOff>
    </xdr:from>
    <xdr:to>
      <xdr:col>7</xdr:col>
      <xdr:colOff>114300</xdr:colOff>
      <xdr:row>40</xdr:row>
      <xdr:rowOff>38100</xdr:rowOff>
    </xdr:to>
    <xdr:sp macro="" textlink="">
      <xdr:nvSpPr>
        <xdr:cNvPr id="2162871" name="CheckBox9" hidden="1">
          <a:extLst>
            <a:ext uri="{63B3BB69-23CF-44E3-9099-C40C66FF867C}">
              <a14:compatExt xmlns:a14="http://schemas.microsoft.com/office/drawing/2010/main" spid="_x0000_s2162871"/>
            </a:ext>
            <a:ext uri="{FF2B5EF4-FFF2-40B4-BE49-F238E27FC236}">
              <a16:creationId xmlns:a16="http://schemas.microsoft.com/office/drawing/2014/main" id="{00000000-0008-0000-0E00-0000B7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38100</xdr:colOff>
      <xdr:row>40</xdr:row>
      <xdr:rowOff>12700</xdr:rowOff>
    </xdr:from>
    <xdr:to>
      <xdr:col>7</xdr:col>
      <xdr:colOff>114300</xdr:colOff>
      <xdr:row>41</xdr:row>
      <xdr:rowOff>38100</xdr:rowOff>
    </xdr:to>
    <xdr:sp macro="" textlink="">
      <xdr:nvSpPr>
        <xdr:cNvPr id="2162872" name="CheckBox10" hidden="1">
          <a:extLst>
            <a:ext uri="{63B3BB69-23CF-44E3-9099-C40C66FF867C}">
              <a14:compatExt xmlns:a14="http://schemas.microsoft.com/office/drawing/2010/main" spid="_x0000_s2162872"/>
            </a:ext>
            <a:ext uri="{FF2B5EF4-FFF2-40B4-BE49-F238E27FC236}">
              <a16:creationId xmlns:a16="http://schemas.microsoft.com/office/drawing/2014/main" id="{00000000-0008-0000-0E00-0000B8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25400</xdr:colOff>
      <xdr:row>34</xdr:row>
      <xdr:rowOff>25400</xdr:rowOff>
    </xdr:from>
    <xdr:to>
      <xdr:col>16</xdr:col>
      <xdr:colOff>101600</xdr:colOff>
      <xdr:row>35</xdr:row>
      <xdr:rowOff>63500</xdr:rowOff>
    </xdr:to>
    <xdr:sp macro="" textlink="">
      <xdr:nvSpPr>
        <xdr:cNvPr id="2162873" name="CheckBox11" hidden="1">
          <a:extLst>
            <a:ext uri="{63B3BB69-23CF-44E3-9099-C40C66FF867C}">
              <a14:compatExt xmlns:a14="http://schemas.microsoft.com/office/drawing/2010/main" spid="_x0000_s2162873"/>
            </a:ext>
            <a:ext uri="{FF2B5EF4-FFF2-40B4-BE49-F238E27FC236}">
              <a16:creationId xmlns:a16="http://schemas.microsoft.com/office/drawing/2014/main" id="{00000000-0008-0000-0E00-0000B9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38100</xdr:colOff>
      <xdr:row>38</xdr:row>
      <xdr:rowOff>12700</xdr:rowOff>
    </xdr:from>
    <xdr:to>
      <xdr:col>15</xdr:col>
      <xdr:colOff>114300</xdr:colOff>
      <xdr:row>39</xdr:row>
      <xdr:rowOff>38100</xdr:rowOff>
    </xdr:to>
    <xdr:sp macro="" textlink="">
      <xdr:nvSpPr>
        <xdr:cNvPr id="2162874" name="CheckBox12" hidden="1">
          <a:extLst>
            <a:ext uri="{63B3BB69-23CF-44E3-9099-C40C66FF867C}">
              <a14:compatExt xmlns:a14="http://schemas.microsoft.com/office/drawing/2010/main" spid="_x0000_s2162874"/>
            </a:ext>
            <a:ext uri="{FF2B5EF4-FFF2-40B4-BE49-F238E27FC236}">
              <a16:creationId xmlns:a16="http://schemas.microsoft.com/office/drawing/2014/main" id="{00000000-0008-0000-0E00-0000BA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38100</xdr:colOff>
      <xdr:row>39</xdr:row>
      <xdr:rowOff>12700</xdr:rowOff>
    </xdr:from>
    <xdr:to>
      <xdr:col>15</xdr:col>
      <xdr:colOff>114300</xdr:colOff>
      <xdr:row>40</xdr:row>
      <xdr:rowOff>38100</xdr:rowOff>
    </xdr:to>
    <xdr:sp macro="" textlink="">
      <xdr:nvSpPr>
        <xdr:cNvPr id="2162875" name="CheckBox13" hidden="1">
          <a:extLst>
            <a:ext uri="{63B3BB69-23CF-44E3-9099-C40C66FF867C}">
              <a14:compatExt xmlns:a14="http://schemas.microsoft.com/office/drawing/2010/main" spid="_x0000_s2162875"/>
            </a:ext>
            <a:ext uri="{FF2B5EF4-FFF2-40B4-BE49-F238E27FC236}">
              <a16:creationId xmlns:a16="http://schemas.microsoft.com/office/drawing/2014/main" id="{00000000-0008-0000-0E00-0000BB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38100</xdr:colOff>
      <xdr:row>40</xdr:row>
      <xdr:rowOff>12700</xdr:rowOff>
    </xdr:from>
    <xdr:to>
      <xdr:col>15</xdr:col>
      <xdr:colOff>114300</xdr:colOff>
      <xdr:row>41</xdr:row>
      <xdr:rowOff>38100</xdr:rowOff>
    </xdr:to>
    <xdr:sp macro="" textlink="">
      <xdr:nvSpPr>
        <xdr:cNvPr id="2162876" name="CheckBox14" hidden="1">
          <a:extLst>
            <a:ext uri="{63B3BB69-23CF-44E3-9099-C40C66FF867C}">
              <a14:compatExt xmlns:a14="http://schemas.microsoft.com/office/drawing/2010/main" spid="_x0000_s2162876"/>
            </a:ext>
            <a:ext uri="{FF2B5EF4-FFF2-40B4-BE49-F238E27FC236}">
              <a16:creationId xmlns:a16="http://schemas.microsoft.com/office/drawing/2014/main" id="{00000000-0008-0000-0E00-0000BC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38100</xdr:colOff>
      <xdr:row>41</xdr:row>
      <xdr:rowOff>12700</xdr:rowOff>
    </xdr:from>
    <xdr:to>
      <xdr:col>17</xdr:col>
      <xdr:colOff>127000</xdr:colOff>
      <xdr:row>42</xdr:row>
      <xdr:rowOff>38100</xdr:rowOff>
    </xdr:to>
    <xdr:sp macro="" textlink="">
      <xdr:nvSpPr>
        <xdr:cNvPr id="2162877" name="CheckBox15" hidden="1">
          <a:extLst>
            <a:ext uri="{63B3BB69-23CF-44E3-9099-C40C66FF867C}">
              <a14:compatExt xmlns:a14="http://schemas.microsoft.com/office/drawing/2010/main" spid="_x0000_s2162877"/>
            </a:ext>
            <a:ext uri="{FF2B5EF4-FFF2-40B4-BE49-F238E27FC236}">
              <a16:creationId xmlns:a16="http://schemas.microsoft.com/office/drawing/2014/main" id="{00000000-0008-0000-0E00-0000BD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38100</xdr:colOff>
      <xdr:row>41</xdr:row>
      <xdr:rowOff>12700</xdr:rowOff>
    </xdr:from>
    <xdr:to>
      <xdr:col>7</xdr:col>
      <xdr:colOff>114300</xdr:colOff>
      <xdr:row>42</xdr:row>
      <xdr:rowOff>38100</xdr:rowOff>
    </xdr:to>
    <xdr:sp macro="" textlink="">
      <xdr:nvSpPr>
        <xdr:cNvPr id="2162878" name="CheckBox16" hidden="1">
          <a:extLst>
            <a:ext uri="{63B3BB69-23CF-44E3-9099-C40C66FF867C}">
              <a14:compatExt xmlns:a14="http://schemas.microsoft.com/office/drawing/2010/main" spid="_x0000_s2162878"/>
            </a:ext>
            <a:ext uri="{FF2B5EF4-FFF2-40B4-BE49-F238E27FC236}">
              <a16:creationId xmlns:a16="http://schemas.microsoft.com/office/drawing/2014/main" id="{00000000-0008-0000-0E00-0000BE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38100</xdr:colOff>
      <xdr:row>42</xdr:row>
      <xdr:rowOff>12700</xdr:rowOff>
    </xdr:from>
    <xdr:to>
      <xdr:col>7</xdr:col>
      <xdr:colOff>114300</xdr:colOff>
      <xdr:row>43</xdr:row>
      <xdr:rowOff>76200</xdr:rowOff>
    </xdr:to>
    <xdr:sp macro="" textlink="">
      <xdr:nvSpPr>
        <xdr:cNvPr id="2162879" name="CheckBox17" hidden="1">
          <a:extLst>
            <a:ext uri="{63B3BB69-23CF-44E3-9099-C40C66FF867C}">
              <a14:compatExt xmlns:a14="http://schemas.microsoft.com/office/drawing/2010/main" spid="_x0000_s2162879"/>
            </a:ext>
            <a:ext uri="{FF2B5EF4-FFF2-40B4-BE49-F238E27FC236}">
              <a16:creationId xmlns:a16="http://schemas.microsoft.com/office/drawing/2014/main" id="{00000000-0008-0000-0E00-0000BF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17</xdr:col>
      <xdr:colOff>38100</xdr:colOff>
      <xdr:row>33</xdr:row>
      <xdr:rowOff>12700</xdr:rowOff>
    </xdr:from>
    <xdr:to>
      <xdr:col>23</xdr:col>
      <xdr:colOff>139700</xdr:colOff>
      <xdr:row>34</xdr:row>
      <xdr:rowOff>38100</xdr:rowOff>
    </xdr:to>
    <xdr:sp macro="" textlink="">
      <xdr:nvSpPr>
        <xdr:cNvPr id="2162880" name="CheckBox18" hidden="1">
          <a:extLst>
            <a:ext uri="{63B3BB69-23CF-44E3-9099-C40C66FF867C}">
              <a14:compatExt xmlns:a14="http://schemas.microsoft.com/office/drawing/2010/main" spid="_x0000_s2162880"/>
            </a:ext>
            <a:ext uri="{FF2B5EF4-FFF2-40B4-BE49-F238E27FC236}">
              <a16:creationId xmlns:a16="http://schemas.microsoft.com/office/drawing/2014/main" id="{00000000-0008-0000-0E00-0000C0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17</xdr:col>
      <xdr:colOff>38100</xdr:colOff>
      <xdr:row>34</xdr:row>
      <xdr:rowOff>12700</xdr:rowOff>
    </xdr:from>
    <xdr:to>
      <xdr:col>23</xdr:col>
      <xdr:colOff>203200</xdr:colOff>
      <xdr:row>35</xdr:row>
      <xdr:rowOff>38100</xdr:rowOff>
    </xdr:to>
    <xdr:sp macro="" textlink="">
      <xdr:nvSpPr>
        <xdr:cNvPr id="2162881" name="CheckBox19" hidden="1">
          <a:extLst>
            <a:ext uri="{63B3BB69-23CF-44E3-9099-C40C66FF867C}">
              <a14:compatExt xmlns:a14="http://schemas.microsoft.com/office/drawing/2010/main" spid="_x0000_s2162881"/>
            </a:ext>
            <a:ext uri="{FF2B5EF4-FFF2-40B4-BE49-F238E27FC236}">
              <a16:creationId xmlns:a16="http://schemas.microsoft.com/office/drawing/2014/main" id="{00000000-0008-0000-0E00-0000C1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17</xdr:col>
      <xdr:colOff>38100</xdr:colOff>
      <xdr:row>35</xdr:row>
      <xdr:rowOff>12700</xdr:rowOff>
    </xdr:from>
    <xdr:to>
      <xdr:col>23</xdr:col>
      <xdr:colOff>101600</xdr:colOff>
      <xdr:row>36</xdr:row>
      <xdr:rowOff>38100</xdr:rowOff>
    </xdr:to>
    <xdr:sp macro="" textlink="">
      <xdr:nvSpPr>
        <xdr:cNvPr id="2162882" name="CheckBox20" hidden="1">
          <a:extLst>
            <a:ext uri="{63B3BB69-23CF-44E3-9099-C40C66FF867C}">
              <a14:compatExt xmlns:a14="http://schemas.microsoft.com/office/drawing/2010/main" spid="_x0000_s2162882"/>
            </a:ext>
            <a:ext uri="{FF2B5EF4-FFF2-40B4-BE49-F238E27FC236}">
              <a16:creationId xmlns:a16="http://schemas.microsoft.com/office/drawing/2014/main" id="{00000000-0008-0000-0E00-0000C2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17</xdr:col>
      <xdr:colOff>38100</xdr:colOff>
      <xdr:row>36</xdr:row>
      <xdr:rowOff>12700</xdr:rowOff>
    </xdr:from>
    <xdr:to>
      <xdr:col>22</xdr:col>
      <xdr:colOff>139700</xdr:colOff>
      <xdr:row>37</xdr:row>
      <xdr:rowOff>38100</xdr:rowOff>
    </xdr:to>
    <xdr:sp macro="" textlink="">
      <xdr:nvSpPr>
        <xdr:cNvPr id="2162883" name="CheckBox21" hidden="1">
          <a:extLst>
            <a:ext uri="{63B3BB69-23CF-44E3-9099-C40C66FF867C}">
              <a14:compatExt xmlns:a14="http://schemas.microsoft.com/office/drawing/2010/main" spid="_x0000_s2162883"/>
            </a:ext>
            <a:ext uri="{FF2B5EF4-FFF2-40B4-BE49-F238E27FC236}">
              <a16:creationId xmlns:a16="http://schemas.microsoft.com/office/drawing/2014/main" id="{00000000-0008-0000-0E00-0000C3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17</xdr:col>
      <xdr:colOff>38100</xdr:colOff>
      <xdr:row>37</xdr:row>
      <xdr:rowOff>12700</xdr:rowOff>
    </xdr:from>
    <xdr:to>
      <xdr:col>23</xdr:col>
      <xdr:colOff>38100</xdr:colOff>
      <xdr:row>38</xdr:row>
      <xdr:rowOff>38100</xdr:rowOff>
    </xdr:to>
    <xdr:sp macro="" textlink="">
      <xdr:nvSpPr>
        <xdr:cNvPr id="2162884" name="CheckBox22" hidden="1">
          <a:extLst>
            <a:ext uri="{63B3BB69-23CF-44E3-9099-C40C66FF867C}">
              <a14:compatExt xmlns:a14="http://schemas.microsoft.com/office/drawing/2010/main" spid="_x0000_s2162884"/>
            </a:ext>
            <a:ext uri="{FF2B5EF4-FFF2-40B4-BE49-F238E27FC236}">
              <a16:creationId xmlns:a16="http://schemas.microsoft.com/office/drawing/2014/main" id="{00000000-0008-0000-0E00-0000C4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17</xdr:col>
      <xdr:colOff>38100</xdr:colOff>
      <xdr:row>38</xdr:row>
      <xdr:rowOff>12700</xdr:rowOff>
    </xdr:from>
    <xdr:to>
      <xdr:col>23</xdr:col>
      <xdr:colOff>50800</xdr:colOff>
      <xdr:row>39</xdr:row>
      <xdr:rowOff>38100</xdr:rowOff>
    </xdr:to>
    <xdr:sp macro="" textlink="">
      <xdr:nvSpPr>
        <xdr:cNvPr id="2162885" name="CheckBox23" hidden="1">
          <a:extLst>
            <a:ext uri="{63B3BB69-23CF-44E3-9099-C40C66FF867C}">
              <a14:compatExt xmlns:a14="http://schemas.microsoft.com/office/drawing/2010/main" spid="_x0000_s2162885"/>
            </a:ext>
            <a:ext uri="{FF2B5EF4-FFF2-40B4-BE49-F238E27FC236}">
              <a16:creationId xmlns:a16="http://schemas.microsoft.com/office/drawing/2014/main" id="{00000000-0008-0000-0E00-0000C5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17</xdr:col>
      <xdr:colOff>38100</xdr:colOff>
      <xdr:row>39</xdr:row>
      <xdr:rowOff>12700</xdr:rowOff>
    </xdr:from>
    <xdr:to>
      <xdr:col>24</xdr:col>
      <xdr:colOff>63500</xdr:colOff>
      <xdr:row>40</xdr:row>
      <xdr:rowOff>38100</xdr:rowOff>
    </xdr:to>
    <xdr:sp macro="" textlink="">
      <xdr:nvSpPr>
        <xdr:cNvPr id="2162886" name="CheckBox24" hidden="1">
          <a:extLst>
            <a:ext uri="{63B3BB69-23CF-44E3-9099-C40C66FF867C}">
              <a14:compatExt xmlns:a14="http://schemas.microsoft.com/office/drawing/2010/main" spid="_x0000_s2162886"/>
            </a:ext>
            <a:ext uri="{FF2B5EF4-FFF2-40B4-BE49-F238E27FC236}">
              <a16:creationId xmlns:a16="http://schemas.microsoft.com/office/drawing/2014/main" id="{00000000-0008-0000-0E00-0000C6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17</xdr:col>
      <xdr:colOff>38100</xdr:colOff>
      <xdr:row>40</xdr:row>
      <xdr:rowOff>12700</xdr:rowOff>
    </xdr:from>
    <xdr:to>
      <xdr:col>24</xdr:col>
      <xdr:colOff>63500</xdr:colOff>
      <xdr:row>41</xdr:row>
      <xdr:rowOff>38100</xdr:rowOff>
    </xdr:to>
    <xdr:sp macro="" textlink="">
      <xdr:nvSpPr>
        <xdr:cNvPr id="2162887" name="CheckBox25" hidden="1">
          <a:extLst>
            <a:ext uri="{63B3BB69-23CF-44E3-9099-C40C66FF867C}">
              <a14:compatExt xmlns:a14="http://schemas.microsoft.com/office/drawing/2010/main" spid="_x0000_s2162887"/>
            </a:ext>
            <a:ext uri="{FF2B5EF4-FFF2-40B4-BE49-F238E27FC236}">
              <a16:creationId xmlns:a16="http://schemas.microsoft.com/office/drawing/2014/main" id="{00000000-0008-0000-0E00-0000C7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38100</xdr:colOff>
      <xdr:row>36</xdr:row>
      <xdr:rowOff>12700</xdr:rowOff>
    </xdr:from>
    <xdr:to>
      <xdr:col>16</xdr:col>
      <xdr:colOff>114300</xdr:colOff>
      <xdr:row>37</xdr:row>
      <xdr:rowOff>38100</xdr:rowOff>
    </xdr:to>
    <xdr:sp macro="" textlink="">
      <xdr:nvSpPr>
        <xdr:cNvPr id="2162888" name="CheckBox26" hidden="1">
          <a:extLst>
            <a:ext uri="{63B3BB69-23CF-44E3-9099-C40C66FF867C}">
              <a14:compatExt xmlns:a14="http://schemas.microsoft.com/office/drawing/2010/main" spid="_x0000_s2162888"/>
            </a:ext>
            <a:ext uri="{FF2B5EF4-FFF2-40B4-BE49-F238E27FC236}">
              <a16:creationId xmlns:a16="http://schemas.microsoft.com/office/drawing/2014/main" id="{00000000-0008-0000-0E00-0000C8002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28575</xdr:colOff>
      <xdr:row>33</xdr:row>
      <xdr:rowOff>9525</xdr:rowOff>
    </xdr:from>
    <xdr:to>
      <xdr:col>7</xdr:col>
      <xdr:colOff>85725</xdr:colOff>
      <xdr:row>34</xdr:row>
      <xdr:rowOff>28575</xdr:rowOff>
    </xdr:to>
    <xdr:pic>
      <xdr:nvPicPr>
        <xdr:cNvPr id="3" name="CheckBox1">
          <a:extLst>
            <a:ext uri="{FF2B5EF4-FFF2-40B4-BE49-F238E27FC236}">
              <a16:creationId xmlns:a16="http://schemas.microsoft.com/office/drawing/2014/main" id="{00000000-0008-0000-0E00-00000300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 y="97440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9</xdr:col>
      <xdr:colOff>19050</xdr:colOff>
      <xdr:row>35</xdr:row>
      <xdr:rowOff>9525</xdr:rowOff>
    </xdr:from>
    <xdr:to>
      <xdr:col>16</xdr:col>
      <xdr:colOff>76200</xdr:colOff>
      <xdr:row>36</xdr:row>
      <xdr:rowOff>28575</xdr:rowOff>
    </xdr:to>
    <xdr:pic>
      <xdr:nvPicPr>
        <xdr:cNvPr id="4" name="CheckBox2">
          <a:extLst>
            <a:ext uri="{FF2B5EF4-FFF2-40B4-BE49-F238E27FC236}">
              <a16:creationId xmlns:a16="http://schemas.microsoft.com/office/drawing/2014/main" id="{00000000-0008-0000-0E00-000004000000}"/>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05075" y="102012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9</xdr:col>
      <xdr:colOff>9525</xdr:colOff>
      <xdr:row>33</xdr:row>
      <xdr:rowOff>0</xdr:rowOff>
    </xdr:from>
    <xdr:to>
      <xdr:col>16</xdr:col>
      <xdr:colOff>66675</xdr:colOff>
      <xdr:row>34</xdr:row>
      <xdr:rowOff>19050</xdr:rowOff>
    </xdr:to>
    <xdr:pic>
      <xdr:nvPicPr>
        <xdr:cNvPr id="5" name="CheckBox3">
          <a:extLst>
            <a:ext uri="{FF2B5EF4-FFF2-40B4-BE49-F238E27FC236}">
              <a16:creationId xmlns:a16="http://schemas.microsoft.com/office/drawing/2014/main" id="{00000000-0008-0000-0E00-000005000000}"/>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495550" y="9734550"/>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28575</xdr:colOff>
      <xdr:row>34</xdr:row>
      <xdr:rowOff>9525</xdr:rowOff>
    </xdr:from>
    <xdr:to>
      <xdr:col>8</xdr:col>
      <xdr:colOff>76200</xdr:colOff>
      <xdr:row>35</xdr:row>
      <xdr:rowOff>28575</xdr:rowOff>
    </xdr:to>
    <xdr:pic>
      <xdr:nvPicPr>
        <xdr:cNvPr id="6" name="CheckBox4">
          <a:extLst>
            <a:ext uri="{FF2B5EF4-FFF2-40B4-BE49-F238E27FC236}">
              <a16:creationId xmlns:a16="http://schemas.microsoft.com/office/drawing/2014/main" id="{00000000-0008-0000-0E00-000006000000}"/>
            </a:ext>
          </a:extLst>
        </xdr:cNvPr>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575" y="9972675"/>
          <a:ext cx="22574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28575</xdr:colOff>
      <xdr:row>35</xdr:row>
      <xdr:rowOff>9525</xdr:rowOff>
    </xdr:from>
    <xdr:to>
      <xdr:col>7</xdr:col>
      <xdr:colOff>85725</xdr:colOff>
      <xdr:row>36</xdr:row>
      <xdr:rowOff>28575</xdr:rowOff>
    </xdr:to>
    <xdr:pic>
      <xdr:nvPicPr>
        <xdr:cNvPr id="7" name="CheckBox5">
          <a:extLst>
            <a:ext uri="{FF2B5EF4-FFF2-40B4-BE49-F238E27FC236}">
              <a16:creationId xmlns:a16="http://schemas.microsoft.com/office/drawing/2014/main" id="{00000000-0008-0000-0E00-000007000000}"/>
            </a:ext>
          </a:extLst>
        </xdr:cNvPr>
        <xdr:cNvPicPr preferRelativeResize="0">
          <a:picLocks noChangeArrowheads="1" noChangeShapeType="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575" y="102012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28575</xdr:colOff>
      <xdr:row>36</xdr:row>
      <xdr:rowOff>9525</xdr:rowOff>
    </xdr:from>
    <xdr:to>
      <xdr:col>7</xdr:col>
      <xdr:colOff>85725</xdr:colOff>
      <xdr:row>37</xdr:row>
      <xdr:rowOff>28575</xdr:rowOff>
    </xdr:to>
    <xdr:pic>
      <xdr:nvPicPr>
        <xdr:cNvPr id="8" name="CheckBox6">
          <a:extLst>
            <a:ext uri="{FF2B5EF4-FFF2-40B4-BE49-F238E27FC236}">
              <a16:creationId xmlns:a16="http://schemas.microsoft.com/office/drawing/2014/main" id="{00000000-0008-0000-0E00-000008000000}"/>
            </a:ext>
          </a:extLst>
        </xdr:cNvPr>
        <xdr:cNvPicPr preferRelativeResize="0">
          <a:picLocks noChangeArrowheads="1" noChangeShapeType="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8575" y="104298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28575</xdr:colOff>
      <xdr:row>37</xdr:row>
      <xdr:rowOff>9525</xdr:rowOff>
    </xdr:from>
    <xdr:to>
      <xdr:col>7</xdr:col>
      <xdr:colOff>85725</xdr:colOff>
      <xdr:row>38</xdr:row>
      <xdr:rowOff>28575</xdr:rowOff>
    </xdr:to>
    <xdr:pic>
      <xdr:nvPicPr>
        <xdr:cNvPr id="9" name="CheckBox7">
          <a:extLst>
            <a:ext uri="{FF2B5EF4-FFF2-40B4-BE49-F238E27FC236}">
              <a16:creationId xmlns:a16="http://schemas.microsoft.com/office/drawing/2014/main" id="{00000000-0008-0000-0E00-000009000000}"/>
            </a:ext>
          </a:extLst>
        </xdr:cNvPr>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8575" y="106584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28575</xdr:colOff>
      <xdr:row>38</xdr:row>
      <xdr:rowOff>9525</xdr:rowOff>
    </xdr:from>
    <xdr:to>
      <xdr:col>7</xdr:col>
      <xdr:colOff>85725</xdr:colOff>
      <xdr:row>39</xdr:row>
      <xdr:rowOff>28575</xdr:rowOff>
    </xdr:to>
    <xdr:pic>
      <xdr:nvPicPr>
        <xdr:cNvPr id="10" name="CheckBox8">
          <a:extLst>
            <a:ext uri="{FF2B5EF4-FFF2-40B4-BE49-F238E27FC236}">
              <a16:creationId xmlns:a16="http://schemas.microsoft.com/office/drawing/2014/main" id="{00000000-0008-0000-0E00-00000A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8575" y="108870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28575</xdr:colOff>
      <xdr:row>39</xdr:row>
      <xdr:rowOff>9525</xdr:rowOff>
    </xdr:from>
    <xdr:to>
      <xdr:col>7</xdr:col>
      <xdr:colOff>85725</xdr:colOff>
      <xdr:row>40</xdr:row>
      <xdr:rowOff>28575</xdr:rowOff>
    </xdr:to>
    <xdr:pic>
      <xdr:nvPicPr>
        <xdr:cNvPr id="11" name="CheckBox9">
          <a:extLst>
            <a:ext uri="{FF2B5EF4-FFF2-40B4-BE49-F238E27FC236}">
              <a16:creationId xmlns:a16="http://schemas.microsoft.com/office/drawing/2014/main" id="{00000000-0008-0000-0E00-00000B000000}"/>
            </a:ext>
          </a:extLst>
        </xdr:cNvPr>
        <xdr:cNvPicPr preferRelativeResize="0">
          <a:picLocks noChangeArrowheads="1" noChangeShapeType="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8575" y="111156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28575</xdr:colOff>
      <xdr:row>40</xdr:row>
      <xdr:rowOff>9525</xdr:rowOff>
    </xdr:from>
    <xdr:to>
      <xdr:col>7</xdr:col>
      <xdr:colOff>85725</xdr:colOff>
      <xdr:row>41</xdr:row>
      <xdr:rowOff>28575</xdr:rowOff>
    </xdr:to>
    <xdr:pic>
      <xdr:nvPicPr>
        <xdr:cNvPr id="12" name="CheckBox10">
          <a:extLst>
            <a:ext uri="{FF2B5EF4-FFF2-40B4-BE49-F238E27FC236}">
              <a16:creationId xmlns:a16="http://schemas.microsoft.com/office/drawing/2014/main" id="{00000000-0008-0000-0E00-00000C000000}"/>
            </a:ext>
          </a:extLst>
        </xdr:cNvPr>
        <xdr:cNvPicPr preferRelativeResize="0">
          <a:picLocks noChangeArrowheads="1" noChangeShapeType="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8575" y="113442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9</xdr:col>
      <xdr:colOff>19050</xdr:colOff>
      <xdr:row>34</xdr:row>
      <xdr:rowOff>19050</xdr:rowOff>
    </xdr:from>
    <xdr:to>
      <xdr:col>16</xdr:col>
      <xdr:colOff>76200</xdr:colOff>
      <xdr:row>35</xdr:row>
      <xdr:rowOff>47625</xdr:rowOff>
    </xdr:to>
    <xdr:pic>
      <xdr:nvPicPr>
        <xdr:cNvPr id="13" name="CheckBox11">
          <a:extLst>
            <a:ext uri="{FF2B5EF4-FFF2-40B4-BE49-F238E27FC236}">
              <a16:creationId xmlns:a16="http://schemas.microsoft.com/office/drawing/2014/main" id="{00000000-0008-0000-0E00-00000D000000}"/>
            </a:ext>
          </a:extLst>
        </xdr:cNvPr>
        <xdr:cNvPicPr preferRelativeResize="0">
          <a:picLocks noChangeArrowheads="1" noChangeShapeType="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505075" y="9982200"/>
          <a:ext cx="1990725" cy="2571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28575</xdr:colOff>
      <xdr:row>38</xdr:row>
      <xdr:rowOff>9525</xdr:rowOff>
    </xdr:from>
    <xdr:to>
      <xdr:col>15</xdr:col>
      <xdr:colOff>85725</xdr:colOff>
      <xdr:row>39</xdr:row>
      <xdr:rowOff>28575</xdr:rowOff>
    </xdr:to>
    <xdr:pic>
      <xdr:nvPicPr>
        <xdr:cNvPr id="14" name="CheckBox12">
          <a:extLst>
            <a:ext uri="{FF2B5EF4-FFF2-40B4-BE49-F238E27FC236}">
              <a16:creationId xmlns:a16="http://schemas.microsoft.com/office/drawing/2014/main" id="{00000000-0008-0000-0E00-00000E000000}"/>
            </a:ext>
          </a:extLst>
        </xdr:cNvPr>
        <xdr:cNvPicPr preferRelativeResize="0">
          <a:picLocks noChangeArrowheads="1" noChangeShapeType="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238375" y="108870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28575</xdr:colOff>
      <xdr:row>39</xdr:row>
      <xdr:rowOff>9525</xdr:rowOff>
    </xdr:from>
    <xdr:to>
      <xdr:col>15</xdr:col>
      <xdr:colOff>85725</xdr:colOff>
      <xdr:row>40</xdr:row>
      <xdr:rowOff>28575</xdr:rowOff>
    </xdr:to>
    <xdr:pic>
      <xdr:nvPicPr>
        <xdr:cNvPr id="15" name="CheckBox13">
          <a:extLst>
            <a:ext uri="{FF2B5EF4-FFF2-40B4-BE49-F238E27FC236}">
              <a16:creationId xmlns:a16="http://schemas.microsoft.com/office/drawing/2014/main" id="{00000000-0008-0000-0E00-00000F000000}"/>
            </a:ext>
          </a:extLst>
        </xdr:cNvPr>
        <xdr:cNvPicPr preferRelativeResize="0">
          <a:picLocks noChangeArrowheads="1" noChangeShapeType="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238375" y="111156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28575</xdr:colOff>
      <xdr:row>40</xdr:row>
      <xdr:rowOff>9525</xdr:rowOff>
    </xdr:from>
    <xdr:to>
      <xdr:col>15</xdr:col>
      <xdr:colOff>85725</xdr:colOff>
      <xdr:row>41</xdr:row>
      <xdr:rowOff>28575</xdr:rowOff>
    </xdr:to>
    <xdr:pic>
      <xdr:nvPicPr>
        <xdr:cNvPr id="16" name="CheckBox14">
          <a:extLst>
            <a:ext uri="{FF2B5EF4-FFF2-40B4-BE49-F238E27FC236}">
              <a16:creationId xmlns:a16="http://schemas.microsoft.com/office/drawing/2014/main" id="{00000000-0008-0000-0E00-000010000000}"/>
            </a:ext>
          </a:extLst>
        </xdr:cNvPr>
        <xdr:cNvPicPr preferRelativeResize="0">
          <a:picLocks noChangeArrowheads="1" noChangeShapeType="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238375" y="113442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28575</xdr:colOff>
      <xdr:row>41</xdr:row>
      <xdr:rowOff>9525</xdr:rowOff>
    </xdr:from>
    <xdr:to>
      <xdr:col>17</xdr:col>
      <xdr:colOff>95250</xdr:colOff>
      <xdr:row>42</xdr:row>
      <xdr:rowOff>28575</xdr:rowOff>
    </xdr:to>
    <xdr:pic>
      <xdr:nvPicPr>
        <xdr:cNvPr id="17" name="CheckBox15">
          <a:extLst>
            <a:ext uri="{FF2B5EF4-FFF2-40B4-BE49-F238E27FC236}">
              <a16:creationId xmlns:a16="http://schemas.microsoft.com/office/drawing/2014/main" id="{00000000-0008-0000-0E00-000011000000}"/>
            </a:ext>
          </a:extLst>
        </xdr:cNvPr>
        <xdr:cNvPicPr preferRelativeResize="0">
          <a:picLocks noChangeArrowheads="1" noChangeShapeType="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238375" y="11572875"/>
          <a:ext cx="25527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28575</xdr:colOff>
      <xdr:row>41</xdr:row>
      <xdr:rowOff>9525</xdr:rowOff>
    </xdr:from>
    <xdr:to>
      <xdr:col>7</xdr:col>
      <xdr:colOff>85725</xdr:colOff>
      <xdr:row>42</xdr:row>
      <xdr:rowOff>28575</xdr:rowOff>
    </xdr:to>
    <xdr:pic>
      <xdr:nvPicPr>
        <xdr:cNvPr id="18" name="CheckBox16">
          <a:extLst>
            <a:ext uri="{FF2B5EF4-FFF2-40B4-BE49-F238E27FC236}">
              <a16:creationId xmlns:a16="http://schemas.microsoft.com/office/drawing/2014/main" id="{00000000-0008-0000-0E00-000012000000}"/>
            </a:ext>
          </a:extLst>
        </xdr:cNvPr>
        <xdr:cNvPicPr preferRelativeResize="0">
          <a:picLocks noChangeArrowheads="1" noChangeShapeType="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8575" y="115728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0</xdr:col>
      <xdr:colOff>28575</xdr:colOff>
      <xdr:row>42</xdr:row>
      <xdr:rowOff>9525</xdr:rowOff>
    </xdr:from>
    <xdr:to>
      <xdr:col>7</xdr:col>
      <xdr:colOff>85725</xdr:colOff>
      <xdr:row>43</xdr:row>
      <xdr:rowOff>57150</xdr:rowOff>
    </xdr:to>
    <xdr:pic>
      <xdr:nvPicPr>
        <xdr:cNvPr id="19" name="CheckBox17">
          <a:extLst>
            <a:ext uri="{FF2B5EF4-FFF2-40B4-BE49-F238E27FC236}">
              <a16:creationId xmlns:a16="http://schemas.microsoft.com/office/drawing/2014/main" id="{00000000-0008-0000-0E00-000013000000}"/>
            </a:ext>
          </a:extLst>
        </xdr:cNvPr>
        <xdr:cNvPicPr preferRelativeResize="0">
          <a:picLocks noChangeArrowheads="1" noChangeShapeType="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8575" y="11801475"/>
          <a:ext cx="1990725" cy="2381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17</xdr:col>
      <xdr:colOff>28575</xdr:colOff>
      <xdr:row>33</xdr:row>
      <xdr:rowOff>9525</xdr:rowOff>
    </xdr:from>
    <xdr:to>
      <xdr:col>23</xdr:col>
      <xdr:colOff>104775</xdr:colOff>
      <xdr:row>34</xdr:row>
      <xdr:rowOff>28575</xdr:rowOff>
    </xdr:to>
    <xdr:pic>
      <xdr:nvPicPr>
        <xdr:cNvPr id="20" name="CheckBox18">
          <a:extLst>
            <a:ext uri="{FF2B5EF4-FFF2-40B4-BE49-F238E27FC236}">
              <a16:creationId xmlns:a16="http://schemas.microsoft.com/office/drawing/2014/main" id="{00000000-0008-0000-0E00-000014000000}"/>
            </a:ext>
          </a:extLst>
        </xdr:cNvPr>
        <xdr:cNvPicPr preferRelativeResize="0">
          <a:picLocks noChangeArrowheads="1" noChangeShapeType="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724400" y="9744075"/>
          <a:ext cx="173355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17</xdr:col>
      <xdr:colOff>28575</xdr:colOff>
      <xdr:row>34</xdr:row>
      <xdr:rowOff>9525</xdr:rowOff>
    </xdr:from>
    <xdr:to>
      <xdr:col>23</xdr:col>
      <xdr:colOff>152400</xdr:colOff>
      <xdr:row>35</xdr:row>
      <xdr:rowOff>28575</xdr:rowOff>
    </xdr:to>
    <xdr:pic>
      <xdr:nvPicPr>
        <xdr:cNvPr id="21" name="CheckBox19">
          <a:extLst>
            <a:ext uri="{FF2B5EF4-FFF2-40B4-BE49-F238E27FC236}">
              <a16:creationId xmlns:a16="http://schemas.microsoft.com/office/drawing/2014/main" id="{00000000-0008-0000-0E00-000015000000}"/>
            </a:ext>
          </a:extLst>
        </xdr:cNvPr>
        <xdr:cNvPicPr preferRelativeResize="0">
          <a:picLocks noChangeArrowheads="1" noChangeShapeType="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4724400" y="9972675"/>
          <a:ext cx="178117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17</xdr:col>
      <xdr:colOff>28575</xdr:colOff>
      <xdr:row>35</xdr:row>
      <xdr:rowOff>9525</xdr:rowOff>
    </xdr:from>
    <xdr:to>
      <xdr:col>23</xdr:col>
      <xdr:colOff>76200</xdr:colOff>
      <xdr:row>36</xdr:row>
      <xdr:rowOff>28575</xdr:rowOff>
    </xdr:to>
    <xdr:pic>
      <xdr:nvPicPr>
        <xdr:cNvPr id="22" name="CheckBox20">
          <a:extLst>
            <a:ext uri="{FF2B5EF4-FFF2-40B4-BE49-F238E27FC236}">
              <a16:creationId xmlns:a16="http://schemas.microsoft.com/office/drawing/2014/main" id="{00000000-0008-0000-0E00-000016000000}"/>
            </a:ext>
          </a:extLst>
        </xdr:cNvPr>
        <xdr:cNvPicPr preferRelativeResize="0">
          <a:picLocks noChangeArrowheads="1" noChangeShapeType="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4724400" y="10201275"/>
          <a:ext cx="170497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17</xdr:col>
      <xdr:colOff>28575</xdr:colOff>
      <xdr:row>36</xdr:row>
      <xdr:rowOff>9525</xdr:rowOff>
    </xdr:from>
    <xdr:to>
      <xdr:col>22</xdr:col>
      <xdr:colOff>104775</xdr:colOff>
      <xdr:row>37</xdr:row>
      <xdr:rowOff>28575</xdr:rowOff>
    </xdr:to>
    <xdr:pic>
      <xdr:nvPicPr>
        <xdr:cNvPr id="23" name="CheckBox21">
          <a:extLst>
            <a:ext uri="{FF2B5EF4-FFF2-40B4-BE49-F238E27FC236}">
              <a16:creationId xmlns:a16="http://schemas.microsoft.com/office/drawing/2014/main" id="{00000000-0008-0000-0E00-000017000000}"/>
            </a:ext>
          </a:extLst>
        </xdr:cNvPr>
        <xdr:cNvPicPr preferRelativeResize="0">
          <a:picLocks noChangeArrowheads="1" noChangeShapeType="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4724400" y="10429875"/>
          <a:ext cx="14573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17</xdr:col>
      <xdr:colOff>28575</xdr:colOff>
      <xdr:row>37</xdr:row>
      <xdr:rowOff>9525</xdr:rowOff>
    </xdr:from>
    <xdr:to>
      <xdr:col>23</xdr:col>
      <xdr:colOff>28575</xdr:colOff>
      <xdr:row>38</xdr:row>
      <xdr:rowOff>28575</xdr:rowOff>
    </xdr:to>
    <xdr:pic>
      <xdr:nvPicPr>
        <xdr:cNvPr id="24" name="CheckBox22">
          <a:extLst>
            <a:ext uri="{FF2B5EF4-FFF2-40B4-BE49-F238E27FC236}">
              <a16:creationId xmlns:a16="http://schemas.microsoft.com/office/drawing/2014/main" id="{00000000-0008-0000-0E00-000018000000}"/>
            </a:ext>
          </a:extLst>
        </xdr:cNvPr>
        <xdr:cNvPicPr preferRelativeResize="0">
          <a:picLocks noChangeArrowheads="1" noChangeShapeType="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4724400" y="10658475"/>
          <a:ext cx="165735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17</xdr:col>
      <xdr:colOff>28575</xdr:colOff>
      <xdr:row>38</xdr:row>
      <xdr:rowOff>9525</xdr:rowOff>
    </xdr:from>
    <xdr:to>
      <xdr:col>23</xdr:col>
      <xdr:colOff>38100</xdr:colOff>
      <xdr:row>39</xdr:row>
      <xdr:rowOff>28575</xdr:rowOff>
    </xdr:to>
    <xdr:pic>
      <xdr:nvPicPr>
        <xdr:cNvPr id="25" name="CheckBox23">
          <a:extLst>
            <a:ext uri="{FF2B5EF4-FFF2-40B4-BE49-F238E27FC236}">
              <a16:creationId xmlns:a16="http://schemas.microsoft.com/office/drawing/2014/main" id="{00000000-0008-0000-0E00-000019000000}"/>
            </a:ext>
          </a:extLst>
        </xdr:cNvPr>
        <xdr:cNvPicPr preferRelativeResize="0">
          <a:picLocks noChangeArrowheads="1" noChangeShapeType="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4724400" y="10887075"/>
          <a:ext cx="166687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17</xdr:col>
      <xdr:colOff>28575</xdr:colOff>
      <xdr:row>39</xdr:row>
      <xdr:rowOff>9525</xdr:rowOff>
    </xdr:from>
    <xdr:to>
      <xdr:col>24</xdr:col>
      <xdr:colOff>47625</xdr:colOff>
      <xdr:row>40</xdr:row>
      <xdr:rowOff>28575</xdr:rowOff>
    </xdr:to>
    <xdr:pic>
      <xdr:nvPicPr>
        <xdr:cNvPr id="26" name="CheckBox24">
          <a:extLst>
            <a:ext uri="{FF2B5EF4-FFF2-40B4-BE49-F238E27FC236}">
              <a16:creationId xmlns:a16="http://schemas.microsoft.com/office/drawing/2014/main" id="{00000000-0008-0000-0E00-00001A000000}"/>
            </a:ext>
          </a:extLst>
        </xdr:cNvPr>
        <xdr:cNvPicPr preferRelativeResize="0">
          <a:picLocks noChangeArrowheads="1" noChangeShapeType="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724400" y="11115675"/>
          <a:ext cx="19526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17</xdr:col>
      <xdr:colOff>28575</xdr:colOff>
      <xdr:row>40</xdr:row>
      <xdr:rowOff>9525</xdr:rowOff>
    </xdr:from>
    <xdr:to>
      <xdr:col>24</xdr:col>
      <xdr:colOff>47625</xdr:colOff>
      <xdr:row>41</xdr:row>
      <xdr:rowOff>28575</xdr:rowOff>
    </xdr:to>
    <xdr:pic>
      <xdr:nvPicPr>
        <xdr:cNvPr id="27" name="CheckBox25">
          <a:extLst>
            <a:ext uri="{FF2B5EF4-FFF2-40B4-BE49-F238E27FC236}">
              <a16:creationId xmlns:a16="http://schemas.microsoft.com/office/drawing/2014/main" id="{00000000-0008-0000-0E00-00001B000000}"/>
            </a:ext>
          </a:extLst>
        </xdr:cNvPr>
        <xdr:cNvPicPr preferRelativeResize="0">
          <a:picLocks noChangeArrowheads="1" noChangeShapeType="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4724400" y="11344275"/>
          <a:ext cx="19526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9</xdr:col>
      <xdr:colOff>28575</xdr:colOff>
      <xdr:row>36</xdr:row>
      <xdr:rowOff>9525</xdr:rowOff>
    </xdr:from>
    <xdr:to>
      <xdr:col>16</xdr:col>
      <xdr:colOff>85725</xdr:colOff>
      <xdr:row>37</xdr:row>
      <xdr:rowOff>28575</xdr:rowOff>
    </xdr:to>
    <xdr:pic>
      <xdr:nvPicPr>
        <xdr:cNvPr id="29" name="CheckBox26">
          <a:extLst>
            <a:ext uri="{FF2B5EF4-FFF2-40B4-BE49-F238E27FC236}">
              <a16:creationId xmlns:a16="http://schemas.microsoft.com/office/drawing/2014/main" id="{00000000-0008-0000-0E00-00001D000000}"/>
            </a:ext>
          </a:extLst>
        </xdr:cNvPr>
        <xdr:cNvPicPr preferRelativeResize="0">
          <a:picLocks noChangeArrowheads="1" noChangeShapeType="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2514600" y="10429875"/>
          <a:ext cx="199072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2</xdr:row>
          <xdr:rowOff>28575</xdr:rowOff>
        </xdr:from>
        <xdr:to>
          <xdr:col>6</xdr:col>
          <xdr:colOff>114300</xdr:colOff>
          <xdr:row>2</xdr:row>
          <xdr:rowOff>238125</xdr:rowOff>
        </xdr:to>
        <xdr:sp macro="" textlink="">
          <xdr:nvSpPr>
            <xdr:cNvPr id="5550081" name="Check Box 1" hidden="1">
              <a:extLst>
                <a:ext uri="{63B3BB69-23CF-44E3-9099-C40C66FF867C}">
                  <a14:compatExt spid="_x0000_s5550081"/>
                </a:ext>
                <a:ext uri="{FF2B5EF4-FFF2-40B4-BE49-F238E27FC236}">
                  <a16:creationId xmlns:a16="http://schemas.microsoft.com/office/drawing/2014/main" id="{00000000-0008-0000-0800-000001B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2</xdr:row>
          <xdr:rowOff>28575</xdr:rowOff>
        </xdr:from>
        <xdr:to>
          <xdr:col>7</xdr:col>
          <xdr:colOff>257175</xdr:colOff>
          <xdr:row>2</xdr:row>
          <xdr:rowOff>238125</xdr:rowOff>
        </xdr:to>
        <xdr:sp macro="" textlink="">
          <xdr:nvSpPr>
            <xdr:cNvPr id="5550082" name="Check Box 2" hidden="1">
              <a:extLst>
                <a:ext uri="{63B3BB69-23CF-44E3-9099-C40C66FF867C}">
                  <a14:compatExt spid="_x0000_s5550082"/>
                </a:ext>
                <a:ext uri="{FF2B5EF4-FFF2-40B4-BE49-F238E27FC236}">
                  <a16:creationId xmlns:a16="http://schemas.microsoft.com/office/drawing/2014/main" id="{00000000-0008-0000-0800-000002B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2</xdr:row>
          <xdr:rowOff>28575</xdr:rowOff>
        </xdr:from>
        <xdr:to>
          <xdr:col>7</xdr:col>
          <xdr:colOff>952500</xdr:colOff>
          <xdr:row>2</xdr:row>
          <xdr:rowOff>238125</xdr:rowOff>
        </xdr:to>
        <xdr:sp macro="" textlink="">
          <xdr:nvSpPr>
            <xdr:cNvPr id="5550083" name="Check Box 3" hidden="1">
              <a:extLst>
                <a:ext uri="{63B3BB69-23CF-44E3-9099-C40C66FF867C}">
                  <a14:compatExt spid="_x0000_s5550083"/>
                </a:ext>
                <a:ext uri="{FF2B5EF4-FFF2-40B4-BE49-F238E27FC236}">
                  <a16:creationId xmlns:a16="http://schemas.microsoft.com/office/drawing/2014/main" id="{00000000-0008-0000-0800-000003B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428625</xdr:colOff>
          <xdr:row>2</xdr:row>
          <xdr:rowOff>28575</xdr:rowOff>
        </xdr:from>
        <xdr:to>
          <xdr:col>8</xdr:col>
          <xdr:colOff>485775</xdr:colOff>
          <xdr:row>2</xdr:row>
          <xdr:rowOff>238125</xdr:rowOff>
        </xdr:to>
        <xdr:sp macro="" textlink="">
          <xdr:nvSpPr>
            <xdr:cNvPr id="5550084" name="Check Box 4" hidden="1">
              <a:extLst>
                <a:ext uri="{63B3BB69-23CF-44E3-9099-C40C66FF867C}">
                  <a14:compatExt spid="_x0000_s5550084"/>
                </a:ext>
                <a:ext uri="{FF2B5EF4-FFF2-40B4-BE49-F238E27FC236}">
                  <a16:creationId xmlns:a16="http://schemas.microsoft.com/office/drawing/2014/main" id="{00000000-0008-0000-0800-000004B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819150</xdr:colOff>
          <xdr:row>2</xdr:row>
          <xdr:rowOff>28575</xdr:rowOff>
        </xdr:from>
        <xdr:to>
          <xdr:col>9</xdr:col>
          <xdr:colOff>114300</xdr:colOff>
          <xdr:row>2</xdr:row>
          <xdr:rowOff>238125</xdr:rowOff>
        </xdr:to>
        <xdr:sp macro="" textlink="">
          <xdr:nvSpPr>
            <xdr:cNvPr id="5550085" name="Check Box 5" hidden="1">
              <a:extLst>
                <a:ext uri="{63B3BB69-23CF-44E3-9099-C40C66FF867C}">
                  <a14:compatExt spid="_x0000_s5550085"/>
                </a:ext>
                <a:ext uri="{FF2B5EF4-FFF2-40B4-BE49-F238E27FC236}">
                  <a16:creationId xmlns:a16="http://schemas.microsoft.com/office/drawing/2014/main" id="{00000000-0008-0000-0800-000005B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485775</xdr:colOff>
          <xdr:row>2</xdr:row>
          <xdr:rowOff>28575</xdr:rowOff>
        </xdr:from>
        <xdr:to>
          <xdr:col>9</xdr:col>
          <xdr:colOff>733425</xdr:colOff>
          <xdr:row>2</xdr:row>
          <xdr:rowOff>238125</xdr:rowOff>
        </xdr:to>
        <xdr:sp macro="" textlink="">
          <xdr:nvSpPr>
            <xdr:cNvPr id="5550086" name="Check Box 6" hidden="1">
              <a:extLst>
                <a:ext uri="{63B3BB69-23CF-44E3-9099-C40C66FF867C}">
                  <a14:compatExt spid="_x0000_s5550086"/>
                </a:ext>
                <a:ext uri="{FF2B5EF4-FFF2-40B4-BE49-F238E27FC236}">
                  <a16:creationId xmlns:a16="http://schemas.microsoft.com/office/drawing/2014/main" id="{00000000-0008-0000-0800-000006B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352425</xdr:colOff>
          <xdr:row>2</xdr:row>
          <xdr:rowOff>28575</xdr:rowOff>
        </xdr:from>
        <xdr:to>
          <xdr:col>10</xdr:col>
          <xdr:colOff>600075</xdr:colOff>
          <xdr:row>2</xdr:row>
          <xdr:rowOff>238125</xdr:rowOff>
        </xdr:to>
        <xdr:sp macro="" textlink="">
          <xdr:nvSpPr>
            <xdr:cNvPr id="5550087" name="Check Box 7" hidden="1">
              <a:extLst>
                <a:ext uri="{63B3BB69-23CF-44E3-9099-C40C66FF867C}">
                  <a14:compatExt spid="_x0000_s5550087"/>
                </a:ext>
                <a:ext uri="{FF2B5EF4-FFF2-40B4-BE49-F238E27FC236}">
                  <a16:creationId xmlns:a16="http://schemas.microsoft.com/office/drawing/2014/main" id="{00000000-0008-0000-0800-000007B0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xdr:twoCellAnchor editAs="oneCell">
    <xdr:from>
      <xdr:col>0</xdr:col>
      <xdr:colOff>38100</xdr:colOff>
      <xdr:row>0</xdr:row>
      <xdr:rowOff>9525</xdr:rowOff>
    </xdr:from>
    <xdr:to>
      <xdr:col>1</xdr:col>
      <xdr:colOff>722688</xdr:colOff>
      <xdr:row>0</xdr:row>
      <xdr:rowOff>558165</xdr:rowOff>
    </xdr:to>
    <xdr:pic>
      <xdr:nvPicPr>
        <xdr:cNvPr id="2" name="Picture 1">
          <a:extLst>
            <a:ext uri="{FF2B5EF4-FFF2-40B4-BE49-F238E27FC236}">
              <a16:creationId xmlns:a16="http://schemas.microsoft.com/office/drawing/2014/main" id="{EE53683F-A5F5-49BD-8182-123AF24182C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9525"/>
          <a:ext cx="1414838" cy="548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523875</xdr:colOff>
          <xdr:row>2</xdr:row>
          <xdr:rowOff>28575</xdr:rowOff>
        </xdr:from>
        <xdr:to>
          <xdr:col>11</xdr:col>
          <xdr:colOff>400050</xdr:colOff>
          <xdr:row>2</xdr:row>
          <xdr:rowOff>238125</xdr:rowOff>
        </xdr:to>
        <xdr:sp macro="" textlink="">
          <xdr:nvSpPr>
            <xdr:cNvPr id="5550088" name="Check Box 8" hidden="1">
              <a:extLst>
                <a:ext uri="{63B3BB69-23CF-44E3-9099-C40C66FF867C}">
                  <a14:compatExt spid="_x0000_s5550088"/>
                </a:ext>
                <a:ext uri="{FF2B5EF4-FFF2-40B4-BE49-F238E27FC236}">
                  <a16:creationId xmlns:a16="http://schemas.microsoft.com/office/drawing/2014/main" id="{00000000-0008-0000-0800-000008B05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Disturbed/Fill</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2</xdr:row>
          <xdr:rowOff>28575</xdr:rowOff>
        </xdr:from>
        <xdr:to>
          <xdr:col>6</xdr:col>
          <xdr:colOff>114300</xdr:colOff>
          <xdr:row>2</xdr:row>
          <xdr:rowOff>238125</xdr:rowOff>
        </xdr:to>
        <xdr:sp macro="" textlink="">
          <xdr:nvSpPr>
            <xdr:cNvPr id="5551105" name="Check Box 1" hidden="1">
              <a:extLst>
                <a:ext uri="{63B3BB69-23CF-44E3-9099-C40C66FF867C}">
                  <a14:compatExt spid="_x0000_s5551105"/>
                </a:ext>
                <a:ext uri="{FF2B5EF4-FFF2-40B4-BE49-F238E27FC236}">
                  <a16:creationId xmlns:a16="http://schemas.microsoft.com/office/drawing/2014/main" id="{00000000-0008-0000-0900-000001B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2</xdr:row>
          <xdr:rowOff>28575</xdr:rowOff>
        </xdr:from>
        <xdr:to>
          <xdr:col>7</xdr:col>
          <xdr:colOff>257175</xdr:colOff>
          <xdr:row>2</xdr:row>
          <xdr:rowOff>238125</xdr:rowOff>
        </xdr:to>
        <xdr:sp macro="" textlink="">
          <xdr:nvSpPr>
            <xdr:cNvPr id="5551106" name="Check Box 2" hidden="1">
              <a:extLst>
                <a:ext uri="{63B3BB69-23CF-44E3-9099-C40C66FF867C}">
                  <a14:compatExt spid="_x0000_s5551106"/>
                </a:ext>
                <a:ext uri="{FF2B5EF4-FFF2-40B4-BE49-F238E27FC236}">
                  <a16:creationId xmlns:a16="http://schemas.microsoft.com/office/drawing/2014/main" id="{00000000-0008-0000-0900-000002B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2</xdr:row>
          <xdr:rowOff>28575</xdr:rowOff>
        </xdr:from>
        <xdr:to>
          <xdr:col>7</xdr:col>
          <xdr:colOff>952500</xdr:colOff>
          <xdr:row>2</xdr:row>
          <xdr:rowOff>238125</xdr:rowOff>
        </xdr:to>
        <xdr:sp macro="" textlink="">
          <xdr:nvSpPr>
            <xdr:cNvPr id="5551107" name="Check Box 3" hidden="1">
              <a:extLst>
                <a:ext uri="{63B3BB69-23CF-44E3-9099-C40C66FF867C}">
                  <a14:compatExt spid="_x0000_s5551107"/>
                </a:ext>
                <a:ext uri="{FF2B5EF4-FFF2-40B4-BE49-F238E27FC236}">
                  <a16:creationId xmlns:a16="http://schemas.microsoft.com/office/drawing/2014/main" id="{00000000-0008-0000-0900-000003B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428625</xdr:colOff>
          <xdr:row>2</xdr:row>
          <xdr:rowOff>28575</xdr:rowOff>
        </xdr:from>
        <xdr:to>
          <xdr:col>8</xdr:col>
          <xdr:colOff>485775</xdr:colOff>
          <xdr:row>2</xdr:row>
          <xdr:rowOff>238125</xdr:rowOff>
        </xdr:to>
        <xdr:sp macro="" textlink="">
          <xdr:nvSpPr>
            <xdr:cNvPr id="5551108" name="Check Box 4" hidden="1">
              <a:extLst>
                <a:ext uri="{63B3BB69-23CF-44E3-9099-C40C66FF867C}">
                  <a14:compatExt spid="_x0000_s5551108"/>
                </a:ext>
                <a:ext uri="{FF2B5EF4-FFF2-40B4-BE49-F238E27FC236}">
                  <a16:creationId xmlns:a16="http://schemas.microsoft.com/office/drawing/2014/main" id="{00000000-0008-0000-0900-000004B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819150</xdr:colOff>
          <xdr:row>2</xdr:row>
          <xdr:rowOff>28575</xdr:rowOff>
        </xdr:from>
        <xdr:to>
          <xdr:col>9</xdr:col>
          <xdr:colOff>114300</xdr:colOff>
          <xdr:row>2</xdr:row>
          <xdr:rowOff>238125</xdr:rowOff>
        </xdr:to>
        <xdr:sp macro="" textlink="">
          <xdr:nvSpPr>
            <xdr:cNvPr id="5551109" name="Check Box 5" hidden="1">
              <a:extLst>
                <a:ext uri="{63B3BB69-23CF-44E3-9099-C40C66FF867C}">
                  <a14:compatExt spid="_x0000_s5551109"/>
                </a:ext>
                <a:ext uri="{FF2B5EF4-FFF2-40B4-BE49-F238E27FC236}">
                  <a16:creationId xmlns:a16="http://schemas.microsoft.com/office/drawing/2014/main" id="{00000000-0008-0000-0900-000005B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485775</xdr:colOff>
          <xdr:row>2</xdr:row>
          <xdr:rowOff>28575</xdr:rowOff>
        </xdr:from>
        <xdr:to>
          <xdr:col>9</xdr:col>
          <xdr:colOff>733425</xdr:colOff>
          <xdr:row>2</xdr:row>
          <xdr:rowOff>238125</xdr:rowOff>
        </xdr:to>
        <xdr:sp macro="" textlink="">
          <xdr:nvSpPr>
            <xdr:cNvPr id="5551110" name="Check Box 6" hidden="1">
              <a:extLst>
                <a:ext uri="{63B3BB69-23CF-44E3-9099-C40C66FF867C}">
                  <a14:compatExt spid="_x0000_s5551110"/>
                </a:ext>
                <a:ext uri="{FF2B5EF4-FFF2-40B4-BE49-F238E27FC236}">
                  <a16:creationId xmlns:a16="http://schemas.microsoft.com/office/drawing/2014/main" id="{00000000-0008-0000-0900-000006B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352425</xdr:colOff>
          <xdr:row>2</xdr:row>
          <xdr:rowOff>28575</xdr:rowOff>
        </xdr:from>
        <xdr:to>
          <xdr:col>10</xdr:col>
          <xdr:colOff>600075</xdr:colOff>
          <xdr:row>2</xdr:row>
          <xdr:rowOff>238125</xdr:rowOff>
        </xdr:to>
        <xdr:sp macro="" textlink="">
          <xdr:nvSpPr>
            <xdr:cNvPr id="5551111" name="Check Box 7" hidden="1">
              <a:extLst>
                <a:ext uri="{63B3BB69-23CF-44E3-9099-C40C66FF867C}">
                  <a14:compatExt spid="_x0000_s5551111"/>
                </a:ext>
                <a:ext uri="{FF2B5EF4-FFF2-40B4-BE49-F238E27FC236}">
                  <a16:creationId xmlns:a16="http://schemas.microsoft.com/office/drawing/2014/main" id="{00000000-0008-0000-0900-000007B4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xdr:twoCellAnchor editAs="oneCell">
    <xdr:from>
      <xdr:col>0</xdr:col>
      <xdr:colOff>38100</xdr:colOff>
      <xdr:row>0</xdr:row>
      <xdr:rowOff>9525</xdr:rowOff>
    </xdr:from>
    <xdr:to>
      <xdr:col>1</xdr:col>
      <xdr:colOff>722688</xdr:colOff>
      <xdr:row>0</xdr:row>
      <xdr:rowOff>558165</xdr:rowOff>
    </xdr:to>
    <xdr:pic>
      <xdr:nvPicPr>
        <xdr:cNvPr id="2" name="Picture 1">
          <a:extLst>
            <a:ext uri="{FF2B5EF4-FFF2-40B4-BE49-F238E27FC236}">
              <a16:creationId xmlns:a16="http://schemas.microsoft.com/office/drawing/2014/main" id="{007AA2BA-5C91-4530-82E3-5E56992F5D2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9525"/>
          <a:ext cx="1414838" cy="548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523875</xdr:colOff>
          <xdr:row>2</xdr:row>
          <xdr:rowOff>28575</xdr:rowOff>
        </xdr:from>
        <xdr:to>
          <xdr:col>11</xdr:col>
          <xdr:colOff>400050</xdr:colOff>
          <xdr:row>2</xdr:row>
          <xdr:rowOff>238125</xdr:rowOff>
        </xdr:to>
        <xdr:sp macro="" textlink="">
          <xdr:nvSpPr>
            <xdr:cNvPr id="5551112" name="Check Box 8" hidden="1">
              <a:extLst>
                <a:ext uri="{63B3BB69-23CF-44E3-9099-C40C66FF867C}">
                  <a14:compatExt spid="_x0000_s5551112"/>
                </a:ext>
                <a:ext uri="{FF2B5EF4-FFF2-40B4-BE49-F238E27FC236}">
                  <a16:creationId xmlns:a16="http://schemas.microsoft.com/office/drawing/2014/main" id="{00000000-0008-0000-0900-000008B45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Disturbed/Fill</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2</xdr:row>
          <xdr:rowOff>28575</xdr:rowOff>
        </xdr:from>
        <xdr:to>
          <xdr:col>6</xdr:col>
          <xdr:colOff>114300</xdr:colOff>
          <xdr:row>2</xdr:row>
          <xdr:rowOff>238125</xdr:rowOff>
        </xdr:to>
        <xdr:sp macro="" textlink="">
          <xdr:nvSpPr>
            <xdr:cNvPr id="5552129" name="Check Box 1" hidden="1">
              <a:extLst>
                <a:ext uri="{63B3BB69-23CF-44E3-9099-C40C66FF867C}">
                  <a14:compatExt spid="_x0000_s5552129"/>
                </a:ext>
                <a:ext uri="{FF2B5EF4-FFF2-40B4-BE49-F238E27FC236}">
                  <a16:creationId xmlns:a16="http://schemas.microsoft.com/office/drawing/2014/main" id="{00000000-0008-0000-0A00-000001B8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2</xdr:row>
          <xdr:rowOff>28575</xdr:rowOff>
        </xdr:from>
        <xdr:to>
          <xdr:col>7</xdr:col>
          <xdr:colOff>257175</xdr:colOff>
          <xdr:row>2</xdr:row>
          <xdr:rowOff>238125</xdr:rowOff>
        </xdr:to>
        <xdr:sp macro="" textlink="">
          <xdr:nvSpPr>
            <xdr:cNvPr id="5552130" name="Check Box 2" hidden="1">
              <a:extLst>
                <a:ext uri="{63B3BB69-23CF-44E3-9099-C40C66FF867C}">
                  <a14:compatExt spid="_x0000_s5552130"/>
                </a:ext>
                <a:ext uri="{FF2B5EF4-FFF2-40B4-BE49-F238E27FC236}">
                  <a16:creationId xmlns:a16="http://schemas.microsoft.com/office/drawing/2014/main" id="{00000000-0008-0000-0A00-000002B8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2</xdr:row>
          <xdr:rowOff>28575</xdr:rowOff>
        </xdr:from>
        <xdr:to>
          <xdr:col>7</xdr:col>
          <xdr:colOff>952500</xdr:colOff>
          <xdr:row>2</xdr:row>
          <xdr:rowOff>238125</xdr:rowOff>
        </xdr:to>
        <xdr:sp macro="" textlink="">
          <xdr:nvSpPr>
            <xdr:cNvPr id="5552131" name="Check Box 3" hidden="1">
              <a:extLst>
                <a:ext uri="{63B3BB69-23CF-44E3-9099-C40C66FF867C}">
                  <a14:compatExt spid="_x0000_s5552131"/>
                </a:ext>
                <a:ext uri="{FF2B5EF4-FFF2-40B4-BE49-F238E27FC236}">
                  <a16:creationId xmlns:a16="http://schemas.microsoft.com/office/drawing/2014/main" id="{00000000-0008-0000-0A00-000003B8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428625</xdr:colOff>
          <xdr:row>2</xdr:row>
          <xdr:rowOff>28575</xdr:rowOff>
        </xdr:from>
        <xdr:to>
          <xdr:col>8</xdr:col>
          <xdr:colOff>485775</xdr:colOff>
          <xdr:row>2</xdr:row>
          <xdr:rowOff>238125</xdr:rowOff>
        </xdr:to>
        <xdr:sp macro="" textlink="">
          <xdr:nvSpPr>
            <xdr:cNvPr id="5552132" name="Check Box 4" hidden="1">
              <a:extLst>
                <a:ext uri="{63B3BB69-23CF-44E3-9099-C40C66FF867C}">
                  <a14:compatExt spid="_x0000_s5552132"/>
                </a:ext>
                <a:ext uri="{FF2B5EF4-FFF2-40B4-BE49-F238E27FC236}">
                  <a16:creationId xmlns:a16="http://schemas.microsoft.com/office/drawing/2014/main" id="{00000000-0008-0000-0A00-000004B8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819150</xdr:colOff>
          <xdr:row>2</xdr:row>
          <xdr:rowOff>28575</xdr:rowOff>
        </xdr:from>
        <xdr:to>
          <xdr:col>9</xdr:col>
          <xdr:colOff>114300</xdr:colOff>
          <xdr:row>2</xdr:row>
          <xdr:rowOff>238125</xdr:rowOff>
        </xdr:to>
        <xdr:sp macro="" textlink="">
          <xdr:nvSpPr>
            <xdr:cNvPr id="5552133" name="Check Box 5" hidden="1">
              <a:extLst>
                <a:ext uri="{63B3BB69-23CF-44E3-9099-C40C66FF867C}">
                  <a14:compatExt spid="_x0000_s5552133"/>
                </a:ext>
                <a:ext uri="{FF2B5EF4-FFF2-40B4-BE49-F238E27FC236}">
                  <a16:creationId xmlns:a16="http://schemas.microsoft.com/office/drawing/2014/main" id="{00000000-0008-0000-0A00-000005B8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485775</xdr:colOff>
          <xdr:row>2</xdr:row>
          <xdr:rowOff>28575</xdr:rowOff>
        </xdr:from>
        <xdr:to>
          <xdr:col>9</xdr:col>
          <xdr:colOff>733425</xdr:colOff>
          <xdr:row>2</xdr:row>
          <xdr:rowOff>238125</xdr:rowOff>
        </xdr:to>
        <xdr:sp macro="" textlink="">
          <xdr:nvSpPr>
            <xdr:cNvPr id="5552134" name="Check Box 6" hidden="1">
              <a:extLst>
                <a:ext uri="{63B3BB69-23CF-44E3-9099-C40C66FF867C}">
                  <a14:compatExt spid="_x0000_s5552134"/>
                </a:ext>
                <a:ext uri="{FF2B5EF4-FFF2-40B4-BE49-F238E27FC236}">
                  <a16:creationId xmlns:a16="http://schemas.microsoft.com/office/drawing/2014/main" id="{00000000-0008-0000-0A00-000006B8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352425</xdr:colOff>
          <xdr:row>2</xdr:row>
          <xdr:rowOff>28575</xdr:rowOff>
        </xdr:from>
        <xdr:to>
          <xdr:col>10</xdr:col>
          <xdr:colOff>600075</xdr:colOff>
          <xdr:row>2</xdr:row>
          <xdr:rowOff>238125</xdr:rowOff>
        </xdr:to>
        <xdr:sp macro="" textlink="">
          <xdr:nvSpPr>
            <xdr:cNvPr id="5552135" name="Check Box 7" hidden="1">
              <a:extLst>
                <a:ext uri="{63B3BB69-23CF-44E3-9099-C40C66FF867C}">
                  <a14:compatExt spid="_x0000_s5552135"/>
                </a:ext>
                <a:ext uri="{FF2B5EF4-FFF2-40B4-BE49-F238E27FC236}">
                  <a16:creationId xmlns:a16="http://schemas.microsoft.com/office/drawing/2014/main" id="{00000000-0008-0000-0A00-000007B85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xdr:twoCellAnchor editAs="oneCell">
    <xdr:from>
      <xdr:col>0</xdr:col>
      <xdr:colOff>38100</xdr:colOff>
      <xdr:row>0</xdr:row>
      <xdr:rowOff>9525</xdr:rowOff>
    </xdr:from>
    <xdr:to>
      <xdr:col>1</xdr:col>
      <xdr:colOff>722688</xdr:colOff>
      <xdr:row>0</xdr:row>
      <xdr:rowOff>558165</xdr:rowOff>
    </xdr:to>
    <xdr:pic>
      <xdr:nvPicPr>
        <xdr:cNvPr id="2" name="Picture 1">
          <a:extLst>
            <a:ext uri="{FF2B5EF4-FFF2-40B4-BE49-F238E27FC236}">
              <a16:creationId xmlns:a16="http://schemas.microsoft.com/office/drawing/2014/main" id="{5B938FD2-D83F-43C7-B1BA-CB503E152A7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9525"/>
          <a:ext cx="1414838" cy="548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523875</xdr:colOff>
          <xdr:row>2</xdr:row>
          <xdr:rowOff>28575</xdr:rowOff>
        </xdr:from>
        <xdr:to>
          <xdr:col>11</xdr:col>
          <xdr:colOff>400050</xdr:colOff>
          <xdr:row>2</xdr:row>
          <xdr:rowOff>238125</xdr:rowOff>
        </xdr:to>
        <xdr:sp macro="" textlink="">
          <xdr:nvSpPr>
            <xdr:cNvPr id="5552136" name="Check Box 8" hidden="1">
              <a:extLst>
                <a:ext uri="{63B3BB69-23CF-44E3-9099-C40C66FF867C}">
                  <a14:compatExt spid="_x0000_s5552136"/>
                </a:ext>
                <a:ext uri="{FF2B5EF4-FFF2-40B4-BE49-F238E27FC236}">
                  <a16:creationId xmlns:a16="http://schemas.microsoft.com/office/drawing/2014/main" id="{00000000-0008-0000-0A00-000008B85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Disturbed/Fill</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ete.otterness\AppData\Local\Microsoft\Olk\Attachments\ooa-a7e3a8e4-989b-46a7-b792-bb3139e97397\ce1c78281f2d06f00b54d881d3fa98806eaa511a8d8ebb1821ef548273686df5\Design%20Suite-Master%202026%20V1.xlsx" TargetMode="External"/><Relationship Id="rId1" Type="http://schemas.openxmlformats.org/officeDocument/2006/relationships/externalLinkPath" Target="file:///C:\Users\pete.otterness\AppData\Local\Microsoft\Olk\Attachments\ooa-a7e3a8e4-989b-46a7-b792-bb3139e97397\ce1c78281f2d06f00b54d881d3fa98806eaa511a8d8ebb1821ef548273686df5\Design%20Suite-Master%202026%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rop-Down Lists"/>
      <sheetName val="Instructions"/>
      <sheetName val="Prelim"/>
      <sheetName val="Field"/>
      <sheetName val="Soil Log Single Signature"/>
      <sheetName val="Soil Log (1)"/>
      <sheetName val="System Elevations Development"/>
      <sheetName val="Soil Log (2)"/>
      <sheetName val="Soil Log (3)"/>
      <sheetName val="Soil Log (4)"/>
      <sheetName val="Soil Log (5)"/>
      <sheetName val="Soil Log (6)"/>
      <sheetName val="Soil Log (7)"/>
      <sheetName val="Soil Chart"/>
      <sheetName val="Site Eval Map"/>
      <sheetName val="Perc. Test"/>
      <sheetName val="Sketch"/>
      <sheetName val="Site Sketch &amp; Elev"/>
      <sheetName val="Design Details &amp; Summary"/>
      <sheetName val="Trench"/>
      <sheetName val="Bed "/>
      <sheetName val="At-Grade"/>
      <sheetName val="Mound&lt;1%"/>
      <sheetName val="Mound&gt;1%"/>
      <sheetName val="Mound Mat."/>
      <sheetName val="Drip 2023"/>
      <sheetName val="Pres. Dist. STA"/>
      <sheetName val="Non-Level  STA"/>
      <sheetName val="Pump-Basic STA"/>
      <sheetName val="Pump Tank STA Demand"/>
      <sheetName val="Pump Tank STA Time"/>
      <sheetName val="Tank Buoyancy"/>
      <sheetName val="Tank Buoyancy (2)"/>
      <sheetName val="Organic Loading"/>
      <sheetName val="Optional Tank details"/>
      <sheetName val="Drip 2025"/>
      <sheetName val="Drip 2026 "/>
      <sheetName val="Pres. Dist. (Other)"/>
      <sheetName val="Pump-Basic (Other)"/>
      <sheetName val="Pump Tank (Other) Demand"/>
      <sheetName val="Pump-Tank(Other)Time"/>
      <sheetName val="Pump-Collection"/>
      <sheetName val="Flow EQ STA"/>
      <sheetName val="Flow EQ (Other"/>
      <sheetName val="Existing Dwellings"/>
      <sheetName val="OE-Measured Flow"/>
      <sheetName val="OE-Estimated Flow"/>
      <sheetName val="Final Flow Total"/>
      <sheetName val="Flow &amp; System Summary"/>
      <sheetName val="Sand Filter"/>
      <sheetName val="Waste Strengths"/>
    </sheetNames>
    <sheetDataSet>
      <sheetData sheetId="0">
        <row r="2">
          <cell r="AT2">
            <v>0.33</v>
          </cell>
          <cell r="BE2">
            <v>4</v>
          </cell>
          <cell r="CI2" t="str">
            <v>add for each nonresident meal</v>
          </cell>
        </row>
        <row r="3">
          <cell r="AT3">
            <v>0.5</v>
          </cell>
          <cell r="BE3">
            <v>4.17</v>
          </cell>
          <cell r="CI3" t="str">
            <v>alley</v>
          </cell>
        </row>
        <row r="4">
          <cell r="BE4">
            <v>4.3499999999999996</v>
          </cell>
          <cell r="CI4" t="str">
            <v>auditorium seat</v>
          </cell>
        </row>
        <row r="5">
          <cell r="BE5">
            <v>4.54</v>
          </cell>
          <cell r="CI5" t="str">
            <v>bed</v>
          </cell>
        </row>
        <row r="6">
          <cell r="BE6">
            <v>4.76</v>
          </cell>
          <cell r="CI6" t="str">
            <v>bed</v>
          </cell>
        </row>
        <row r="7">
          <cell r="BE7">
            <v>5</v>
          </cell>
          <cell r="CI7" t="str">
            <v>parking space</v>
          </cell>
        </row>
        <row r="8">
          <cell r="BE8">
            <v>5.26</v>
          </cell>
          <cell r="CI8" t="str">
            <v>car space</v>
          </cell>
        </row>
        <row r="9">
          <cell r="BE9">
            <v>5.56</v>
          </cell>
          <cell r="CI9" t="str">
            <v>car stall</v>
          </cell>
        </row>
        <row r="10">
          <cell r="BE10">
            <v>5.88</v>
          </cell>
          <cell r="CI10" t="str">
            <v>chair</v>
          </cell>
        </row>
        <row r="11">
          <cell r="BE11">
            <v>6.25</v>
          </cell>
          <cell r="CI11" t="str">
            <v>child</v>
          </cell>
        </row>
        <row r="12">
          <cell r="BE12">
            <v>6.67</v>
          </cell>
          <cell r="CI12" t="str">
            <v>convenience store customer</v>
          </cell>
        </row>
        <row r="13">
          <cell r="BE13">
            <v>7.14</v>
          </cell>
          <cell r="CI13" t="str">
            <v>customer</v>
          </cell>
        </row>
        <row r="14">
          <cell r="BE14">
            <v>7.69</v>
          </cell>
          <cell r="CI14" t="str">
            <v>employee</v>
          </cell>
        </row>
        <row r="15">
          <cell r="BE15">
            <v>8.2899999999999991</v>
          </cell>
          <cell r="CI15" t="str">
            <v>parking space</v>
          </cell>
        </row>
        <row r="16">
          <cell r="BE16">
            <v>8.9149999999999991</v>
          </cell>
          <cell r="CI16" t="str">
            <v>parking space</v>
          </cell>
        </row>
        <row r="17">
          <cell r="BE17">
            <v>9.5649999999999995</v>
          </cell>
          <cell r="CI17" t="str">
            <v>passenger</v>
          </cell>
        </row>
        <row r="18">
          <cell r="BE18">
            <v>10.24</v>
          </cell>
          <cell r="CI18" t="str">
            <v>patient</v>
          </cell>
        </row>
        <row r="19">
          <cell r="BE19">
            <v>10.94</v>
          </cell>
          <cell r="CI19" t="str">
            <v>person</v>
          </cell>
        </row>
        <row r="20">
          <cell r="BE20">
            <v>11.664999999999999</v>
          </cell>
          <cell r="CI20" t="str">
            <v>campsite with sewer hook-up (per person)</v>
          </cell>
        </row>
        <row r="21">
          <cell r="BE21">
            <v>12.414999999999999</v>
          </cell>
          <cell r="CI21" t="str">
            <v>practitioner</v>
          </cell>
        </row>
        <row r="22">
          <cell r="BE22">
            <v>13.19</v>
          </cell>
          <cell r="CI22" t="str">
            <v>resident</v>
          </cell>
        </row>
        <row r="23">
          <cell r="BE23">
            <v>13.99</v>
          </cell>
          <cell r="CI23" t="str">
            <v>restroom</v>
          </cell>
        </row>
        <row r="24">
          <cell r="BE24">
            <v>14.815</v>
          </cell>
          <cell r="CI24" t="str">
            <v>seat</v>
          </cell>
        </row>
        <row r="25">
          <cell r="BE25">
            <v>15.664999999999999</v>
          </cell>
          <cell r="CI25" t="str">
            <v>seat (open 16  hours or less, single service articles)</v>
          </cell>
        </row>
        <row r="26">
          <cell r="BE26">
            <v>16.54</v>
          </cell>
          <cell r="CI26" t="str">
            <v>seat (open 16 hours or less)</v>
          </cell>
        </row>
        <row r="27">
          <cell r="BE27">
            <v>17.440000000000001</v>
          </cell>
          <cell r="CI27" t="str">
            <v>seat (open more    than 16 hours)</v>
          </cell>
        </row>
        <row r="28">
          <cell r="CI28" t="str">
            <v>seat (open more  than 16 hours,  single service   articles)</v>
          </cell>
        </row>
        <row r="29">
          <cell r="CI29" t="str">
            <v>service bay</v>
          </cell>
        </row>
        <row r="30">
          <cell r="CI30" t="str">
            <v>Service station* customer</v>
          </cell>
        </row>
        <row r="31">
          <cell r="CI31" t="str">
            <v>shower taken</v>
          </cell>
        </row>
        <row r="32">
          <cell r="CI32" t="str">
            <v>campsite with sewer hook-up (per site/space)</v>
          </cell>
        </row>
        <row r="33">
          <cell r="CI33" t="str">
            <v>campsite without sewer hook-up, with central toilet or shower facility (per site)</v>
          </cell>
        </row>
        <row r="34">
          <cell r="CI34" t="str">
            <v>campsite without sewer hook-up, with central toilet or shower facility, served by dump station (per site)</v>
          </cell>
        </row>
        <row r="35">
          <cell r="CI35" t="str">
            <v>square foot</v>
          </cell>
        </row>
        <row r="36">
          <cell r="CI36" t="str">
            <v>station</v>
          </cell>
        </row>
        <row r="37">
          <cell r="CI37" t="str">
            <v>student</v>
          </cell>
        </row>
        <row r="38">
          <cell r="CI38" t="str">
            <v>toilet</v>
          </cell>
        </row>
        <row r="39">
          <cell r="CI39" t="str">
            <v>user</v>
          </cell>
        </row>
        <row r="40">
          <cell r="CI40" t="str">
            <v>visitor</v>
          </cell>
        </row>
        <row r="41">
          <cell r="CI41" t="str">
            <v>with food vendor space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99.xml"/><Relationship Id="rId3" Type="http://schemas.openxmlformats.org/officeDocument/2006/relationships/vmlDrawing" Target="../drawings/vmlDrawing11.vml"/><Relationship Id="rId7" Type="http://schemas.openxmlformats.org/officeDocument/2006/relationships/ctrlProp" Target="../ctrlProps/ctrlProp98.xml"/><Relationship Id="rId2" Type="http://schemas.openxmlformats.org/officeDocument/2006/relationships/drawing" Target="../drawings/drawing8.xml"/><Relationship Id="rId1" Type="http://schemas.openxmlformats.org/officeDocument/2006/relationships/printerSettings" Target="../printerSettings/printerSettings15.bin"/><Relationship Id="rId6" Type="http://schemas.openxmlformats.org/officeDocument/2006/relationships/ctrlProp" Target="../ctrlProps/ctrlProp97.xml"/><Relationship Id="rId11" Type="http://schemas.openxmlformats.org/officeDocument/2006/relationships/ctrlProp" Target="../ctrlProps/ctrlProp102.xml"/><Relationship Id="rId5" Type="http://schemas.openxmlformats.org/officeDocument/2006/relationships/ctrlProp" Target="../ctrlProps/ctrlProp96.xml"/><Relationship Id="rId10" Type="http://schemas.openxmlformats.org/officeDocument/2006/relationships/ctrlProp" Target="../ctrlProps/ctrlProp101.xml"/><Relationship Id="rId4" Type="http://schemas.openxmlformats.org/officeDocument/2006/relationships/ctrlProp" Target="../ctrlProps/ctrlProp95.xml"/><Relationship Id="rId9" Type="http://schemas.openxmlformats.org/officeDocument/2006/relationships/ctrlProp" Target="../ctrlProps/ctrlProp100.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07.xml"/><Relationship Id="rId3" Type="http://schemas.openxmlformats.org/officeDocument/2006/relationships/vmlDrawing" Target="../drawings/vmlDrawing12.vml"/><Relationship Id="rId7" Type="http://schemas.openxmlformats.org/officeDocument/2006/relationships/ctrlProp" Target="../ctrlProps/ctrlProp106.xml"/><Relationship Id="rId2" Type="http://schemas.openxmlformats.org/officeDocument/2006/relationships/drawing" Target="../drawings/drawing9.xml"/><Relationship Id="rId1" Type="http://schemas.openxmlformats.org/officeDocument/2006/relationships/printerSettings" Target="../printerSettings/printerSettings16.bin"/><Relationship Id="rId6" Type="http://schemas.openxmlformats.org/officeDocument/2006/relationships/ctrlProp" Target="../ctrlProps/ctrlProp105.xml"/><Relationship Id="rId11" Type="http://schemas.openxmlformats.org/officeDocument/2006/relationships/ctrlProp" Target="../ctrlProps/ctrlProp110.xml"/><Relationship Id="rId5" Type="http://schemas.openxmlformats.org/officeDocument/2006/relationships/ctrlProp" Target="../ctrlProps/ctrlProp104.xml"/><Relationship Id="rId10" Type="http://schemas.openxmlformats.org/officeDocument/2006/relationships/ctrlProp" Target="../ctrlProps/ctrlProp109.xml"/><Relationship Id="rId4" Type="http://schemas.openxmlformats.org/officeDocument/2006/relationships/ctrlProp" Target="../ctrlProps/ctrlProp103.xml"/><Relationship Id="rId9" Type="http://schemas.openxmlformats.org/officeDocument/2006/relationships/ctrlProp" Target="../ctrlProps/ctrlProp10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15.xml"/><Relationship Id="rId3" Type="http://schemas.openxmlformats.org/officeDocument/2006/relationships/vmlDrawing" Target="../drawings/vmlDrawing13.vml"/><Relationship Id="rId7" Type="http://schemas.openxmlformats.org/officeDocument/2006/relationships/ctrlProp" Target="../ctrlProps/ctrlProp114.xml"/><Relationship Id="rId2" Type="http://schemas.openxmlformats.org/officeDocument/2006/relationships/drawing" Target="../drawings/drawing10.xml"/><Relationship Id="rId1" Type="http://schemas.openxmlformats.org/officeDocument/2006/relationships/printerSettings" Target="../printerSettings/printerSettings17.bin"/><Relationship Id="rId6" Type="http://schemas.openxmlformats.org/officeDocument/2006/relationships/ctrlProp" Target="../ctrlProps/ctrlProp113.xml"/><Relationship Id="rId11" Type="http://schemas.openxmlformats.org/officeDocument/2006/relationships/ctrlProp" Target="../ctrlProps/ctrlProp118.xml"/><Relationship Id="rId5" Type="http://schemas.openxmlformats.org/officeDocument/2006/relationships/ctrlProp" Target="../ctrlProps/ctrlProp112.xml"/><Relationship Id="rId10" Type="http://schemas.openxmlformats.org/officeDocument/2006/relationships/ctrlProp" Target="../ctrlProps/ctrlProp117.xml"/><Relationship Id="rId4" Type="http://schemas.openxmlformats.org/officeDocument/2006/relationships/ctrlProp" Target="../ctrlProps/ctrlProp111.xml"/><Relationship Id="rId9" Type="http://schemas.openxmlformats.org/officeDocument/2006/relationships/ctrlProp" Target="../ctrlProps/ctrlProp116.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23.xml"/><Relationship Id="rId3" Type="http://schemas.openxmlformats.org/officeDocument/2006/relationships/vmlDrawing" Target="../drawings/vmlDrawing14.vml"/><Relationship Id="rId7" Type="http://schemas.openxmlformats.org/officeDocument/2006/relationships/ctrlProp" Target="../ctrlProps/ctrlProp122.xml"/><Relationship Id="rId2" Type="http://schemas.openxmlformats.org/officeDocument/2006/relationships/drawing" Target="../drawings/drawing11.xml"/><Relationship Id="rId1" Type="http://schemas.openxmlformats.org/officeDocument/2006/relationships/printerSettings" Target="../printerSettings/printerSettings18.bin"/><Relationship Id="rId6" Type="http://schemas.openxmlformats.org/officeDocument/2006/relationships/ctrlProp" Target="../ctrlProps/ctrlProp121.xml"/><Relationship Id="rId11" Type="http://schemas.openxmlformats.org/officeDocument/2006/relationships/ctrlProp" Target="../ctrlProps/ctrlProp126.xml"/><Relationship Id="rId5" Type="http://schemas.openxmlformats.org/officeDocument/2006/relationships/ctrlProp" Target="../ctrlProps/ctrlProp120.xml"/><Relationship Id="rId10" Type="http://schemas.openxmlformats.org/officeDocument/2006/relationships/ctrlProp" Target="../ctrlProps/ctrlProp125.xml"/><Relationship Id="rId4" Type="http://schemas.openxmlformats.org/officeDocument/2006/relationships/ctrlProp" Target="../ctrlProps/ctrlProp119.xml"/><Relationship Id="rId9" Type="http://schemas.openxmlformats.org/officeDocument/2006/relationships/ctrlProp" Target="../ctrlProps/ctrlProp124.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31.xml"/><Relationship Id="rId3" Type="http://schemas.openxmlformats.org/officeDocument/2006/relationships/vmlDrawing" Target="../drawings/vmlDrawing15.vml"/><Relationship Id="rId7" Type="http://schemas.openxmlformats.org/officeDocument/2006/relationships/ctrlProp" Target="../ctrlProps/ctrlProp130.x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ctrlProp" Target="../ctrlProps/ctrlProp129.xml"/><Relationship Id="rId11" Type="http://schemas.openxmlformats.org/officeDocument/2006/relationships/ctrlProp" Target="../ctrlProps/ctrlProp134.xml"/><Relationship Id="rId5" Type="http://schemas.openxmlformats.org/officeDocument/2006/relationships/ctrlProp" Target="../ctrlProps/ctrlProp128.xml"/><Relationship Id="rId10" Type="http://schemas.openxmlformats.org/officeDocument/2006/relationships/ctrlProp" Target="../ctrlProps/ctrlProp133.xml"/><Relationship Id="rId4" Type="http://schemas.openxmlformats.org/officeDocument/2006/relationships/ctrlProp" Target="../ctrlProps/ctrlProp127.xml"/><Relationship Id="rId9" Type="http://schemas.openxmlformats.org/officeDocument/2006/relationships/ctrlProp" Target="../ctrlProps/ctrlProp13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 Id="rId5" Type="http://schemas.openxmlformats.org/officeDocument/2006/relationships/image" Target="../media/image38.emf"/><Relationship Id="rId4" Type="http://schemas.openxmlformats.org/officeDocument/2006/relationships/oleObject" Target="../embeddings/oleObject1.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38.xml"/><Relationship Id="rId13" Type="http://schemas.openxmlformats.org/officeDocument/2006/relationships/ctrlProp" Target="../ctrlProps/ctrlProp143.xml"/><Relationship Id="rId18" Type="http://schemas.openxmlformats.org/officeDocument/2006/relationships/ctrlProp" Target="../ctrlProps/ctrlProp148.xml"/><Relationship Id="rId26" Type="http://schemas.openxmlformats.org/officeDocument/2006/relationships/ctrlProp" Target="../ctrlProps/ctrlProp156.xml"/><Relationship Id="rId3" Type="http://schemas.openxmlformats.org/officeDocument/2006/relationships/drawing" Target="../drawings/drawing15.xml"/><Relationship Id="rId21" Type="http://schemas.openxmlformats.org/officeDocument/2006/relationships/ctrlProp" Target="../ctrlProps/ctrlProp151.xml"/><Relationship Id="rId7" Type="http://schemas.openxmlformats.org/officeDocument/2006/relationships/ctrlProp" Target="../ctrlProps/ctrlProp137.xml"/><Relationship Id="rId12" Type="http://schemas.openxmlformats.org/officeDocument/2006/relationships/ctrlProp" Target="../ctrlProps/ctrlProp142.xml"/><Relationship Id="rId17" Type="http://schemas.openxmlformats.org/officeDocument/2006/relationships/ctrlProp" Target="../ctrlProps/ctrlProp147.xml"/><Relationship Id="rId25" Type="http://schemas.openxmlformats.org/officeDocument/2006/relationships/ctrlProp" Target="../ctrlProps/ctrlProp155.xml"/><Relationship Id="rId2" Type="http://schemas.openxmlformats.org/officeDocument/2006/relationships/printerSettings" Target="../printerSettings/printerSettings24.bin"/><Relationship Id="rId16" Type="http://schemas.openxmlformats.org/officeDocument/2006/relationships/ctrlProp" Target="../ctrlProps/ctrlProp146.xml"/><Relationship Id="rId20" Type="http://schemas.openxmlformats.org/officeDocument/2006/relationships/ctrlProp" Target="../ctrlProps/ctrlProp150.xml"/><Relationship Id="rId1" Type="http://schemas.openxmlformats.org/officeDocument/2006/relationships/printerSettings" Target="../printerSettings/printerSettings23.bin"/><Relationship Id="rId6" Type="http://schemas.openxmlformats.org/officeDocument/2006/relationships/ctrlProp" Target="../ctrlProps/ctrlProp136.xml"/><Relationship Id="rId11" Type="http://schemas.openxmlformats.org/officeDocument/2006/relationships/ctrlProp" Target="../ctrlProps/ctrlProp141.xml"/><Relationship Id="rId24" Type="http://schemas.openxmlformats.org/officeDocument/2006/relationships/ctrlProp" Target="../ctrlProps/ctrlProp154.xml"/><Relationship Id="rId5" Type="http://schemas.openxmlformats.org/officeDocument/2006/relationships/ctrlProp" Target="../ctrlProps/ctrlProp135.xml"/><Relationship Id="rId15" Type="http://schemas.openxmlformats.org/officeDocument/2006/relationships/ctrlProp" Target="../ctrlProps/ctrlProp145.xml"/><Relationship Id="rId23" Type="http://schemas.openxmlformats.org/officeDocument/2006/relationships/ctrlProp" Target="../ctrlProps/ctrlProp153.xml"/><Relationship Id="rId10" Type="http://schemas.openxmlformats.org/officeDocument/2006/relationships/ctrlProp" Target="../ctrlProps/ctrlProp140.xml"/><Relationship Id="rId19" Type="http://schemas.openxmlformats.org/officeDocument/2006/relationships/ctrlProp" Target="../ctrlProps/ctrlProp149.xml"/><Relationship Id="rId4" Type="http://schemas.openxmlformats.org/officeDocument/2006/relationships/vmlDrawing" Target="../drawings/vmlDrawing17.vml"/><Relationship Id="rId9" Type="http://schemas.openxmlformats.org/officeDocument/2006/relationships/ctrlProp" Target="../ctrlProps/ctrlProp139.xml"/><Relationship Id="rId14" Type="http://schemas.openxmlformats.org/officeDocument/2006/relationships/ctrlProp" Target="../ctrlProps/ctrlProp144.xml"/><Relationship Id="rId22" Type="http://schemas.openxmlformats.org/officeDocument/2006/relationships/ctrlProp" Target="../ctrlProps/ctrlProp152.xml"/><Relationship Id="rId27" Type="http://schemas.openxmlformats.org/officeDocument/2006/relationships/ctrlProp" Target="../ctrlProps/ctrlProp157.xml"/></Relationships>
</file>

<file path=xl/worksheets/_rels/sheet18.xml.rels><?xml version="1.0" encoding="UTF-8" standalone="yes"?>
<Relationships xmlns="http://schemas.openxmlformats.org/package/2006/relationships"><Relationship Id="rId13" Type="http://schemas.openxmlformats.org/officeDocument/2006/relationships/ctrlProp" Target="../ctrlProps/ctrlProp167.xml"/><Relationship Id="rId18" Type="http://schemas.openxmlformats.org/officeDocument/2006/relationships/ctrlProp" Target="../ctrlProps/ctrlProp172.xml"/><Relationship Id="rId26" Type="http://schemas.openxmlformats.org/officeDocument/2006/relationships/ctrlProp" Target="../ctrlProps/ctrlProp180.xml"/><Relationship Id="rId3" Type="http://schemas.openxmlformats.org/officeDocument/2006/relationships/vmlDrawing" Target="../drawings/vmlDrawing18.vml"/><Relationship Id="rId21" Type="http://schemas.openxmlformats.org/officeDocument/2006/relationships/ctrlProp" Target="../ctrlProps/ctrlProp175.xml"/><Relationship Id="rId7" Type="http://schemas.openxmlformats.org/officeDocument/2006/relationships/ctrlProp" Target="../ctrlProps/ctrlProp161.xml"/><Relationship Id="rId12" Type="http://schemas.openxmlformats.org/officeDocument/2006/relationships/ctrlProp" Target="../ctrlProps/ctrlProp166.xml"/><Relationship Id="rId17" Type="http://schemas.openxmlformats.org/officeDocument/2006/relationships/ctrlProp" Target="../ctrlProps/ctrlProp171.xml"/><Relationship Id="rId25" Type="http://schemas.openxmlformats.org/officeDocument/2006/relationships/ctrlProp" Target="../ctrlProps/ctrlProp179.xml"/><Relationship Id="rId33" Type="http://schemas.openxmlformats.org/officeDocument/2006/relationships/ctrlProp" Target="../ctrlProps/ctrlProp187.xml"/><Relationship Id="rId2" Type="http://schemas.openxmlformats.org/officeDocument/2006/relationships/drawing" Target="../drawings/drawing16.xml"/><Relationship Id="rId16" Type="http://schemas.openxmlformats.org/officeDocument/2006/relationships/ctrlProp" Target="../ctrlProps/ctrlProp170.xml"/><Relationship Id="rId20" Type="http://schemas.openxmlformats.org/officeDocument/2006/relationships/ctrlProp" Target="../ctrlProps/ctrlProp174.xml"/><Relationship Id="rId29" Type="http://schemas.openxmlformats.org/officeDocument/2006/relationships/ctrlProp" Target="../ctrlProps/ctrlProp183.xml"/><Relationship Id="rId1" Type="http://schemas.openxmlformats.org/officeDocument/2006/relationships/printerSettings" Target="../printerSettings/printerSettings25.bin"/><Relationship Id="rId6" Type="http://schemas.openxmlformats.org/officeDocument/2006/relationships/ctrlProp" Target="../ctrlProps/ctrlProp160.xml"/><Relationship Id="rId11" Type="http://schemas.openxmlformats.org/officeDocument/2006/relationships/ctrlProp" Target="../ctrlProps/ctrlProp165.xml"/><Relationship Id="rId24" Type="http://schemas.openxmlformats.org/officeDocument/2006/relationships/ctrlProp" Target="../ctrlProps/ctrlProp178.xml"/><Relationship Id="rId32" Type="http://schemas.openxmlformats.org/officeDocument/2006/relationships/ctrlProp" Target="../ctrlProps/ctrlProp186.xml"/><Relationship Id="rId5" Type="http://schemas.openxmlformats.org/officeDocument/2006/relationships/ctrlProp" Target="../ctrlProps/ctrlProp159.xml"/><Relationship Id="rId15" Type="http://schemas.openxmlformats.org/officeDocument/2006/relationships/ctrlProp" Target="../ctrlProps/ctrlProp169.xml"/><Relationship Id="rId23" Type="http://schemas.openxmlformats.org/officeDocument/2006/relationships/ctrlProp" Target="../ctrlProps/ctrlProp177.xml"/><Relationship Id="rId28" Type="http://schemas.openxmlformats.org/officeDocument/2006/relationships/ctrlProp" Target="../ctrlProps/ctrlProp182.xml"/><Relationship Id="rId10" Type="http://schemas.openxmlformats.org/officeDocument/2006/relationships/ctrlProp" Target="../ctrlProps/ctrlProp164.xml"/><Relationship Id="rId19" Type="http://schemas.openxmlformats.org/officeDocument/2006/relationships/ctrlProp" Target="../ctrlProps/ctrlProp173.xml"/><Relationship Id="rId31" Type="http://schemas.openxmlformats.org/officeDocument/2006/relationships/ctrlProp" Target="../ctrlProps/ctrlProp185.xml"/><Relationship Id="rId4" Type="http://schemas.openxmlformats.org/officeDocument/2006/relationships/ctrlProp" Target="../ctrlProps/ctrlProp158.xml"/><Relationship Id="rId9" Type="http://schemas.openxmlformats.org/officeDocument/2006/relationships/ctrlProp" Target="../ctrlProps/ctrlProp163.xml"/><Relationship Id="rId14" Type="http://schemas.openxmlformats.org/officeDocument/2006/relationships/ctrlProp" Target="../ctrlProps/ctrlProp168.xml"/><Relationship Id="rId22" Type="http://schemas.openxmlformats.org/officeDocument/2006/relationships/ctrlProp" Target="../ctrlProps/ctrlProp176.xml"/><Relationship Id="rId27" Type="http://schemas.openxmlformats.org/officeDocument/2006/relationships/ctrlProp" Target="../ctrlProps/ctrlProp181.xml"/><Relationship Id="rId30" Type="http://schemas.openxmlformats.org/officeDocument/2006/relationships/ctrlProp" Target="../ctrlProps/ctrlProp184.xml"/><Relationship Id="rId8" Type="http://schemas.openxmlformats.org/officeDocument/2006/relationships/ctrlProp" Target="../ctrlProps/ctrlProp162.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vmlDrawing" Target="../drawings/vmlDrawing19.vml"/><Relationship Id="rId4"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vmlDrawing" Target="../drawings/vmlDrawing20.vml"/></Relationships>
</file>

<file path=xl/worksheets/_rels/sheet24.xml.rels><?xml version="1.0" encoding="UTF-8" standalone="yes"?>
<Relationships xmlns="http://schemas.openxmlformats.org/package/2006/relationships"><Relationship Id="rId8" Type="http://schemas.openxmlformats.org/officeDocument/2006/relationships/image" Target="../media/image72.emf"/><Relationship Id="rId3" Type="http://schemas.openxmlformats.org/officeDocument/2006/relationships/drawing" Target="../drawings/drawing22.xml"/><Relationship Id="rId7" Type="http://schemas.openxmlformats.org/officeDocument/2006/relationships/oleObject" Target="../embeddings/oleObject3.bin"/><Relationship Id="rId12" Type="http://schemas.openxmlformats.org/officeDocument/2006/relationships/image" Target="../media/image74.emf"/><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6" Type="http://schemas.openxmlformats.org/officeDocument/2006/relationships/image" Target="../media/image71.emf"/><Relationship Id="rId11" Type="http://schemas.openxmlformats.org/officeDocument/2006/relationships/oleObject" Target="../embeddings/oleObject5.bin"/><Relationship Id="rId5" Type="http://schemas.openxmlformats.org/officeDocument/2006/relationships/oleObject" Target="../embeddings/oleObject2.bin"/><Relationship Id="rId10" Type="http://schemas.openxmlformats.org/officeDocument/2006/relationships/image" Target="../media/image73.emf"/><Relationship Id="rId4" Type="http://schemas.openxmlformats.org/officeDocument/2006/relationships/vmlDrawing" Target="../drawings/vmlDrawing21.vml"/><Relationship Id="rId9" Type="http://schemas.openxmlformats.org/officeDocument/2006/relationships/oleObject" Target="../embeddings/oleObject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4"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190.xml"/><Relationship Id="rId13" Type="http://schemas.openxmlformats.org/officeDocument/2006/relationships/ctrlProp" Target="../ctrlProps/ctrlProp195.xml"/><Relationship Id="rId3" Type="http://schemas.openxmlformats.org/officeDocument/2006/relationships/printerSettings" Target="../printerSettings/printerSettings49.bin"/><Relationship Id="rId7" Type="http://schemas.openxmlformats.org/officeDocument/2006/relationships/ctrlProp" Target="../ctrlProps/ctrlProp189.xml"/><Relationship Id="rId12" Type="http://schemas.openxmlformats.org/officeDocument/2006/relationships/ctrlProp" Target="../ctrlProps/ctrlProp194.xml"/><Relationship Id="rId17" Type="http://schemas.openxmlformats.org/officeDocument/2006/relationships/ctrlProp" Target="../ctrlProps/ctrlProp199.xml"/><Relationship Id="rId2" Type="http://schemas.openxmlformats.org/officeDocument/2006/relationships/printerSettings" Target="../printerSettings/printerSettings48.bin"/><Relationship Id="rId16" Type="http://schemas.openxmlformats.org/officeDocument/2006/relationships/ctrlProp" Target="../ctrlProps/ctrlProp198.xml"/><Relationship Id="rId1" Type="http://schemas.openxmlformats.org/officeDocument/2006/relationships/printerSettings" Target="../printerSettings/printerSettings47.bin"/><Relationship Id="rId6" Type="http://schemas.openxmlformats.org/officeDocument/2006/relationships/ctrlProp" Target="../ctrlProps/ctrlProp188.xml"/><Relationship Id="rId11" Type="http://schemas.openxmlformats.org/officeDocument/2006/relationships/ctrlProp" Target="../ctrlProps/ctrlProp193.xml"/><Relationship Id="rId5" Type="http://schemas.openxmlformats.org/officeDocument/2006/relationships/vmlDrawing" Target="../drawings/vmlDrawing22.vml"/><Relationship Id="rId15" Type="http://schemas.openxmlformats.org/officeDocument/2006/relationships/ctrlProp" Target="../ctrlProps/ctrlProp197.xml"/><Relationship Id="rId10" Type="http://schemas.openxmlformats.org/officeDocument/2006/relationships/ctrlProp" Target="../ctrlProps/ctrlProp192.xml"/><Relationship Id="rId4" Type="http://schemas.openxmlformats.org/officeDocument/2006/relationships/drawing" Target="../drawings/drawing26.xml"/><Relationship Id="rId9" Type="http://schemas.openxmlformats.org/officeDocument/2006/relationships/ctrlProp" Target="../ctrlProps/ctrlProp191.xml"/><Relationship Id="rId14" Type="http://schemas.openxmlformats.org/officeDocument/2006/relationships/ctrlProp" Target="../ctrlProps/ctrlProp196.xm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drawing" Target="../drawings/drawing1.xml"/><Relationship Id="rId21" Type="http://schemas.openxmlformats.org/officeDocument/2006/relationships/ctrlProp" Target="../ctrlProps/ctrlProp16.xml"/><Relationship Id="rId34" Type="http://schemas.openxmlformats.org/officeDocument/2006/relationships/ctrlProp" Target="../ctrlProps/ctrlProp29.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2" Type="http://schemas.openxmlformats.org/officeDocument/2006/relationships/printerSettings" Target="../printerSettings/printerSettings6.bin"/><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1" Type="http://schemas.openxmlformats.org/officeDocument/2006/relationships/printerSettings" Target="../printerSettings/printerSettings5.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5" Type="http://schemas.openxmlformats.org/officeDocument/2006/relationships/vmlDrawing" Target="../drawings/vmlDrawing3.v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 Type="http://schemas.openxmlformats.org/officeDocument/2006/relationships/vmlDrawing" Target="../drawings/vmlDrawing2.v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ctrlProp" Target="../ctrlProps/ctrlProp30.xml"/><Relationship Id="rId8" Type="http://schemas.openxmlformats.org/officeDocument/2006/relationships/ctrlProp" Target="../ctrlProps/ctrlProp3.x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4"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55.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8.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59.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6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6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63.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64.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3.xml"/><Relationship Id="rId3" Type="http://schemas.openxmlformats.org/officeDocument/2006/relationships/drawing" Target="../drawings/drawing2.xml"/><Relationship Id="rId7" Type="http://schemas.openxmlformats.org/officeDocument/2006/relationships/ctrlProp" Target="../ctrlProps/ctrlProp32.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vmlDrawing" Target="../drawings/vmlDrawing5.vml"/><Relationship Id="rId10" Type="http://schemas.openxmlformats.org/officeDocument/2006/relationships/ctrlProp" Target="../ctrlProps/ctrlProp35.xml"/><Relationship Id="rId4" Type="http://schemas.openxmlformats.org/officeDocument/2006/relationships/vmlDrawing" Target="../drawings/vmlDrawing4.vml"/><Relationship Id="rId9" Type="http://schemas.openxmlformats.org/officeDocument/2006/relationships/ctrlProp" Target="../ctrlProps/ctrlProp34.xm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6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68.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6" Type="http://schemas.openxmlformats.org/officeDocument/2006/relationships/image" Target="../media/image106.emf"/><Relationship Id="rId5" Type="http://schemas.openxmlformats.org/officeDocument/2006/relationships/oleObject" Target="../embeddings/oleObject6.bin"/><Relationship Id="rId4" Type="http://schemas.openxmlformats.org/officeDocument/2006/relationships/vmlDrawing" Target="../drawings/vmlDrawing23.v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7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72.bin"/></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75.bin"/></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1.xml"/><Relationship Id="rId3" Type="http://schemas.openxmlformats.org/officeDocument/2006/relationships/vmlDrawing" Target="../drawings/vmlDrawing6.vml"/><Relationship Id="rId7" Type="http://schemas.openxmlformats.org/officeDocument/2006/relationships/ctrlProp" Target="../ctrlProps/ctrlProp40.xml"/><Relationship Id="rId2" Type="http://schemas.openxmlformats.org/officeDocument/2006/relationships/drawing" Target="../drawings/drawing3.xml"/><Relationship Id="rId1" Type="http://schemas.openxmlformats.org/officeDocument/2006/relationships/printerSettings" Target="../printerSettings/printerSettings9.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0" Type="http://schemas.openxmlformats.org/officeDocument/2006/relationships/ctrlProp" Target="../ctrlProps/ctrlProp43.xml"/><Relationship Id="rId4" Type="http://schemas.openxmlformats.org/officeDocument/2006/relationships/ctrlProp" Target="../ctrlProps/ctrlProp37.xml"/><Relationship Id="rId9" Type="http://schemas.openxmlformats.org/officeDocument/2006/relationships/ctrlProp" Target="../ctrlProps/ctrlProp42.xm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ctrlProp" Target="../ctrlProps/ctrlProp201.xml"/><Relationship Id="rId5" Type="http://schemas.openxmlformats.org/officeDocument/2006/relationships/ctrlProp" Target="../ctrlProps/ctrlProp200.xml"/><Relationship Id="rId4" Type="http://schemas.openxmlformats.org/officeDocument/2006/relationships/vmlDrawing" Target="../drawings/vmlDrawing24.vm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9.xml"/><Relationship Id="rId3" Type="http://schemas.openxmlformats.org/officeDocument/2006/relationships/vmlDrawing" Target="../drawings/vmlDrawing7.vml"/><Relationship Id="rId7" Type="http://schemas.openxmlformats.org/officeDocument/2006/relationships/ctrlProp" Target="../ctrlProps/ctrlProp48.xml"/><Relationship Id="rId2" Type="http://schemas.openxmlformats.org/officeDocument/2006/relationships/drawing" Target="../drawings/drawing4.xml"/><Relationship Id="rId1" Type="http://schemas.openxmlformats.org/officeDocument/2006/relationships/printerSettings" Target="../printerSettings/printerSettings10.bin"/><Relationship Id="rId6" Type="http://schemas.openxmlformats.org/officeDocument/2006/relationships/ctrlProp" Target="../ctrlProps/ctrlProp47.xml"/><Relationship Id="rId11" Type="http://schemas.openxmlformats.org/officeDocument/2006/relationships/ctrlProp" Target="../ctrlProps/ctrlProp52.xml"/><Relationship Id="rId5" Type="http://schemas.openxmlformats.org/officeDocument/2006/relationships/ctrlProp" Target="../ctrlProps/ctrlProp46.xml"/><Relationship Id="rId10" Type="http://schemas.openxmlformats.org/officeDocument/2006/relationships/ctrlProp" Target="../ctrlProps/ctrlProp51.xml"/><Relationship Id="rId4" Type="http://schemas.openxmlformats.org/officeDocument/2006/relationships/ctrlProp" Target="../ctrlProps/ctrlProp45.xml"/><Relationship Id="rId9" Type="http://schemas.openxmlformats.org/officeDocument/2006/relationships/ctrlProp" Target="../ctrlProps/ctrlProp50.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 Type="http://schemas.openxmlformats.org/officeDocument/2006/relationships/vmlDrawing" Target="../drawings/vmlDrawing8.vml"/><Relationship Id="rId21" Type="http://schemas.openxmlformats.org/officeDocument/2006/relationships/ctrlProp" Target="../ctrlProps/ctrlProp70.xml"/><Relationship Id="rId34" Type="http://schemas.openxmlformats.org/officeDocument/2006/relationships/ctrlProp" Target="../ctrlProps/ctrlProp83.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33" Type="http://schemas.openxmlformats.org/officeDocument/2006/relationships/ctrlProp" Target="../ctrlProps/ctrlProp82.xml"/><Relationship Id="rId2" Type="http://schemas.openxmlformats.org/officeDocument/2006/relationships/drawing" Target="../drawings/drawing5.xml"/><Relationship Id="rId16" Type="http://schemas.openxmlformats.org/officeDocument/2006/relationships/ctrlProp" Target="../ctrlProps/ctrlProp65.xml"/><Relationship Id="rId20" Type="http://schemas.openxmlformats.org/officeDocument/2006/relationships/ctrlProp" Target="../ctrlProps/ctrlProp69.xml"/><Relationship Id="rId29" Type="http://schemas.openxmlformats.org/officeDocument/2006/relationships/ctrlProp" Target="../ctrlProps/ctrlProp78.xml"/><Relationship Id="rId1" Type="http://schemas.openxmlformats.org/officeDocument/2006/relationships/printerSettings" Target="../printerSettings/printerSettings11.bin"/><Relationship Id="rId6" Type="http://schemas.openxmlformats.org/officeDocument/2006/relationships/ctrlProp" Target="../ctrlProps/ctrlProp55.xml"/><Relationship Id="rId11" Type="http://schemas.openxmlformats.org/officeDocument/2006/relationships/ctrlProp" Target="../ctrlProps/ctrlProp60.xml"/><Relationship Id="rId24" Type="http://schemas.openxmlformats.org/officeDocument/2006/relationships/ctrlProp" Target="../ctrlProps/ctrlProp73.xml"/><Relationship Id="rId32" Type="http://schemas.openxmlformats.org/officeDocument/2006/relationships/ctrlProp" Target="../ctrlProps/ctrlProp81.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trlProp" Target="../ctrlProps/ctrlProp77.xml"/><Relationship Id="rId10" Type="http://schemas.openxmlformats.org/officeDocument/2006/relationships/ctrlProp" Target="../ctrlProps/ctrlProp59.xml"/><Relationship Id="rId19" Type="http://schemas.openxmlformats.org/officeDocument/2006/relationships/ctrlProp" Target="../ctrlProps/ctrlProp68.xml"/><Relationship Id="rId31" Type="http://schemas.openxmlformats.org/officeDocument/2006/relationships/ctrlProp" Target="../ctrlProps/ctrlProp80.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 Id="rId30" Type="http://schemas.openxmlformats.org/officeDocument/2006/relationships/ctrlProp" Target="../ctrlProps/ctrlProp79.xml"/><Relationship Id="rId35" Type="http://schemas.openxmlformats.org/officeDocument/2006/relationships/ctrlProp" Target="../ctrlProps/ctrlProp84.xml"/><Relationship Id="rId8" Type="http://schemas.openxmlformats.org/officeDocument/2006/relationships/ctrlProp" Target="../ctrlProps/ctrlProp5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ctrlProp" Target="../ctrlProps/ctrlProp86.xml"/><Relationship Id="rId5" Type="http://schemas.openxmlformats.org/officeDocument/2006/relationships/ctrlProp" Target="../ctrlProps/ctrlProp85.xml"/><Relationship Id="rId4" Type="http://schemas.openxmlformats.org/officeDocument/2006/relationships/vmlDrawing" Target="../drawings/vmlDrawing9.v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91.xml"/><Relationship Id="rId3" Type="http://schemas.openxmlformats.org/officeDocument/2006/relationships/vmlDrawing" Target="../drawings/vmlDrawing10.vml"/><Relationship Id="rId7" Type="http://schemas.openxmlformats.org/officeDocument/2006/relationships/ctrlProp" Target="../ctrlProps/ctrlProp90.xml"/><Relationship Id="rId2" Type="http://schemas.openxmlformats.org/officeDocument/2006/relationships/drawing" Target="../drawings/drawing7.xml"/><Relationship Id="rId1" Type="http://schemas.openxmlformats.org/officeDocument/2006/relationships/printerSettings" Target="../printerSettings/printerSettings14.bin"/><Relationship Id="rId6" Type="http://schemas.openxmlformats.org/officeDocument/2006/relationships/ctrlProp" Target="../ctrlProps/ctrlProp89.xml"/><Relationship Id="rId11" Type="http://schemas.openxmlformats.org/officeDocument/2006/relationships/ctrlProp" Target="../ctrlProps/ctrlProp94.xml"/><Relationship Id="rId5" Type="http://schemas.openxmlformats.org/officeDocument/2006/relationships/ctrlProp" Target="../ctrlProps/ctrlProp88.xml"/><Relationship Id="rId10" Type="http://schemas.openxmlformats.org/officeDocument/2006/relationships/ctrlProp" Target="../ctrlProps/ctrlProp93.xml"/><Relationship Id="rId4" Type="http://schemas.openxmlformats.org/officeDocument/2006/relationships/ctrlProp" Target="../ctrlProps/ctrlProp87.xml"/><Relationship Id="rId9" Type="http://schemas.openxmlformats.org/officeDocument/2006/relationships/ctrlProp" Target="../ctrlProps/ctrlProp9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2">
    <tabColor theme="9" tint="0.79998168889431442"/>
    <pageSetUpPr fitToPage="1"/>
  </sheetPr>
  <dimension ref="A1:CK96"/>
  <sheetViews>
    <sheetView zoomScale="110" zoomScaleNormal="110" workbookViewId="0">
      <selection activeCell="C10" sqref="C10"/>
    </sheetView>
  </sheetViews>
  <sheetFormatPr defaultColWidth="8.85546875" defaultRowHeight="15"/>
  <cols>
    <col min="1" max="1" width="17.85546875" style="1" bestFit="1" customWidth="1"/>
    <col min="2" max="2" width="8.85546875" style="1"/>
    <col min="3" max="3" width="13.7109375" style="1" bestFit="1" customWidth="1"/>
    <col min="4" max="4" width="30.28515625" style="1" bestFit="1" customWidth="1"/>
    <col min="5" max="5" width="48.28515625" style="1" bestFit="1" customWidth="1"/>
    <col min="6" max="6" width="13.7109375" style="1" customWidth="1"/>
    <col min="7" max="7" width="19.42578125" style="1" bestFit="1" customWidth="1"/>
    <col min="8" max="8" width="19.42578125" style="1" customWidth="1"/>
    <col min="9" max="9" width="16.7109375" style="1" bestFit="1" customWidth="1"/>
    <col min="10" max="10" width="6.140625" style="1" bestFit="1" customWidth="1"/>
    <col min="11" max="11" width="12.28515625" style="1" bestFit="1" customWidth="1"/>
    <col min="12" max="12" width="31.7109375" style="1" bestFit="1" customWidth="1"/>
    <col min="13" max="13" width="14.85546875" style="1" bestFit="1" customWidth="1"/>
    <col min="14" max="14" width="14.42578125" style="1" bestFit="1" customWidth="1"/>
    <col min="15" max="15" width="14.140625" style="1" bestFit="1" customWidth="1"/>
    <col min="16" max="16" width="14.28515625" style="1" bestFit="1" customWidth="1"/>
    <col min="17" max="17" width="19.42578125" style="1" bestFit="1" customWidth="1"/>
    <col min="18" max="18" width="9.5703125" style="1" bestFit="1" customWidth="1"/>
    <col min="19" max="19" width="19.140625" style="1" bestFit="1" customWidth="1"/>
    <col min="20" max="23" width="19.140625" style="1" customWidth="1"/>
    <col min="24" max="24" width="24.85546875" style="1" bestFit="1" customWidth="1"/>
    <col min="25" max="25" width="14.42578125" style="1" bestFit="1" customWidth="1"/>
    <col min="26" max="55" width="14.42578125" style="1" customWidth="1"/>
    <col min="56" max="56" width="10.140625" style="1" bestFit="1" customWidth="1"/>
    <col min="57" max="57" width="12.42578125" style="1" bestFit="1" customWidth="1"/>
    <col min="58" max="58" width="29.85546875" style="1" bestFit="1" customWidth="1"/>
    <col min="59" max="59" width="7.42578125" style="1" bestFit="1" customWidth="1"/>
    <col min="60" max="60" width="11.7109375" style="1" customWidth="1"/>
    <col min="61" max="61" width="13.85546875" style="1" customWidth="1"/>
    <col min="62" max="62" width="20.42578125" style="1" customWidth="1"/>
    <col min="63" max="63" width="26" style="1" bestFit="1" customWidth="1"/>
    <col min="64" max="64" width="30.85546875" style="1" customWidth="1"/>
    <col min="65" max="65" width="19.140625" style="1" bestFit="1" customWidth="1"/>
    <col min="66" max="66" width="16.7109375" style="1" bestFit="1" customWidth="1"/>
    <col min="67" max="67" width="14.42578125" style="1" bestFit="1" customWidth="1"/>
    <col min="68" max="68" width="21.5703125" style="1" bestFit="1" customWidth="1"/>
    <col min="69" max="69" width="19.5703125" style="1" bestFit="1" customWidth="1"/>
    <col min="70" max="70" width="11.140625" style="1" bestFit="1" customWidth="1"/>
    <col min="71" max="71" width="13.28515625" style="1" bestFit="1" customWidth="1"/>
    <col min="72" max="72" width="18" style="1" bestFit="1" customWidth="1"/>
    <col min="73" max="73" width="13.140625" style="1" bestFit="1" customWidth="1"/>
    <col min="74" max="74" width="16.5703125" style="1" bestFit="1" customWidth="1"/>
    <col min="75" max="75" width="15.5703125" style="1" bestFit="1" customWidth="1"/>
    <col min="76" max="76" width="14.28515625" style="1" bestFit="1" customWidth="1"/>
    <col min="77" max="77" width="8.85546875" style="1"/>
    <col min="78" max="78" width="23.7109375" style="1" bestFit="1" customWidth="1"/>
    <col min="79" max="79" width="18.7109375" style="1" bestFit="1" customWidth="1"/>
    <col min="80" max="80" width="18.85546875" style="1" bestFit="1" customWidth="1"/>
    <col min="81" max="82" width="15.42578125" style="1" bestFit="1" customWidth="1"/>
    <col min="83" max="83" width="21" style="1" bestFit="1" customWidth="1"/>
    <col min="84" max="84" width="14.7109375" style="1" customWidth="1"/>
    <col min="85" max="85" width="22.7109375" style="1" customWidth="1"/>
    <col min="86" max="86" width="41.42578125" style="1" bestFit="1" customWidth="1"/>
    <col min="87" max="87" width="50.42578125" style="1" bestFit="1" customWidth="1"/>
    <col min="88" max="16384" width="8.85546875" style="1"/>
  </cols>
  <sheetData>
    <row r="1" spans="1:89" s="2108" customFormat="1">
      <c r="A1" s="2098" t="s">
        <v>0</v>
      </c>
      <c r="B1" s="2099" t="s">
        <v>1</v>
      </c>
      <c r="C1" s="2099" t="s">
        <v>2</v>
      </c>
      <c r="D1" s="2100" t="s">
        <v>3</v>
      </c>
      <c r="E1" s="2101" t="s">
        <v>4</v>
      </c>
      <c r="F1" s="2100" t="s">
        <v>5</v>
      </c>
      <c r="G1" s="2102" t="s">
        <v>6</v>
      </c>
      <c r="H1" s="2102" t="s">
        <v>7</v>
      </c>
      <c r="I1" s="2099" t="s">
        <v>8</v>
      </c>
      <c r="J1" s="2099" t="s">
        <v>9</v>
      </c>
      <c r="K1" s="2099" t="s">
        <v>10</v>
      </c>
      <c r="L1" s="2099" t="s">
        <v>11</v>
      </c>
      <c r="M1" s="2099" t="s">
        <v>12</v>
      </c>
      <c r="N1" s="2103" t="s">
        <v>13</v>
      </c>
      <c r="O1" s="2099" t="s">
        <v>14</v>
      </c>
      <c r="P1" s="2099" t="s">
        <v>15</v>
      </c>
      <c r="Q1" s="2099" t="s">
        <v>16</v>
      </c>
      <c r="R1" s="2099" t="s">
        <v>17</v>
      </c>
      <c r="S1" s="2102" t="s">
        <v>18</v>
      </c>
      <c r="T1" s="2102" t="s">
        <v>19</v>
      </c>
      <c r="U1" s="2099" t="s">
        <v>20</v>
      </c>
      <c r="V1" s="2099" t="s">
        <v>21</v>
      </c>
      <c r="W1" s="2099" t="s">
        <v>22</v>
      </c>
      <c r="X1" s="2104" t="s">
        <v>23</v>
      </c>
      <c r="Y1" s="2099" t="s">
        <v>24</v>
      </c>
      <c r="Z1" s="2099" t="s">
        <v>25</v>
      </c>
      <c r="AA1" s="2103" t="s">
        <v>26</v>
      </c>
      <c r="AB1" s="2103" t="s">
        <v>27</v>
      </c>
      <c r="AC1" s="2099" t="s">
        <v>28</v>
      </c>
      <c r="AD1" s="2099" t="s">
        <v>29</v>
      </c>
      <c r="AE1" s="2099" t="s">
        <v>30</v>
      </c>
      <c r="AF1" s="2099" t="s">
        <v>31</v>
      </c>
      <c r="AG1" s="2099" t="s">
        <v>32</v>
      </c>
      <c r="AH1" s="2099" t="s">
        <v>33</v>
      </c>
      <c r="AI1" s="2099" t="s">
        <v>34</v>
      </c>
      <c r="AJ1" s="2099" t="s">
        <v>35</v>
      </c>
      <c r="AK1" s="2099" t="s">
        <v>36</v>
      </c>
      <c r="AL1" s="2099" t="s">
        <v>37</v>
      </c>
      <c r="AM1" s="2099" t="s">
        <v>38</v>
      </c>
      <c r="AN1" s="2099" t="s">
        <v>39</v>
      </c>
      <c r="AO1" s="2099" t="s">
        <v>40</v>
      </c>
      <c r="AP1" s="2102" t="s">
        <v>41</v>
      </c>
      <c r="AQ1" s="2102" t="s">
        <v>42</v>
      </c>
      <c r="AR1" s="2103" t="s">
        <v>43</v>
      </c>
      <c r="AS1" s="2099" t="s">
        <v>44</v>
      </c>
      <c r="AT1" s="2099" t="s">
        <v>45</v>
      </c>
      <c r="AU1" s="2099" t="s">
        <v>46</v>
      </c>
      <c r="AV1" s="2105" t="s">
        <v>47</v>
      </c>
      <c r="AW1" s="2100" t="s">
        <v>48</v>
      </c>
      <c r="AX1" s="2106" t="s">
        <v>49</v>
      </c>
      <c r="AY1" s="2106" t="s">
        <v>50</v>
      </c>
      <c r="AZ1" s="2099" t="s">
        <v>51</v>
      </c>
      <c r="BA1" s="2099" t="s">
        <v>52</v>
      </c>
      <c r="BB1" s="2099" t="s">
        <v>53</v>
      </c>
      <c r="BC1" s="2099" t="s">
        <v>54</v>
      </c>
      <c r="BD1" s="2099" t="s">
        <v>55</v>
      </c>
      <c r="BE1" s="2099" t="s">
        <v>56</v>
      </c>
      <c r="BF1" s="2099" t="s">
        <v>57</v>
      </c>
      <c r="BG1" s="2099" t="s">
        <v>58</v>
      </c>
      <c r="BH1" s="2099" t="s">
        <v>59</v>
      </c>
      <c r="BI1" s="2099" t="s">
        <v>60</v>
      </c>
      <c r="BJ1" s="2107" t="s">
        <v>61</v>
      </c>
      <c r="BK1" s="2107" t="s">
        <v>62</v>
      </c>
      <c r="BL1" s="2108" t="s">
        <v>63</v>
      </c>
      <c r="BM1" s="2108" t="s">
        <v>64</v>
      </c>
      <c r="BN1" s="2108" t="s">
        <v>65</v>
      </c>
      <c r="BO1" s="2108" t="s">
        <v>66</v>
      </c>
      <c r="BP1" s="2108" t="s">
        <v>63</v>
      </c>
      <c r="BQ1" s="2108" t="s">
        <v>67</v>
      </c>
      <c r="BR1" s="2108" t="s">
        <v>68</v>
      </c>
      <c r="BS1" s="2108" t="s">
        <v>69</v>
      </c>
      <c r="BT1" s="2108" t="s">
        <v>70</v>
      </c>
      <c r="BU1" s="2108" t="s">
        <v>71</v>
      </c>
      <c r="BV1" s="2108" t="s">
        <v>30</v>
      </c>
      <c r="BW1" s="2108" t="s">
        <v>72</v>
      </c>
      <c r="BX1" s="2108" t="s">
        <v>73</v>
      </c>
      <c r="BY1" s="2108" t="s">
        <v>74</v>
      </c>
      <c r="BZ1" s="2100" t="s">
        <v>75</v>
      </c>
      <c r="CA1" s="2100" t="s">
        <v>76</v>
      </c>
      <c r="CB1" s="2100" t="s">
        <v>77</v>
      </c>
      <c r="CC1" s="2100" t="s">
        <v>78</v>
      </c>
      <c r="CD1" s="2100" t="s">
        <v>78</v>
      </c>
      <c r="CE1" s="2100" t="s">
        <v>79</v>
      </c>
      <c r="CF1" s="2108" t="s">
        <v>80</v>
      </c>
      <c r="CG1" s="2108" t="s">
        <v>81</v>
      </c>
      <c r="CH1" s="2099" t="s">
        <v>82</v>
      </c>
      <c r="CI1" s="2099" t="s">
        <v>83</v>
      </c>
    </row>
    <row r="2" spans="1:89">
      <c r="A2" s="1" t="s">
        <v>2669</v>
      </c>
      <c r="B2" s="2109" t="s">
        <v>84</v>
      </c>
      <c r="C2" s="2109" t="s">
        <v>84</v>
      </c>
      <c r="D2" s="519" t="s">
        <v>85</v>
      </c>
      <c r="E2" s="744" t="s">
        <v>86</v>
      </c>
      <c r="F2" s="519" t="s">
        <v>87</v>
      </c>
      <c r="G2" s="2110" t="s">
        <v>88</v>
      </c>
      <c r="H2" s="2110" t="s">
        <v>88</v>
      </c>
      <c r="I2" s="2111" t="s">
        <v>89</v>
      </c>
      <c r="J2" s="519" t="s">
        <v>90</v>
      </c>
      <c r="K2" s="2112" t="s">
        <v>91</v>
      </c>
      <c r="L2" s="744" t="s">
        <v>92</v>
      </c>
      <c r="M2" s="744" t="s">
        <v>92</v>
      </c>
      <c r="N2" s="1" t="s">
        <v>93</v>
      </c>
      <c r="O2" s="2111" t="s">
        <v>94</v>
      </c>
      <c r="P2" s="2111" t="s">
        <v>95</v>
      </c>
      <c r="Q2" s="2111" t="s">
        <v>96</v>
      </c>
      <c r="R2" s="2113" t="s">
        <v>97</v>
      </c>
      <c r="S2" s="744" t="s">
        <v>98</v>
      </c>
      <c r="T2" s="744" t="s">
        <v>99</v>
      </c>
      <c r="U2" s="2111" t="s">
        <v>100</v>
      </c>
      <c r="V2" s="519" t="s">
        <v>101</v>
      </c>
      <c r="W2" s="2114" t="s">
        <v>102</v>
      </c>
      <c r="X2" s="744" t="s">
        <v>103</v>
      </c>
      <c r="Y2" s="2109" t="s">
        <v>104</v>
      </c>
      <c r="Z2" s="972">
        <v>0.3</v>
      </c>
      <c r="AA2" s="744">
        <v>6</v>
      </c>
      <c r="AB2" s="744" t="s">
        <v>105</v>
      </c>
      <c r="AC2" s="2116">
        <v>500</v>
      </c>
      <c r="AD2" s="2109">
        <v>2</v>
      </c>
      <c r="AE2" s="2109" t="s">
        <v>106</v>
      </c>
      <c r="AF2" s="2109" t="s">
        <v>107</v>
      </c>
      <c r="AG2" s="2109" t="s">
        <v>108</v>
      </c>
      <c r="AH2" s="2117">
        <v>1</v>
      </c>
      <c r="AI2" s="2117">
        <v>2</v>
      </c>
      <c r="AJ2" s="2118" t="s">
        <v>109</v>
      </c>
      <c r="AK2" s="2117">
        <v>1</v>
      </c>
      <c r="AL2" s="2119">
        <v>4.4999999999999998E-2</v>
      </c>
      <c r="AM2" s="2120">
        <v>1</v>
      </c>
      <c r="AN2" s="2121" t="s">
        <v>102</v>
      </c>
      <c r="AO2" s="2109" t="s">
        <v>110</v>
      </c>
      <c r="AP2" s="2122" t="s">
        <v>111</v>
      </c>
      <c r="AQ2" s="2109" t="s">
        <v>112</v>
      </c>
      <c r="AR2" s="1" t="s">
        <v>113</v>
      </c>
      <c r="AS2" s="2117">
        <v>1.2</v>
      </c>
      <c r="AT2" s="2115">
        <v>0.33</v>
      </c>
      <c r="AU2" s="2123">
        <v>1</v>
      </c>
      <c r="AV2" s="744" t="s">
        <v>114</v>
      </c>
      <c r="AW2" s="519" t="s">
        <v>115</v>
      </c>
      <c r="AX2" s="519" t="s">
        <v>116</v>
      </c>
      <c r="AY2" s="519" t="s">
        <v>117</v>
      </c>
      <c r="AZ2" s="2124" t="s">
        <v>109</v>
      </c>
      <c r="BA2" s="2125">
        <v>2</v>
      </c>
      <c r="BB2" s="2125" t="s">
        <v>118</v>
      </c>
      <c r="BC2" s="2126">
        <v>1</v>
      </c>
      <c r="BD2" s="2113">
        <v>4</v>
      </c>
      <c r="BE2" s="2127">
        <v>4</v>
      </c>
      <c r="BF2" s="2128">
        <v>1</v>
      </c>
      <c r="BG2" s="2117">
        <v>0.5</v>
      </c>
      <c r="BH2" s="2109">
        <v>1</v>
      </c>
      <c r="BI2" s="2109" t="s">
        <v>119</v>
      </c>
      <c r="BJ2" s="1" t="s">
        <v>120</v>
      </c>
      <c r="BK2" s="1" t="s">
        <v>121</v>
      </c>
      <c r="BL2" s="1" t="s">
        <v>122</v>
      </c>
      <c r="BM2" s="1" t="s">
        <v>123</v>
      </c>
      <c r="BN2" s="1" t="s">
        <v>124</v>
      </c>
      <c r="BO2" s="1">
        <v>1.5</v>
      </c>
      <c r="BP2" s="1" t="s">
        <v>112</v>
      </c>
      <c r="BQ2" s="1">
        <v>36</v>
      </c>
      <c r="BR2" s="1" t="s">
        <v>125</v>
      </c>
      <c r="BS2" s="1" t="s">
        <v>126</v>
      </c>
      <c r="BT2" s="1" t="s">
        <v>110</v>
      </c>
      <c r="BU2" s="1" t="s">
        <v>127</v>
      </c>
      <c r="BV2" s="1" t="s">
        <v>106</v>
      </c>
      <c r="BW2" s="1" t="s">
        <v>24</v>
      </c>
      <c r="BX2" s="1" t="s">
        <v>128</v>
      </c>
      <c r="BY2" s="1" t="s">
        <v>129</v>
      </c>
      <c r="BZ2" s="519" t="s">
        <v>104</v>
      </c>
      <c r="CA2" s="519" t="s">
        <v>130</v>
      </c>
      <c r="CB2" s="519" t="s">
        <v>131</v>
      </c>
      <c r="CC2" s="519" t="s">
        <v>132</v>
      </c>
      <c r="CD2" s="519" t="s">
        <v>133</v>
      </c>
      <c r="CE2" s="519" t="s">
        <v>134</v>
      </c>
      <c r="CF2" s="1" t="s">
        <v>135</v>
      </c>
      <c r="CG2" s="1" t="s">
        <v>136</v>
      </c>
      <c r="CH2" s="2129" t="s">
        <v>137</v>
      </c>
      <c r="CI2" s="2130" t="s">
        <v>138</v>
      </c>
    </row>
    <row r="3" spans="1:89">
      <c r="B3" s="2109" t="s">
        <v>139</v>
      </c>
      <c r="C3" s="2109" t="s">
        <v>139</v>
      </c>
      <c r="D3" s="519" t="s">
        <v>140</v>
      </c>
      <c r="E3" s="744" t="s">
        <v>141</v>
      </c>
      <c r="F3" s="519" t="s">
        <v>142</v>
      </c>
      <c r="G3" s="2110" t="s">
        <v>143</v>
      </c>
      <c r="H3" s="2110" t="s">
        <v>143</v>
      </c>
      <c r="I3" s="2111" t="s">
        <v>144</v>
      </c>
      <c r="J3" s="519" t="s">
        <v>145</v>
      </c>
      <c r="K3" s="2131" t="s">
        <v>146</v>
      </c>
      <c r="L3" s="2111" t="s">
        <v>147</v>
      </c>
      <c r="M3" s="2111" t="s">
        <v>148</v>
      </c>
      <c r="N3" s="1" t="s">
        <v>149</v>
      </c>
      <c r="O3" s="2111" t="s">
        <v>150</v>
      </c>
      <c r="P3" s="2111" t="s">
        <v>151</v>
      </c>
      <c r="Q3" s="2387" t="s">
        <v>2662</v>
      </c>
      <c r="R3" s="2113" t="s">
        <v>153</v>
      </c>
      <c r="S3" s="2214" t="s">
        <v>154</v>
      </c>
      <c r="T3" s="744" t="s">
        <v>155</v>
      </c>
      <c r="U3" s="2111" t="s">
        <v>156</v>
      </c>
      <c r="V3" s="519" t="s">
        <v>157</v>
      </c>
      <c r="W3" s="2132">
        <v>1</v>
      </c>
      <c r="X3" s="744" t="s">
        <v>158</v>
      </c>
      <c r="Y3" s="2109" t="s">
        <v>159</v>
      </c>
      <c r="Z3" s="972">
        <v>0.42</v>
      </c>
      <c r="AA3" s="744">
        <v>7</v>
      </c>
      <c r="AB3" s="744" t="s">
        <v>114</v>
      </c>
      <c r="AC3" s="2116">
        <v>600</v>
      </c>
      <c r="AD3" s="2109">
        <v>3</v>
      </c>
      <c r="AE3" s="2109" t="s">
        <v>160</v>
      </c>
      <c r="AF3" s="2109" t="s">
        <v>161</v>
      </c>
      <c r="AG3" s="2109" t="s">
        <v>162</v>
      </c>
      <c r="AH3" s="2117">
        <v>1.5</v>
      </c>
      <c r="AI3" s="2109">
        <v>2.5</v>
      </c>
      <c r="AJ3" s="2118" t="s">
        <v>163</v>
      </c>
      <c r="AK3" s="2117">
        <v>2</v>
      </c>
      <c r="AL3" s="2119">
        <v>7.8E-2</v>
      </c>
      <c r="AM3" s="2120">
        <v>1.25</v>
      </c>
      <c r="AN3" s="2109">
        <v>5</v>
      </c>
      <c r="AO3" s="2109" t="s">
        <v>124</v>
      </c>
      <c r="AP3" s="2122" t="s">
        <v>164</v>
      </c>
      <c r="AQ3" s="2109" t="s">
        <v>165</v>
      </c>
      <c r="AR3" s="1" t="s">
        <v>119</v>
      </c>
      <c r="AS3" s="2117">
        <v>1</v>
      </c>
      <c r="AT3" s="2115">
        <v>0.5</v>
      </c>
      <c r="AU3" s="2125">
        <v>0.45</v>
      </c>
      <c r="AV3" s="744" t="s">
        <v>166</v>
      </c>
      <c r="AW3" s="519" t="s">
        <v>167</v>
      </c>
      <c r="AX3" s="519" t="s">
        <v>168</v>
      </c>
      <c r="AY3" s="519" t="s">
        <v>169</v>
      </c>
      <c r="AZ3" s="2118" t="s">
        <v>170</v>
      </c>
      <c r="BA3" s="2125">
        <v>3</v>
      </c>
      <c r="BB3" s="2125" t="s">
        <v>171</v>
      </c>
      <c r="BC3" s="2126">
        <v>2</v>
      </c>
      <c r="BD3" s="2113">
        <v>3.85</v>
      </c>
      <c r="BE3" s="2127">
        <v>4.17</v>
      </c>
      <c r="BF3" s="2128">
        <v>1.5</v>
      </c>
      <c r="BG3" s="2115">
        <v>0.75</v>
      </c>
      <c r="BH3" s="2109">
        <v>2</v>
      </c>
      <c r="BI3" s="2109" t="s">
        <v>172</v>
      </c>
      <c r="BJ3" s="1" t="s">
        <v>173</v>
      </c>
      <c r="BK3" s="1" t="s">
        <v>174</v>
      </c>
      <c r="BL3" s="1" t="s">
        <v>175</v>
      </c>
      <c r="BM3" s="1" t="s">
        <v>176</v>
      </c>
      <c r="BN3" s="1" t="s">
        <v>110</v>
      </c>
      <c r="BO3" s="1">
        <v>2</v>
      </c>
      <c r="BP3" s="1" t="s">
        <v>122</v>
      </c>
      <c r="BQ3" s="1">
        <v>60</v>
      </c>
      <c r="BR3" s="1" t="s">
        <v>177</v>
      </c>
      <c r="BS3" s="1" t="s">
        <v>178</v>
      </c>
      <c r="BT3" s="1" t="s">
        <v>179</v>
      </c>
      <c r="BU3" s="1" t="s">
        <v>180</v>
      </c>
      <c r="BV3" s="1" t="s">
        <v>160</v>
      </c>
      <c r="BW3" s="1" t="s">
        <v>181</v>
      </c>
      <c r="BX3" s="1" t="s">
        <v>182</v>
      </c>
      <c r="BY3" s="1" t="s">
        <v>183</v>
      </c>
      <c r="BZ3" s="519" t="s">
        <v>184</v>
      </c>
      <c r="CA3" s="519" t="s">
        <v>185</v>
      </c>
      <c r="CB3" s="519" t="s">
        <v>186</v>
      </c>
      <c r="CC3" s="519" t="s">
        <v>187</v>
      </c>
      <c r="CD3" s="519" t="s">
        <v>188</v>
      </c>
      <c r="CE3" s="519" t="s">
        <v>189</v>
      </c>
      <c r="CF3" s="1" t="s">
        <v>190</v>
      </c>
      <c r="CG3" s="1" t="s">
        <v>191</v>
      </c>
      <c r="CH3" s="2129" t="s">
        <v>192</v>
      </c>
      <c r="CI3" s="2133" t="s">
        <v>193</v>
      </c>
    </row>
    <row r="4" spans="1:89">
      <c r="B4" s="744" t="s">
        <v>194</v>
      </c>
      <c r="C4" s="2109" t="s">
        <v>195</v>
      </c>
      <c r="D4" s="519" t="s">
        <v>196</v>
      </c>
      <c r="E4" s="744" t="s">
        <v>197</v>
      </c>
      <c r="F4" s="519" t="s">
        <v>198</v>
      </c>
      <c r="G4" s="2109" t="s">
        <v>199</v>
      </c>
      <c r="H4" s="2109" t="s">
        <v>199</v>
      </c>
      <c r="I4" s="2111" t="s">
        <v>200</v>
      </c>
      <c r="J4" s="519" t="s">
        <v>201</v>
      </c>
      <c r="K4" s="2131" t="s">
        <v>202</v>
      </c>
      <c r="L4" s="2111" t="s">
        <v>203</v>
      </c>
      <c r="M4" s="2111" t="s">
        <v>204</v>
      </c>
      <c r="N4" s="1" t="s">
        <v>205</v>
      </c>
      <c r="O4" s="2111" t="s">
        <v>206</v>
      </c>
      <c r="P4" s="2111" t="s">
        <v>207</v>
      </c>
      <c r="Q4" s="2111" t="s">
        <v>152</v>
      </c>
      <c r="R4" s="2113" t="s">
        <v>209</v>
      </c>
      <c r="S4" s="2214" t="s">
        <v>210</v>
      </c>
      <c r="T4" s="744" t="s">
        <v>211</v>
      </c>
      <c r="U4" s="2111" t="s">
        <v>212</v>
      </c>
      <c r="V4" s="519" t="s">
        <v>213</v>
      </c>
      <c r="W4" s="2132">
        <v>2</v>
      </c>
      <c r="X4" s="744" t="s">
        <v>214</v>
      </c>
      <c r="Y4" s="2109" t="s">
        <v>215</v>
      </c>
      <c r="Z4" s="972">
        <v>0.45</v>
      </c>
      <c r="AA4" s="744">
        <v>8</v>
      </c>
      <c r="AB4" s="744" t="s">
        <v>166</v>
      </c>
      <c r="AC4" s="2116">
        <v>750</v>
      </c>
      <c r="AD4" s="2115"/>
      <c r="AE4" s="2115"/>
      <c r="AF4" s="2115"/>
      <c r="AG4" s="2115" t="s">
        <v>216</v>
      </c>
      <c r="AH4" s="2111"/>
      <c r="AI4" s="2117">
        <v>3</v>
      </c>
      <c r="AJ4" s="2118" t="s">
        <v>217</v>
      </c>
      <c r="AK4" s="2117">
        <v>2.5</v>
      </c>
      <c r="AL4" s="2119">
        <v>0.11</v>
      </c>
      <c r="AM4" s="2120">
        <v>1.5</v>
      </c>
      <c r="AN4" s="2109">
        <v>6</v>
      </c>
      <c r="AO4" s="2109" t="s">
        <v>218</v>
      </c>
      <c r="AP4" s="2122" t="s">
        <v>219</v>
      </c>
      <c r="AS4" s="2117">
        <v>1.6</v>
      </c>
      <c r="AV4" s="744" t="s">
        <v>220</v>
      </c>
      <c r="AW4" s="519" t="s">
        <v>221</v>
      </c>
      <c r="AX4" s="2111"/>
      <c r="AY4" s="519" t="s">
        <v>222</v>
      </c>
      <c r="BA4" s="2125">
        <v>4</v>
      </c>
      <c r="BB4" s="2125" t="s">
        <v>223</v>
      </c>
      <c r="BC4" s="2126">
        <v>3</v>
      </c>
      <c r="BD4" s="2113">
        <v>3.7</v>
      </c>
      <c r="BE4" s="2127">
        <v>4.3499999999999996</v>
      </c>
      <c r="BF4" s="2128">
        <v>1.6</v>
      </c>
      <c r="BG4" s="2117">
        <v>1</v>
      </c>
      <c r="BH4" s="2109">
        <v>3</v>
      </c>
      <c r="BJ4" s="1" t="s">
        <v>224</v>
      </c>
      <c r="BK4" s="1" t="s">
        <v>225</v>
      </c>
      <c r="BL4" s="1" t="s">
        <v>226</v>
      </c>
      <c r="BM4" s="1" t="s">
        <v>124</v>
      </c>
      <c r="BO4" s="1">
        <v>3</v>
      </c>
      <c r="BP4" s="1" t="s">
        <v>175</v>
      </c>
      <c r="BQ4" s="1">
        <v>18</v>
      </c>
      <c r="BR4" s="1" t="s">
        <v>178</v>
      </c>
      <c r="BS4" s="1" t="s">
        <v>227</v>
      </c>
      <c r="BW4" s="1" t="s">
        <v>178</v>
      </c>
      <c r="BX4" s="1" t="s">
        <v>228</v>
      </c>
      <c r="BY4" s="1" t="s">
        <v>229</v>
      </c>
      <c r="BZ4" s="519" t="s">
        <v>230</v>
      </c>
      <c r="CA4" s="519" t="s">
        <v>231</v>
      </c>
      <c r="CB4" s="519" t="s">
        <v>232</v>
      </c>
      <c r="CC4" s="519" t="s">
        <v>233</v>
      </c>
      <c r="CD4" s="519" t="s">
        <v>187</v>
      </c>
      <c r="CE4" s="519" t="s">
        <v>234</v>
      </c>
      <c r="CH4" s="2134" t="s">
        <v>235</v>
      </c>
      <c r="CI4" s="2133" t="s">
        <v>236</v>
      </c>
    </row>
    <row r="5" spans="1:89">
      <c r="A5" s="1" t="s">
        <v>237</v>
      </c>
      <c r="C5" s="2109" t="s">
        <v>238</v>
      </c>
      <c r="E5" s="744" t="s">
        <v>239</v>
      </c>
      <c r="F5" s="2109"/>
      <c r="G5" s="2109" t="s">
        <v>240</v>
      </c>
      <c r="H5" s="2109" t="s">
        <v>240</v>
      </c>
      <c r="I5" s="2111" t="s">
        <v>241</v>
      </c>
      <c r="J5" s="519" t="s">
        <v>242</v>
      </c>
      <c r="K5" s="2131" t="s">
        <v>243</v>
      </c>
      <c r="L5" s="2111" t="s">
        <v>244</v>
      </c>
      <c r="M5" s="2111" t="s">
        <v>245</v>
      </c>
      <c r="N5" s="1" t="s">
        <v>246</v>
      </c>
      <c r="O5" s="2111" t="s">
        <v>247</v>
      </c>
      <c r="P5" s="2111" t="s">
        <v>248</v>
      </c>
      <c r="Q5" s="2111" t="s">
        <v>208</v>
      </c>
      <c r="R5" s="2113" t="s">
        <v>250</v>
      </c>
      <c r="S5" s="744" t="s">
        <v>251</v>
      </c>
      <c r="T5" s="744" t="s">
        <v>210</v>
      </c>
      <c r="U5" s="2111" t="s">
        <v>252</v>
      </c>
      <c r="V5" s="744"/>
      <c r="W5" s="2132">
        <v>3</v>
      </c>
      <c r="X5" s="744" t="s">
        <v>253</v>
      </c>
      <c r="Y5" s="2109" t="s">
        <v>254</v>
      </c>
      <c r="Z5" s="972">
        <v>0.5</v>
      </c>
      <c r="AA5" s="744">
        <v>9</v>
      </c>
      <c r="AB5" s="744" t="s">
        <v>220</v>
      </c>
      <c r="AC5" s="2116">
        <v>1000</v>
      </c>
      <c r="AD5" s="2115"/>
      <c r="AE5" s="2115"/>
      <c r="AF5" s="2115"/>
      <c r="AG5" s="2115"/>
      <c r="AH5" s="2115"/>
      <c r="AJ5" s="2135" t="s">
        <v>255</v>
      </c>
      <c r="AK5" s="2117">
        <v>5</v>
      </c>
      <c r="AL5" s="2119">
        <v>0.17</v>
      </c>
      <c r="AM5" s="2120">
        <v>2</v>
      </c>
      <c r="AN5" s="2109">
        <v>6.5</v>
      </c>
      <c r="AO5" s="2109"/>
      <c r="AP5" s="2122" t="s">
        <v>256</v>
      </c>
      <c r="AX5" s="2111"/>
      <c r="AY5" s="519" t="s">
        <v>257</v>
      </c>
      <c r="BA5" s="2125">
        <v>5</v>
      </c>
      <c r="BB5" s="2125" t="s">
        <v>258</v>
      </c>
      <c r="BC5" s="2126">
        <v>4</v>
      </c>
      <c r="BD5" s="2113">
        <v>3.57</v>
      </c>
      <c r="BE5" s="2127">
        <v>4.54</v>
      </c>
      <c r="BF5" s="2128">
        <v>1.8</v>
      </c>
      <c r="BH5" s="2109">
        <v>4</v>
      </c>
      <c r="BJ5" s="1" t="s">
        <v>259</v>
      </c>
      <c r="BK5" s="1" t="s">
        <v>92</v>
      </c>
      <c r="BL5" s="1" t="s">
        <v>260</v>
      </c>
      <c r="BP5" s="1" t="s">
        <v>226</v>
      </c>
      <c r="BQ5" s="1">
        <v>12</v>
      </c>
      <c r="BW5" s="1" t="s">
        <v>261</v>
      </c>
      <c r="BY5" s="1" t="s">
        <v>262</v>
      </c>
      <c r="BZ5" s="519" t="s">
        <v>254</v>
      </c>
      <c r="CA5" s="519" t="s">
        <v>263</v>
      </c>
      <c r="CC5" s="519" t="s">
        <v>133</v>
      </c>
      <c r="CD5" s="519" t="s">
        <v>264</v>
      </c>
      <c r="CH5" s="2129" t="s">
        <v>265</v>
      </c>
      <c r="CI5" s="2133" t="s">
        <v>266</v>
      </c>
    </row>
    <row r="6" spans="1:89">
      <c r="A6" s="2147">
        <v>45747</v>
      </c>
      <c r="E6" s="744" t="s">
        <v>267</v>
      </c>
      <c r="G6" s="2110" t="s">
        <v>268</v>
      </c>
      <c r="H6" s="2110" t="s">
        <v>268</v>
      </c>
      <c r="I6" s="2111" t="s">
        <v>269</v>
      </c>
      <c r="J6" s="519" t="s">
        <v>270</v>
      </c>
      <c r="K6" s="2131" t="s">
        <v>271</v>
      </c>
      <c r="L6" s="2111" t="s">
        <v>272</v>
      </c>
      <c r="M6" s="2111" t="s">
        <v>273</v>
      </c>
      <c r="N6" s="1" t="s">
        <v>274</v>
      </c>
      <c r="O6" s="2111" t="s">
        <v>275</v>
      </c>
      <c r="P6" s="2111"/>
      <c r="Q6" s="2111" t="s">
        <v>249</v>
      </c>
      <c r="R6" s="2113" t="s">
        <v>278</v>
      </c>
      <c r="S6" s="744" t="s">
        <v>279</v>
      </c>
      <c r="T6" s="744" t="s">
        <v>280</v>
      </c>
      <c r="U6" s="2111" t="s">
        <v>281</v>
      </c>
      <c r="V6" s="744"/>
      <c r="W6" s="2132">
        <v>4</v>
      </c>
      <c r="X6" s="744" t="s">
        <v>282</v>
      </c>
      <c r="Y6" s="2109" t="s">
        <v>230</v>
      </c>
      <c r="Z6" s="972">
        <v>0.52</v>
      </c>
      <c r="AA6" s="744">
        <v>10</v>
      </c>
      <c r="AB6" s="744" t="s">
        <v>283</v>
      </c>
      <c r="AC6" s="2116">
        <v>1250</v>
      </c>
      <c r="AD6" s="2115"/>
      <c r="AE6" s="2115"/>
      <c r="AF6" s="2115"/>
      <c r="AG6" s="2115"/>
      <c r="AH6" s="2115"/>
      <c r="AL6" s="2119">
        <v>0.38</v>
      </c>
      <c r="AM6" s="2120">
        <v>3</v>
      </c>
      <c r="AN6" s="2109">
        <v>10</v>
      </c>
      <c r="AO6" s="2109"/>
      <c r="AX6" s="2111"/>
      <c r="AY6" s="2111"/>
      <c r="BA6" s="2125">
        <v>6</v>
      </c>
      <c r="BC6" s="2126">
        <v>5</v>
      </c>
      <c r="BD6" s="2113">
        <v>3.45</v>
      </c>
      <c r="BE6" s="2127">
        <v>4.76</v>
      </c>
      <c r="BF6" s="2128">
        <v>2</v>
      </c>
      <c r="BH6" s="2109">
        <v>5</v>
      </c>
      <c r="BJ6" s="1" t="s">
        <v>284</v>
      </c>
      <c r="BK6" s="1" t="s">
        <v>285</v>
      </c>
      <c r="BL6" s="1" t="s">
        <v>286</v>
      </c>
      <c r="BP6" s="1" t="s">
        <v>260</v>
      </c>
      <c r="BZ6" s="519" t="s">
        <v>287</v>
      </c>
      <c r="CA6" s="519" t="s">
        <v>288</v>
      </c>
      <c r="CC6" s="519" t="s">
        <v>289</v>
      </c>
      <c r="CD6" s="519" t="s">
        <v>132</v>
      </c>
      <c r="CH6" s="2129" t="s">
        <v>290</v>
      </c>
      <c r="CI6" s="2133" t="s">
        <v>266</v>
      </c>
      <c r="CJ6" s="12"/>
      <c r="CK6" s="12"/>
    </row>
    <row r="7" spans="1:89">
      <c r="A7" s="2147">
        <v>45783</v>
      </c>
      <c r="G7" s="2109" t="s">
        <v>291</v>
      </c>
      <c r="H7" s="2109" t="s">
        <v>291</v>
      </c>
      <c r="I7" s="2111" t="s">
        <v>292</v>
      </c>
      <c r="J7" s="519" t="s">
        <v>293</v>
      </c>
      <c r="K7" s="2131" t="s">
        <v>294</v>
      </c>
      <c r="L7" s="2111" t="s">
        <v>295</v>
      </c>
      <c r="M7" s="2111" t="s">
        <v>296</v>
      </c>
      <c r="N7" s="1" t="s">
        <v>297</v>
      </c>
      <c r="O7" s="2387" t="s">
        <v>276</v>
      </c>
      <c r="P7" s="2111"/>
      <c r="Q7" s="2111" t="s">
        <v>277</v>
      </c>
      <c r="R7" s="2113" t="s">
        <v>298</v>
      </c>
      <c r="S7" s="744" t="s">
        <v>299</v>
      </c>
      <c r="T7" s="2388" t="s">
        <v>98</v>
      </c>
      <c r="U7" s="2111" t="s">
        <v>300</v>
      </c>
      <c r="W7" s="2132">
        <v>5</v>
      </c>
      <c r="Y7" s="519" t="s">
        <v>287</v>
      </c>
      <c r="Z7" s="972">
        <v>0.6</v>
      </c>
      <c r="AA7" s="744">
        <v>11</v>
      </c>
      <c r="AB7" s="744" t="s">
        <v>301</v>
      </c>
      <c r="AC7" s="2116">
        <v>1500</v>
      </c>
      <c r="AD7" s="2115"/>
      <c r="AE7" s="2115"/>
      <c r="AF7" s="2115"/>
      <c r="AG7" s="2115"/>
      <c r="AH7" s="2115"/>
      <c r="AL7" s="2119">
        <v>0.66100000000000003</v>
      </c>
      <c r="AM7" s="2120">
        <v>4</v>
      </c>
      <c r="AN7" s="2125"/>
      <c r="AO7" s="2125"/>
      <c r="AP7" s="2125"/>
      <c r="AQ7" s="2125"/>
      <c r="AR7" s="2125"/>
      <c r="AS7" s="2125"/>
      <c r="AT7" s="2125"/>
      <c r="AU7" s="2125"/>
      <c r="AV7" s="2125"/>
      <c r="AW7" s="2125"/>
      <c r="AX7" s="2125"/>
      <c r="AY7" s="2125"/>
      <c r="AZ7" s="2125"/>
      <c r="BA7" s="2125">
        <v>7</v>
      </c>
      <c r="BC7" s="2126">
        <v>6</v>
      </c>
      <c r="BD7" s="2113">
        <v>3.33</v>
      </c>
      <c r="BE7" s="2127">
        <v>5</v>
      </c>
      <c r="BF7" s="2128">
        <v>2.1</v>
      </c>
      <c r="BH7" s="2109">
        <v>6</v>
      </c>
      <c r="BK7" s="1" t="s">
        <v>302</v>
      </c>
      <c r="BP7" s="1" t="s">
        <v>286</v>
      </c>
      <c r="CA7" s="519" t="s">
        <v>166</v>
      </c>
      <c r="CE7" s="28"/>
      <c r="CH7" s="2129" t="s">
        <v>303</v>
      </c>
      <c r="CI7" s="2133" t="s">
        <v>304</v>
      </c>
      <c r="CJ7" s="12"/>
      <c r="CK7" s="12"/>
    </row>
    <row r="8" spans="1:89">
      <c r="A8" s="2147">
        <v>45826</v>
      </c>
      <c r="B8" s="2109"/>
      <c r="C8" s="2109"/>
      <c r="D8" s="2109"/>
      <c r="E8" s="2109"/>
      <c r="F8" s="2109"/>
      <c r="G8" s="2110" t="s">
        <v>305</v>
      </c>
      <c r="H8" s="2110" t="s">
        <v>305</v>
      </c>
      <c r="I8" s="2111" t="s">
        <v>306</v>
      </c>
      <c r="J8" s="519" t="s">
        <v>307</v>
      </c>
      <c r="K8" s="2112" t="s">
        <v>308</v>
      </c>
      <c r="L8" s="2111"/>
      <c r="M8" s="2111" t="s">
        <v>309</v>
      </c>
      <c r="N8" s="1" t="s">
        <v>310</v>
      </c>
      <c r="O8" s="2111"/>
      <c r="P8" s="2111"/>
      <c r="R8" s="2113" t="s">
        <v>311</v>
      </c>
      <c r="S8" s="2214" t="s">
        <v>155</v>
      </c>
      <c r="T8" s="2389" t="s">
        <v>251</v>
      </c>
      <c r="U8" s="2111" t="s">
        <v>312</v>
      </c>
      <c r="V8" s="2111"/>
      <c r="W8" s="2132">
        <v>6</v>
      </c>
      <c r="Z8" s="972">
        <v>0.65</v>
      </c>
      <c r="AA8" s="2218">
        <v>12</v>
      </c>
      <c r="AB8" s="2115"/>
      <c r="AC8" s="2116">
        <v>2000</v>
      </c>
      <c r="AD8" s="2115"/>
      <c r="AE8" s="2115"/>
      <c r="AF8" s="2115"/>
      <c r="AG8" s="2115"/>
      <c r="AH8" s="2115"/>
      <c r="AM8" s="2113">
        <v>6</v>
      </c>
      <c r="AN8" s="2125"/>
      <c r="AO8" s="2125"/>
      <c r="AP8" s="2125"/>
      <c r="AQ8" s="2125"/>
      <c r="AR8" s="2125"/>
      <c r="AS8" s="2125"/>
      <c r="AT8" s="2125"/>
      <c r="AU8" s="2125"/>
      <c r="AV8" s="2125"/>
      <c r="AW8" s="2125"/>
      <c r="AX8" s="2125"/>
      <c r="AY8" s="2125"/>
      <c r="AZ8" s="2125"/>
      <c r="BA8" s="2125">
        <v>8</v>
      </c>
      <c r="BC8" s="2126">
        <v>7</v>
      </c>
      <c r="BD8" s="2113">
        <v>3.23</v>
      </c>
      <c r="BE8" s="2127">
        <v>5.26</v>
      </c>
      <c r="BF8" s="2128">
        <v>2.2999999999999998</v>
      </c>
      <c r="BH8" s="2109">
        <v>7</v>
      </c>
      <c r="BK8" s="1" t="s">
        <v>313</v>
      </c>
      <c r="CH8" s="2129" t="s">
        <v>314</v>
      </c>
      <c r="CI8" s="2133" t="s">
        <v>315</v>
      </c>
    </row>
    <row r="9" spans="1:89">
      <c r="A9" s="2147">
        <v>45870</v>
      </c>
      <c r="B9" s="2109"/>
      <c r="C9" s="2109"/>
      <c r="D9" s="2109"/>
      <c r="E9" s="2109"/>
      <c r="F9" s="2109"/>
      <c r="G9" s="2109" t="s">
        <v>316</v>
      </c>
      <c r="H9" s="2109" t="s">
        <v>316</v>
      </c>
      <c r="I9" s="2111" t="s">
        <v>317</v>
      </c>
      <c r="J9" s="519" t="s">
        <v>318</v>
      </c>
      <c r="K9" s="2131" t="s">
        <v>319</v>
      </c>
      <c r="L9" s="2111"/>
      <c r="M9" s="2111" t="s">
        <v>320</v>
      </c>
      <c r="N9" s="1" t="s">
        <v>321</v>
      </c>
      <c r="O9" s="2111"/>
      <c r="P9" s="2111"/>
      <c r="Q9" s="2111"/>
      <c r="R9" s="2113" t="s">
        <v>322</v>
      </c>
      <c r="S9" s="2214" t="s">
        <v>99</v>
      </c>
      <c r="T9" s="2389" t="s">
        <v>279</v>
      </c>
      <c r="U9" s="2111" t="s">
        <v>323</v>
      </c>
      <c r="V9" s="2111"/>
      <c r="W9" s="2132">
        <v>7</v>
      </c>
      <c r="Z9" s="972">
        <v>0.68</v>
      </c>
      <c r="AA9" s="2218">
        <v>13</v>
      </c>
      <c r="AB9" s="2115"/>
      <c r="AC9" s="2116">
        <v>2500</v>
      </c>
      <c r="AD9" s="2115"/>
      <c r="AE9" s="2115"/>
      <c r="AF9" s="2115"/>
      <c r="AG9" s="2115"/>
      <c r="AH9" s="2115"/>
      <c r="AN9" s="2125"/>
      <c r="AO9" s="2125"/>
      <c r="AP9" s="2125"/>
      <c r="AQ9" s="2125"/>
      <c r="AR9" s="2125"/>
      <c r="AS9" s="2125"/>
      <c r="AT9" s="2125"/>
      <c r="AU9" s="2125"/>
      <c r="AV9" s="2125"/>
      <c r="AW9" s="2125"/>
      <c r="AX9" s="2125"/>
      <c r="AY9" s="2125"/>
      <c r="AZ9" s="2125"/>
      <c r="BA9" s="2125">
        <v>9</v>
      </c>
      <c r="BC9" s="2126">
        <v>8</v>
      </c>
      <c r="BD9" s="2113">
        <v>3.12</v>
      </c>
      <c r="BE9" s="2127">
        <v>5.56</v>
      </c>
      <c r="BF9" s="2128">
        <v>2.4</v>
      </c>
      <c r="BH9" s="2109">
        <v>8</v>
      </c>
      <c r="BK9" s="1" t="s">
        <v>324</v>
      </c>
      <c r="CH9" s="2129" t="s">
        <v>325</v>
      </c>
      <c r="CI9" s="2133" t="s">
        <v>326</v>
      </c>
    </row>
    <row r="10" spans="1:89">
      <c r="A10" s="2147">
        <v>45903</v>
      </c>
      <c r="G10" s="482" t="s">
        <v>327</v>
      </c>
      <c r="H10" s="482" t="s">
        <v>327</v>
      </c>
      <c r="I10" s="2136" t="s">
        <v>328</v>
      </c>
      <c r="J10" s="519" t="s">
        <v>329</v>
      </c>
      <c r="K10" s="2131" t="s">
        <v>330</v>
      </c>
      <c r="L10" s="2136"/>
      <c r="M10" s="2136" t="s">
        <v>331</v>
      </c>
      <c r="N10" s="1" t="s">
        <v>332</v>
      </c>
      <c r="O10" s="2136"/>
      <c r="P10" s="2136"/>
      <c r="Q10" s="2111"/>
      <c r="R10" s="2320" t="s">
        <v>333</v>
      </c>
      <c r="S10" s="2215" t="s">
        <v>280</v>
      </c>
      <c r="T10" s="2389" t="s">
        <v>2663</v>
      </c>
      <c r="V10" s="2136"/>
      <c r="W10" s="973">
        <v>8</v>
      </c>
      <c r="Z10" s="972">
        <v>0.78</v>
      </c>
      <c r="AA10" s="2218">
        <v>14</v>
      </c>
      <c r="AB10" s="2115"/>
      <c r="AC10" s="2304">
        <v>3000</v>
      </c>
      <c r="AD10" s="2115"/>
      <c r="AE10" s="2115"/>
      <c r="AF10" s="2115"/>
      <c r="AG10" s="2115"/>
      <c r="AH10" s="2115"/>
      <c r="AN10" s="2137"/>
      <c r="AO10" s="2137"/>
      <c r="AP10" s="2137"/>
      <c r="AQ10" s="2137"/>
      <c r="AR10" s="2137"/>
      <c r="AS10" s="2137"/>
      <c r="AT10" s="2137"/>
      <c r="AU10" s="2137"/>
      <c r="AV10" s="2137"/>
      <c r="AW10" s="2137"/>
      <c r="AX10" s="2137"/>
      <c r="AY10" s="2137"/>
      <c r="AZ10" s="2137"/>
      <c r="BA10" s="744">
        <v>10</v>
      </c>
      <c r="BC10" s="2126">
        <v>9</v>
      </c>
      <c r="BD10" s="2113">
        <v>3.03</v>
      </c>
      <c r="BE10" s="2127">
        <v>5.88</v>
      </c>
      <c r="BF10" s="2128">
        <v>2.5</v>
      </c>
      <c r="BH10" s="2109">
        <v>9</v>
      </c>
      <c r="BK10" s="1" t="s">
        <v>334</v>
      </c>
      <c r="CH10" s="2129" t="s">
        <v>335</v>
      </c>
      <c r="CI10" s="2133" t="s">
        <v>336</v>
      </c>
    </row>
    <row r="11" spans="1:89">
      <c r="A11" s="2147">
        <v>46079</v>
      </c>
      <c r="G11" s="482" t="s">
        <v>337</v>
      </c>
      <c r="H11" s="482" t="s">
        <v>337</v>
      </c>
      <c r="J11" s="519" t="s">
        <v>92</v>
      </c>
      <c r="K11" s="2131" t="s">
        <v>338</v>
      </c>
      <c r="M11" s="2136" t="s">
        <v>339</v>
      </c>
      <c r="Q11" s="2136"/>
      <c r="U11" s="2111"/>
      <c r="W11" s="973">
        <v>9</v>
      </c>
      <c r="Z11" s="972">
        <v>0.87</v>
      </c>
      <c r="AA11" s="2218">
        <v>15</v>
      </c>
      <c r="AB11" s="2115"/>
      <c r="AC11" s="2115"/>
      <c r="AD11" s="2115"/>
      <c r="AE11" s="2115"/>
      <c r="AF11" s="2115"/>
      <c r="AG11" s="2115"/>
      <c r="AH11" s="2115"/>
      <c r="AN11" s="2137"/>
      <c r="AO11" s="2137"/>
      <c r="AP11" s="2137"/>
      <c r="AQ11" s="2137"/>
      <c r="AR11" s="2137"/>
      <c r="AS11" s="2137"/>
      <c r="AT11" s="2137"/>
      <c r="AU11" s="2137"/>
      <c r="AV11" s="2137"/>
      <c r="AW11" s="2137"/>
      <c r="AX11" s="2137"/>
      <c r="AY11" s="2137"/>
      <c r="AZ11" s="2137"/>
      <c r="BA11" s="744">
        <v>11</v>
      </c>
      <c r="BC11" s="2126">
        <v>10</v>
      </c>
      <c r="BD11" s="2113">
        <v>2.94</v>
      </c>
      <c r="BE11" s="2127">
        <v>6.25</v>
      </c>
      <c r="BF11" s="2128">
        <v>2.6</v>
      </c>
      <c r="BH11" s="2109">
        <v>10</v>
      </c>
      <c r="BK11" s="1" t="s">
        <v>340</v>
      </c>
      <c r="CH11" s="2129" t="s">
        <v>341</v>
      </c>
      <c r="CI11" s="2133" t="s">
        <v>342</v>
      </c>
    </row>
    <row r="12" spans="1:89">
      <c r="A12" s="2147">
        <v>46107</v>
      </c>
      <c r="G12" s="482" t="s">
        <v>343</v>
      </c>
      <c r="H12" s="482" t="s">
        <v>343</v>
      </c>
      <c r="K12" s="2131" t="s">
        <v>344</v>
      </c>
      <c r="M12" s="2136" t="s">
        <v>345</v>
      </c>
      <c r="T12" s="2136"/>
      <c r="U12" s="2136"/>
      <c r="V12" s="2136"/>
      <c r="W12" s="973">
        <v>10</v>
      </c>
      <c r="Z12" s="972">
        <v>1</v>
      </c>
      <c r="AA12" s="2218">
        <v>16</v>
      </c>
      <c r="AB12" s="2115"/>
      <c r="AC12" s="2115"/>
      <c r="AD12" s="2115"/>
      <c r="AE12" s="2115"/>
      <c r="AF12" s="2115"/>
      <c r="AG12" s="2115"/>
      <c r="AH12" s="2115"/>
      <c r="AN12" s="744"/>
      <c r="AO12" s="744"/>
      <c r="AP12" s="744"/>
      <c r="AQ12" s="744"/>
      <c r="AR12" s="744"/>
      <c r="AS12" s="744"/>
      <c r="AT12" s="744"/>
      <c r="AU12" s="744"/>
      <c r="AV12" s="744"/>
      <c r="AW12" s="744"/>
      <c r="AX12" s="744"/>
      <c r="AY12" s="744"/>
      <c r="AZ12" s="744"/>
      <c r="BA12" s="744">
        <v>12</v>
      </c>
      <c r="BC12" s="2126">
        <v>11</v>
      </c>
      <c r="BD12" s="2113">
        <v>2.86</v>
      </c>
      <c r="BE12" s="2127">
        <v>6.67</v>
      </c>
      <c r="BF12" s="2138">
        <v>2.7</v>
      </c>
      <c r="BH12" s="2109">
        <v>11</v>
      </c>
      <c r="CH12" s="2129" t="s">
        <v>346</v>
      </c>
      <c r="CI12" s="2133" t="s">
        <v>347</v>
      </c>
    </row>
    <row r="13" spans="1:89">
      <c r="A13" s="2147">
        <v>46191</v>
      </c>
      <c r="G13" s="482" t="s">
        <v>348</v>
      </c>
      <c r="H13" s="482" t="s">
        <v>348</v>
      </c>
      <c r="K13" s="2131" t="s">
        <v>349</v>
      </c>
      <c r="M13" s="2136" t="s">
        <v>350</v>
      </c>
      <c r="R13" s="2139"/>
      <c r="T13" s="2136"/>
      <c r="V13" s="2136"/>
      <c r="W13" s="973">
        <v>11</v>
      </c>
      <c r="Z13" s="972">
        <v>1.2</v>
      </c>
      <c r="AA13" s="2218">
        <v>17</v>
      </c>
      <c r="AB13" s="2115"/>
      <c r="AC13" s="2115"/>
      <c r="AD13" s="2115"/>
      <c r="AE13" s="2115"/>
      <c r="AF13" s="2115"/>
      <c r="AG13" s="2115"/>
      <c r="AH13" s="2115"/>
      <c r="AN13" s="744"/>
      <c r="AO13" s="744"/>
      <c r="AP13" s="744"/>
      <c r="AQ13" s="744"/>
      <c r="AR13" s="744"/>
      <c r="AS13" s="744"/>
      <c r="AT13" s="744"/>
      <c r="AU13" s="744"/>
      <c r="AV13" s="744"/>
      <c r="AW13" s="744"/>
      <c r="AX13" s="744"/>
      <c r="AY13" s="744"/>
      <c r="AZ13" s="744"/>
      <c r="BA13" s="744"/>
      <c r="BC13" s="2126">
        <v>12</v>
      </c>
      <c r="BD13" s="2113">
        <v>2.78</v>
      </c>
      <c r="BE13" s="2127">
        <v>7.14</v>
      </c>
      <c r="BF13" s="2138">
        <v>2.9</v>
      </c>
      <c r="BH13" s="2109">
        <v>12</v>
      </c>
      <c r="CH13" s="2129" t="s">
        <v>351</v>
      </c>
      <c r="CI13" s="2133" t="s">
        <v>352</v>
      </c>
    </row>
    <row r="14" spans="1:89">
      <c r="A14" s="2147">
        <v>46213</v>
      </c>
      <c r="G14" s="482" t="s">
        <v>353</v>
      </c>
      <c r="H14" s="482" t="s">
        <v>353</v>
      </c>
      <c r="K14" s="2131" t="s">
        <v>354</v>
      </c>
      <c r="M14" s="2136" t="s">
        <v>355</v>
      </c>
      <c r="R14" s="2139"/>
      <c r="T14" s="2136"/>
      <c r="U14" s="2136"/>
      <c r="V14" s="2136"/>
      <c r="W14" s="973">
        <v>12</v>
      </c>
      <c r="Z14" s="972">
        <v>1.6</v>
      </c>
      <c r="AA14" s="2218">
        <v>18</v>
      </c>
      <c r="AB14" s="2115"/>
      <c r="AC14" s="2115"/>
      <c r="AD14" s="2115"/>
      <c r="AE14" s="2115"/>
      <c r="AF14" s="2115"/>
      <c r="AG14" s="2115"/>
      <c r="AH14" s="2115"/>
      <c r="AN14" s="744"/>
      <c r="AO14" s="744"/>
      <c r="AP14" s="744"/>
      <c r="AQ14" s="744"/>
      <c r="AR14" s="744"/>
      <c r="AS14" s="744"/>
      <c r="AT14" s="744"/>
      <c r="AU14" s="744"/>
      <c r="AV14" s="744"/>
      <c r="AW14" s="744"/>
      <c r="AX14" s="744"/>
      <c r="AY14" s="744"/>
      <c r="AZ14" s="744"/>
      <c r="BA14" s="744"/>
      <c r="BC14" s="2126">
        <v>13</v>
      </c>
      <c r="BD14" s="2113">
        <v>2.7</v>
      </c>
      <c r="BE14" s="2127">
        <v>7.69</v>
      </c>
      <c r="BF14" s="2138">
        <v>5</v>
      </c>
      <c r="BH14" s="2109">
        <v>13</v>
      </c>
      <c r="CH14" s="2129" t="s">
        <v>303</v>
      </c>
      <c r="CI14" s="2133" t="s">
        <v>356</v>
      </c>
    </row>
    <row r="15" spans="1:89">
      <c r="A15" s="2147"/>
      <c r="G15" s="482" t="s">
        <v>357</v>
      </c>
      <c r="H15" s="482" t="s">
        <v>357</v>
      </c>
      <c r="K15" s="2131" t="s">
        <v>358</v>
      </c>
      <c r="M15" s="2136" t="s">
        <v>359</v>
      </c>
      <c r="R15" s="2139"/>
      <c r="T15" s="2136"/>
      <c r="U15" s="2136"/>
      <c r="V15" s="2136"/>
      <c r="W15" s="973">
        <v>13</v>
      </c>
      <c r="AA15" s="2218">
        <v>19</v>
      </c>
      <c r="AC15" s="2115"/>
      <c r="BC15" s="2126">
        <v>14</v>
      </c>
      <c r="BD15" s="2127">
        <v>2.62</v>
      </c>
      <c r="BE15" s="2127">
        <v>8.2899999999999991</v>
      </c>
      <c r="BF15" s="2138">
        <v>5.3</v>
      </c>
      <c r="BH15" s="2109">
        <v>14</v>
      </c>
      <c r="CH15" s="2129" t="s">
        <v>303</v>
      </c>
      <c r="CI15" s="2133" t="s">
        <v>304</v>
      </c>
    </row>
    <row r="16" spans="1:89">
      <c r="A16" s="2147"/>
      <c r="G16" s="519" t="s">
        <v>360</v>
      </c>
      <c r="H16" s="519" t="s">
        <v>360</v>
      </c>
      <c r="K16" s="2131" t="s">
        <v>361</v>
      </c>
      <c r="M16" s="2136" t="s">
        <v>362</v>
      </c>
      <c r="R16" s="2139"/>
      <c r="T16" s="2136"/>
      <c r="U16" s="2136"/>
      <c r="V16" s="2136"/>
      <c r="W16" s="973">
        <v>14</v>
      </c>
      <c r="AA16" s="2218">
        <v>20</v>
      </c>
      <c r="AC16" s="2115"/>
      <c r="BB16" s="2111"/>
      <c r="BC16" s="2126">
        <v>15</v>
      </c>
      <c r="BD16" s="2127">
        <v>2.5499999999999998</v>
      </c>
      <c r="BE16" s="2127">
        <v>8.9149999999999991</v>
      </c>
      <c r="BF16" s="2138">
        <v>7</v>
      </c>
      <c r="BH16" s="2109">
        <v>15</v>
      </c>
      <c r="CH16" s="2129" t="s">
        <v>363</v>
      </c>
      <c r="CI16" s="2133" t="s">
        <v>304</v>
      </c>
    </row>
    <row r="17" spans="1:87">
      <c r="A17" s="2147"/>
      <c r="G17" s="519" t="s">
        <v>364</v>
      </c>
      <c r="H17" s="519" t="s">
        <v>364</v>
      </c>
      <c r="K17" s="2131" t="s">
        <v>365</v>
      </c>
      <c r="M17" s="2136" t="s">
        <v>366</v>
      </c>
      <c r="R17" s="2139"/>
      <c r="T17" s="2136"/>
      <c r="U17" s="2136"/>
      <c r="V17" s="2136"/>
      <c r="W17" s="973">
        <v>15</v>
      </c>
      <c r="AA17" s="2218">
        <v>21</v>
      </c>
      <c r="BB17" s="2111"/>
      <c r="BC17" s="2126">
        <v>16</v>
      </c>
      <c r="BD17" s="2127">
        <v>2.48</v>
      </c>
      <c r="BE17" s="2127">
        <v>9.5649999999999995</v>
      </c>
      <c r="BH17" s="2109">
        <v>16</v>
      </c>
      <c r="CH17" s="2129" t="s">
        <v>367</v>
      </c>
      <c r="CI17" s="2133" t="s">
        <v>368</v>
      </c>
    </row>
    <row r="18" spans="1:87">
      <c r="A18" s="2147"/>
      <c r="G18" s="519" t="s">
        <v>369</v>
      </c>
      <c r="H18" s="519" t="s">
        <v>369</v>
      </c>
      <c r="K18" s="2131" t="s">
        <v>370</v>
      </c>
      <c r="M18" s="2136" t="s">
        <v>371</v>
      </c>
      <c r="R18" s="2139"/>
      <c r="U18" s="2136"/>
      <c r="W18" s="973">
        <v>16</v>
      </c>
      <c r="AA18" s="744">
        <v>22</v>
      </c>
      <c r="BB18" s="2111"/>
      <c r="BC18" s="2126">
        <v>17</v>
      </c>
      <c r="BD18" s="2127">
        <v>2.41</v>
      </c>
      <c r="BE18" s="2127">
        <v>10.24</v>
      </c>
      <c r="BH18" s="2109">
        <v>17</v>
      </c>
      <c r="CH18" s="2129" t="s">
        <v>372</v>
      </c>
      <c r="CI18" s="2133" t="s">
        <v>373</v>
      </c>
    </row>
    <row r="19" spans="1:87">
      <c r="A19" s="2147"/>
      <c r="G19" s="519" t="s">
        <v>374</v>
      </c>
      <c r="H19" s="519" t="s">
        <v>374</v>
      </c>
      <c r="I19" s="2140"/>
      <c r="J19" s="2140"/>
      <c r="K19" s="2131" t="s">
        <v>375</v>
      </c>
      <c r="L19" s="2140"/>
      <c r="M19" s="2136" t="s">
        <v>376</v>
      </c>
      <c r="N19" s="2140"/>
      <c r="P19" s="2140"/>
      <c r="R19" s="2139"/>
      <c r="U19" s="2136"/>
      <c r="W19" s="973">
        <v>17</v>
      </c>
      <c r="AA19" s="744">
        <v>23</v>
      </c>
      <c r="BB19" s="2111"/>
      <c r="BC19" s="2126">
        <v>18</v>
      </c>
      <c r="BD19" s="2127">
        <v>2.35</v>
      </c>
      <c r="BE19" s="2127">
        <v>10.94</v>
      </c>
      <c r="BH19" s="2109">
        <v>18</v>
      </c>
      <c r="CH19" s="2129" t="s">
        <v>377</v>
      </c>
      <c r="CI19" s="2133" t="s">
        <v>378</v>
      </c>
    </row>
    <row r="20" spans="1:87">
      <c r="A20" s="2147"/>
      <c r="G20" s="519" t="s">
        <v>379</v>
      </c>
      <c r="H20" s="519" t="s">
        <v>379</v>
      </c>
      <c r="I20" s="2140"/>
      <c r="J20" s="2140"/>
      <c r="K20" s="2131" t="s">
        <v>380</v>
      </c>
      <c r="L20" s="2140"/>
      <c r="M20" s="2136" t="s">
        <v>381</v>
      </c>
      <c r="N20" s="2140"/>
      <c r="P20" s="2140"/>
      <c r="R20" s="2139"/>
      <c r="T20" s="2136"/>
      <c r="V20" s="2136"/>
      <c r="W20" s="973">
        <v>18</v>
      </c>
      <c r="Z20" s="744"/>
      <c r="AA20" s="744">
        <v>24</v>
      </c>
      <c r="AB20" s="744"/>
      <c r="AD20" s="744"/>
      <c r="AE20" s="744"/>
      <c r="AF20" s="744"/>
      <c r="AG20" s="744"/>
      <c r="AH20" s="744"/>
      <c r="BB20" s="2111"/>
      <c r="BC20" s="2126">
        <v>19</v>
      </c>
      <c r="BD20" s="2127">
        <v>2.29</v>
      </c>
      <c r="BE20" s="2127">
        <v>11.664999999999999</v>
      </c>
      <c r="BH20" s="2109">
        <v>19</v>
      </c>
      <c r="CH20" s="2129" t="s">
        <v>382</v>
      </c>
      <c r="CI20" s="2141" t="s">
        <v>383</v>
      </c>
    </row>
    <row r="21" spans="1:87">
      <c r="A21" s="2147"/>
      <c r="G21" s="519" t="s">
        <v>384</v>
      </c>
      <c r="H21" s="519" t="s">
        <v>384</v>
      </c>
      <c r="K21" s="2131" t="s">
        <v>385</v>
      </c>
      <c r="M21" s="2136" t="s">
        <v>386</v>
      </c>
      <c r="T21" s="2136"/>
      <c r="V21" s="2136"/>
      <c r="W21" s="973">
        <v>19</v>
      </c>
      <c r="Z21" s="744"/>
      <c r="AA21" s="744"/>
      <c r="AB21" s="744"/>
      <c r="AD21" s="744"/>
      <c r="AE21" s="744"/>
      <c r="AF21" s="744"/>
      <c r="AG21" s="744"/>
      <c r="AH21" s="744"/>
      <c r="BB21" s="2111"/>
      <c r="BC21" s="2126">
        <v>20</v>
      </c>
      <c r="BD21" s="2127">
        <v>2.23</v>
      </c>
      <c r="BE21" s="2127">
        <v>12.414999999999999</v>
      </c>
      <c r="BH21" s="2109">
        <v>20</v>
      </c>
      <c r="CH21" s="2129" t="s">
        <v>387</v>
      </c>
      <c r="CI21" s="2133" t="s">
        <v>388</v>
      </c>
    </row>
    <row r="22" spans="1:87">
      <c r="A22" s="2147"/>
      <c r="G22" s="519" t="s">
        <v>389</v>
      </c>
      <c r="H22" s="519" t="s">
        <v>389</v>
      </c>
      <c r="J22" s="2136"/>
      <c r="K22" s="2131" t="s">
        <v>390</v>
      </c>
      <c r="L22" s="2136"/>
      <c r="M22" s="2136" t="s">
        <v>391</v>
      </c>
      <c r="N22" s="2136"/>
      <c r="O22" s="2136"/>
      <c r="P22" s="2136"/>
      <c r="R22" s="2136"/>
      <c r="T22" s="2136"/>
      <c r="U22" s="2136"/>
      <c r="V22" s="2136"/>
      <c r="W22" s="973">
        <v>20</v>
      </c>
      <c r="Z22" s="744"/>
      <c r="AA22" s="744"/>
      <c r="AB22" s="744"/>
      <c r="AC22" s="744"/>
      <c r="AD22" s="744"/>
      <c r="AE22" s="744"/>
      <c r="AF22" s="744"/>
      <c r="AG22" s="744"/>
      <c r="AH22" s="744"/>
      <c r="BB22" s="2111"/>
      <c r="BC22" s="2111"/>
      <c r="BD22" s="2127">
        <v>2.1800000000000002</v>
      </c>
      <c r="BE22" s="2127">
        <v>13.19</v>
      </c>
      <c r="CH22" s="2129" t="s">
        <v>392</v>
      </c>
      <c r="CI22" s="2133" t="s">
        <v>393</v>
      </c>
    </row>
    <row r="23" spans="1:87">
      <c r="A23" s="2147"/>
      <c r="G23" s="482" t="s">
        <v>149</v>
      </c>
      <c r="H23" s="482" t="s">
        <v>149</v>
      </c>
      <c r="J23" s="2136"/>
      <c r="K23" s="2131" t="s">
        <v>394</v>
      </c>
      <c r="L23" s="2136"/>
      <c r="M23" s="2136" t="s">
        <v>395</v>
      </c>
      <c r="N23" s="2136"/>
      <c r="O23" s="2136"/>
      <c r="P23" s="2136"/>
      <c r="Q23" s="2136"/>
      <c r="R23" s="2136"/>
      <c r="T23" s="2136"/>
      <c r="U23" s="2136"/>
      <c r="V23" s="2136"/>
      <c r="W23" s="973">
        <v>21</v>
      </c>
      <c r="Z23" s="744"/>
      <c r="AA23" s="744"/>
      <c r="AB23" s="744"/>
      <c r="AC23" s="744"/>
      <c r="AD23" s="744"/>
      <c r="AE23" s="744"/>
      <c r="AF23" s="744"/>
      <c r="AG23" s="744"/>
      <c r="AH23" s="744"/>
      <c r="AL23" s="2136"/>
      <c r="BB23" s="2111"/>
      <c r="BC23" s="2111"/>
      <c r="BD23" s="2127">
        <v>2.13</v>
      </c>
      <c r="BE23" s="2127">
        <v>13.99</v>
      </c>
      <c r="CH23" s="2129" t="s">
        <v>396</v>
      </c>
      <c r="CI23" s="2133" t="s">
        <v>397</v>
      </c>
    </row>
    <row r="24" spans="1:87">
      <c r="A24" s="2147"/>
      <c r="G24" s="519" t="s">
        <v>310</v>
      </c>
      <c r="H24" s="519" t="s">
        <v>310</v>
      </c>
      <c r="J24" s="2136"/>
      <c r="K24" s="2131" t="s">
        <v>398</v>
      </c>
      <c r="L24" s="2136"/>
      <c r="M24" s="2136" t="s">
        <v>399</v>
      </c>
      <c r="N24" s="2136"/>
      <c r="O24" s="2136"/>
      <c r="P24" s="2136"/>
      <c r="Q24" s="2136"/>
      <c r="R24" s="2136"/>
      <c r="T24" s="2136"/>
      <c r="U24" s="2136"/>
      <c r="V24" s="2136"/>
      <c r="W24" s="973">
        <v>22</v>
      </c>
      <c r="Z24" s="744"/>
      <c r="AA24" s="744"/>
      <c r="AB24" s="744"/>
      <c r="AC24" s="744"/>
      <c r="AD24" s="744"/>
      <c r="AE24" s="744"/>
      <c r="AF24" s="744"/>
      <c r="AG24" s="744"/>
      <c r="AH24" s="744"/>
      <c r="AL24" s="2136"/>
      <c r="AN24" s="579"/>
      <c r="AO24" s="579"/>
      <c r="AP24" s="579"/>
      <c r="AQ24" s="579"/>
      <c r="AR24" s="579"/>
      <c r="AS24" s="579"/>
      <c r="AT24" s="579"/>
      <c r="AU24" s="579"/>
      <c r="AV24" s="579"/>
      <c r="AW24" s="579"/>
      <c r="AX24" s="579"/>
      <c r="AY24" s="579"/>
      <c r="AZ24" s="579"/>
      <c r="BA24" s="579"/>
      <c r="BB24" s="2111"/>
      <c r="BC24" s="2111"/>
      <c r="BD24" s="2127">
        <v>2.08</v>
      </c>
      <c r="BE24" s="2127">
        <v>14.815</v>
      </c>
      <c r="CH24" s="2129" t="s">
        <v>400</v>
      </c>
      <c r="CI24" s="2133" t="s">
        <v>401</v>
      </c>
    </row>
    <row r="25" spans="1:87">
      <c r="G25" s="519" t="s">
        <v>402</v>
      </c>
      <c r="H25" s="519" t="s">
        <v>402</v>
      </c>
      <c r="J25" s="2136"/>
      <c r="K25" s="2131" t="s">
        <v>403</v>
      </c>
      <c r="L25" s="2136"/>
      <c r="M25" s="2136" t="s">
        <v>404</v>
      </c>
      <c r="N25" s="2136"/>
      <c r="O25" s="2136"/>
      <c r="P25" s="2136"/>
      <c r="Q25" s="2136"/>
      <c r="R25" s="2136"/>
      <c r="U25" s="2136"/>
      <c r="W25" s="973">
        <v>23</v>
      </c>
      <c r="Z25" s="744"/>
      <c r="AA25" s="744"/>
      <c r="AB25" s="744"/>
      <c r="AC25" s="744"/>
      <c r="AD25" s="744"/>
      <c r="AE25" s="744"/>
      <c r="AF25" s="744"/>
      <c r="AG25" s="744"/>
      <c r="AH25" s="744"/>
      <c r="AN25" s="519"/>
      <c r="AO25" s="519"/>
      <c r="AP25" s="519"/>
      <c r="AQ25" s="519"/>
      <c r="AR25" s="519"/>
      <c r="AS25" s="519"/>
      <c r="AT25" s="519"/>
      <c r="AU25" s="519"/>
      <c r="AV25" s="519"/>
      <c r="AW25" s="519"/>
      <c r="AX25" s="519"/>
      <c r="AY25" s="519"/>
      <c r="AZ25" s="519"/>
      <c r="BA25" s="519"/>
      <c r="BB25" s="2111"/>
      <c r="BC25" s="2111"/>
      <c r="BD25" s="2127">
        <v>2.0299999999999998</v>
      </c>
      <c r="BE25" s="2127">
        <v>15.664999999999999</v>
      </c>
      <c r="CH25" s="2129" t="s">
        <v>405</v>
      </c>
      <c r="CI25" s="2133" t="s">
        <v>406</v>
      </c>
    </row>
    <row r="26" spans="1:87">
      <c r="H26" s="2136"/>
      <c r="K26" s="2131" t="s">
        <v>407</v>
      </c>
      <c r="M26" s="2136" t="s">
        <v>408</v>
      </c>
      <c r="Q26" s="2136"/>
      <c r="U26" s="2136"/>
      <c r="W26" s="973">
        <v>24</v>
      </c>
      <c r="AC26" s="744"/>
      <c r="AK26" s="2136"/>
      <c r="AN26" s="519"/>
      <c r="AO26" s="519"/>
      <c r="AP26" s="519"/>
      <c r="AQ26" s="519"/>
      <c r="AR26" s="519"/>
      <c r="AS26" s="519"/>
      <c r="AT26" s="519"/>
      <c r="AU26" s="519"/>
      <c r="AV26" s="519"/>
      <c r="AW26" s="519"/>
      <c r="AX26" s="519"/>
      <c r="AY26" s="519"/>
      <c r="AZ26" s="519"/>
      <c r="BA26" s="519"/>
      <c r="BB26" s="2111"/>
      <c r="BC26" s="2111"/>
      <c r="BD26" s="2127">
        <v>1.98</v>
      </c>
      <c r="BE26" s="2127">
        <v>16.54</v>
      </c>
      <c r="CH26" s="2129" t="s">
        <v>409</v>
      </c>
      <c r="CI26" s="2133" t="s">
        <v>410</v>
      </c>
    </row>
    <row r="27" spans="1:87">
      <c r="H27" s="519"/>
      <c r="K27" s="2131" t="s">
        <v>411</v>
      </c>
      <c r="M27" s="2136" t="s">
        <v>412</v>
      </c>
      <c r="T27" s="2142"/>
      <c r="V27" s="2142"/>
      <c r="W27" s="973">
        <v>25</v>
      </c>
      <c r="AC27" s="744"/>
      <c r="AK27" s="2136"/>
      <c r="AN27" s="2136"/>
      <c r="AO27" s="2136"/>
      <c r="AP27" s="2136"/>
      <c r="AQ27" s="2136"/>
      <c r="AR27" s="2136"/>
      <c r="AS27" s="2136"/>
      <c r="AT27" s="2136"/>
      <c r="AU27" s="2136"/>
      <c r="AV27" s="2136"/>
      <c r="AW27" s="2136"/>
      <c r="AX27" s="2136"/>
      <c r="AY27" s="2136"/>
      <c r="AZ27" s="2136"/>
      <c r="BA27" s="2136"/>
      <c r="BB27" s="2111"/>
      <c r="BC27" s="2111"/>
      <c r="BD27" s="2127">
        <v>1.93</v>
      </c>
      <c r="BE27" s="2127">
        <v>17.440000000000001</v>
      </c>
      <c r="CH27" s="2129" t="s">
        <v>413</v>
      </c>
      <c r="CI27" s="2133" t="s">
        <v>414</v>
      </c>
    </row>
    <row r="28" spans="1:87">
      <c r="H28" s="519"/>
      <c r="J28" s="972"/>
      <c r="K28" s="2131" t="s">
        <v>415</v>
      </c>
      <c r="L28" s="972"/>
      <c r="M28" s="2136" t="s">
        <v>416</v>
      </c>
      <c r="N28" s="972"/>
      <c r="O28" s="972"/>
      <c r="P28" s="972"/>
      <c r="R28" s="972"/>
      <c r="T28" s="2142"/>
      <c r="V28" s="2142"/>
      <c r="W28" s="973">
        <v>26</v>
      </c>
      <c r="AK28" s="2136"/>
      <c r="AN28" s="2136"/>
      <c r="AO28" s="2136"/>
      <c r="AP28" s="2136"/>
      <c r="AQ28" s="2136"/>
      <c r="AR28" s="2136"/>
      <c r="AS28" s="2136"/>
      <c r="AT28" s="2136"/>
      <c r="AU28" s="2136"/>
      <c r="AV28" s="2136"/>
      <c r="AW28" s="2136"/>
      <c r="AX28" s="2136"/>
      <c r="AY28" s="2136"/>
      <c r="AZ28" s="2136"/>
      <c r="BA28" s="2136"/>
      <c r="BB28" s="2111"/>
      <c r="BC28" s="2111"/>
      <c r="CH28" s="2129" t="s">
        <v>417</v>
      </c>
      <c r="CI28" s="2133" t="s">
        <v>418</v>
      </c>
    </row>
    <row r="29" spans="1:87">
      <c r="J29" s="972"/>
      <c r="K29" s="2131" t="s">
        <v>419</v>
      </c>
      <c r="L29" s="972"/>
      <c r="M29" s="2136" t="s">
        <v>420</v>
      </c>
      <c r="N29" s="972"/>
      <c r="O29" s="972"/>
      <c r="P29" s="972"/>
      <c r="Q29" s="972"/>
      <c r="R29" s="972"/>
      <c r="T29" s="2142"/>
      <c r="U29" s="2142"/>
      <c r="V29" s="2142"/>
      <c r="W29" s="973">
        <v>27</v>
      </c>
      <c r="AJ29" s="2136"/>
      <c r="AK29" s="2136"/>
      <c r="AN29" s="2136"/>
      <c r="AO29" s="2136"/>
      <c r="AP29" s="2136"/>
      <c r="AQ29" s="2136"/>
      <c r="AR29" s="2136"/>
      <c r="AS29" s="2136"/>
      <c r="AT29" s="2136"/>
      <c r="AU29" s="2136"/>
      <c r="AV29" s="2136"/>
      <c r="AW29" s="2136"/>
      <c r="AX29" s="2136"/>
      <c r="AY29" s="2136"/>
      <c r="AZ29" s="2136"/>
      <c r="BA29" s="2136"/>
      <c r="BB29" s="2111"/>
      <c r="BC29" s="2111"/>
      <c r="CH29" s="2129" t="s">
        <v>421</v>
      </c>
      <c r="CI29" s="2133" t="s">
        <v>422</v>
      </c>
    </row>
    <row r="30" spans="1:87">
      <c r="H30" s="519"/>
      <c r="J30" s="972"/>
      <c r="K30" s="2131" t="s">
        <v>423</v>
      </c>
      <c r="L30" s="972"/>
      <c r="M30" s="2136" t="s">
        <v>424</v>
      </c>
      <c r="N30" s="972"/>
      <c r="O30" s="972"/>
      <c r="P30" s="972"/>
      <c r="Q30" s="972"/>
      <c r="R30" s="972"/>
      <c r="T30" s="2143"/>
      <c r="U30" s="2142"/>
      <c r="V30" s="2143"/>
      <c r="W30" s="973">
        <v>28</v>
      </c>
      <c r="AJ30" s="2136"/>
      <c r="AK30" s="2136"/>
      <c r="AM30" s="2136"/>
      <c r="AN30" s="2136"/>
      <c r="AO30" s="2136"/>
      <c r="AP30" s="2136"/>
      <c r="AQ30" s="2136"/>
      <c r="AR30" s="2136"/>
      <c r="AS30" s="2136"/>
      <c r="AT30" s="2136"/>
      <c r="AU30" s="2136"/>
      <c r="AV30" s="2136"/>
      <c r="AW30" s="2136"/>
      <c r="AX30" s="2136"/>
      <c r="AY30" s="2136"/>
      <c r="AZ30" s="2136"/>
      <c r="BA30" s="2136"/>
      <c r="BB30" s="2111"/>
      <c r="BC30" s="2111"/>
      <c r="CH30" s="2129" t="s">
        <v>425</v>
      </c>
      <c r="CI30" s="2133" t="s">
        <v>426</v>
      </c>
    </row>
    <row r="31" spans="1:87">
      <c r="H31" s="519"/>
      <c r="J31" s="972"/>
      <c r="K31" s="2131" t="s">
        <v>427</v>
      </c>
      <c r="L31" s="972"/>
      <c r="M31" s="2136" t="s">
        <v>428</v>
      </c>
      <c r="N31" s="972"/>
      <c r="O31" s="972"/>
      <c r="P31" s="972"/>
      <c r="Q31" s="972"/>
      <c r="R31" s="972"/>
      <c r="U31" s="2142"/>
      <c r="W31" s="973">
        <v>29</v>
      </c>
      <c r="AJ31" s="2136"/>
      <c r="AK31" s="2136"/>
      <c r="AL31" s="2136"/>
      <c r="AM31" s="2136"/>
      <c r="AN31" s="2136"/>
      <c r="AO31" s="2136"/>
      <c r="AP31" s="2136"/>
      <c r="AQ31" s="2136"/>
      <c r="AR31" s="2136"/>
      <c r="AS31" s="2136"/>
      <c r="AT31" s="2136"/>
      <c r="AU31" s="2136"/>
      <c r="AV31" s="2136"/>
      <c r="AW31" s="2136"/>
      <c r="AX31" s="2136"/>
      <c r="AY31" s="2136"/>
      <c r="AZ31" s="2136"/>
      <c r="BA31" s="2136"/>
      <c r="BB31" s="2111"/>
      <c r="BC31" s="2111"/>
      <c r="CH31" s="2129" t="s">
        <v>429</v>
      </c>
      <c r="CI31" s="2133" t="s">
        <v>430</v>
      </c>
    </row>
    <row r="32" spans="1:87">
      <c r="J32" s="972"/>
      <c r="K32" s="2131" t="s">
        <v>431</v>
      </c>
      <c r="L32" s="972"/>
      <c r="M32" s="2136" t="s">
        <v>432</v>
      </c>
      <c r="N32" s="972"/>
      <c r="O32" s="972"/>
      <c r="P32" s="972"/>
      <c r="Q32" s="972"/>
      <c r="R32" s="972"/>
      <c r="U32" s="2143"/>
      <c r="W32" s="973">
        <v>30</v>
      </c>
      <c r="AJ32" s="2136"/>
      <c r="AK32" s="2136"/>
      <c r="AL32" s="2136"/>
      <c r="AM32" s="2136"/>
      <c r="AN32" s="2136"/>
      <c r="AO32" s="2136"/>
      <c r="AP32" s="2136"/>
      <c r="AQ32" s="2136"/>
      <c r="AR32" s="2136"/>
      <c r="AS32" s="2136"/>
      <c r="AT32" s="2136"/>
      <c r="AU32" s="2136"/>
      <c r="AV32" s="2136"/>
      <c r="AW32" s="2136"/>
      <c r="AX32" s="2136"/>
      <c r="AY32" s="2136"/>
      <c r="AZ32" s="2136"/>
      <c r="BA32" s="2136"/>
      <c r="BB32" s="2111"/>
      <c r="BC32" s="2111"/>
      <c r="CH32" s="2129" t="s">
        <v>433</v>
      </c>
      <c r="CI32" s="2141" t="s">
        <v>434</v>
      </c>
    </row>
    <row r="33" spans="8:87" ht="13.5" customHeight="1">
      <c r="J33" s="972"/>
      <c r="K33" s="2131" t="s">
        <v>435</v>
      </c>
      <c r="L33" s="972"/>
      <c r="M33" s="2136" t="s">
        <v>436</v>
      </c>
      <c r="N33" s="972"/>
      <c r="O33" s="972"/>
      <c r="P33" s="972"/>
      <c r="Q33" s="972"/>
      <c r="R33" s="972"/>
      <c r="T33" s="2144"/>
      <c r="V33" s="2144"/>
      <c r="W33" s="2144">
        <v>31</v>
      </c>
      <c r="AJ33" s="2136"/>
      <c r="AK33" s="2136"/>
      <c r="AL33" s="2136"/>
      <c r="AM33" s="2136"/>
      <c r="AN33" s="2136"/>
      <c r="AO33" s="2136"/>
      <c r="AP33" s="2136"/>
      <c r="AQ33" s="2136"/>
      <c r="AR33" s="2136"/>
      <c r="AS33" s="2136"/>
      <c r="AT33" s="2136"/>
      <c r="AU33" s="2136"/>
      <c r="AV33" s="2136"/>
      <c r="AW33" s="2136"/>
      <c r="AX33" s="2136"/>
      <c r="AY33" s="2136"/>
      <c r="AZ33" s="2136"/>
      <c r="BA33" s="2136"/>
      <c r="BB33" s="2136"/>
      <c r="BC33" s="2136"/>
      <c r="CH33" s="2129" t="s">
        <v>437</v>
      </c>
      <c r="CI33" s="2141" t="s">
        <v>438</v>
      </c>
    </row>
    <row r="34" spans="8:87" ht="13.5" customHeight="1">
      <c r="H34" s="970"/>
      <c r="J34" s="972"/>
      <c r="K34" s="2131" t="s">
        <v>439</v>
      </c>
      <c r="L34" s="972"/>
      <c r="M34" s="2136" t="s">
        <v>440</v>
      </c>
      <c r="N34" s="972"/>
      <c r="O34" s="972"/>
      <c r="P34" s="972"/>
      <c r="Q34" s="972"/>
      <c r="R34" s="972"/>
      <c r="T34" s="2142"/>
      <c r="V34" s="2142"/>
      <c r="W34" s="2142">
        <v>32</v>
      </c>
      <c r="AJ34" s="2136"/>
      <c r="AK34" s="2136"/>
      <c r="AL34" s="2136"/>
      <c r="AM34" s="2136"/>
      <c r="AN34" s="2136"/>
      <c r="AO34" s="2136"/>
      <c r="AP34" s="2136"/>
      <c r="AQ34" s="2136"/>
      <c r="AR34" s="2136"/>
      <c r="AS34" s="2136"/>
      <c r="AT34" s="2136"/>
      <c r="AU34" s="2136"/>
      <c r="AV34" s="2136"/>
      <c r="AW34" s="2136"/>
      <c r="AX34" s="2136"/>
      <c r="AY34" s="2136"/>
      <c r="AZ34" s="2136"/>
      <c r="BA34" s="2136"/>
      <c r="BB34" s="2136"/>
      <c r="BC34" s="2136"/>
      <c r="CH34" s="2129" t="s">
        <v>441</v>
      </c>
      <c r="CI34" s="2141" t="s">
        <v>442</v>
      </c>
    </row>
    <row r="35" spans="8:87">
      <c r="H35" s="970"/>
      <c r="J35" s="972"/>
      <c r="K35" s="2131" t="s">
        <v>443</v>
      </c>
      <c r="L35" s="972"/>
      <c r="M35" s="972"/>
      <c r="N35" s="972"/>
      <c r="O35" s="972"/>
      <c r="P35" s="972"/>
      <c r="Q35" s="972"/>
      <c r="R35" s="972"/>
      <c r="U35" s="2144"/>
      <c r="W35" s="2216">
        <v>33</v>
      </c>
      <c r="BO35" s="2105" t="s">
        <v>63</v>
      </c>
      <c r="CH35" s="2129" t="s">
        <v>444</v>
      </c>
      <c r="CI35" s="2133" t="s">
        <v>445</v>
      </c>
    </row>
    <row r="36" spans="8:87">
      <c r="H36" s="970"/>
      <c r="J36" s="972"/>
      <c r="K36" s="2131" t="s">
        <v>446</v>
      </c>
      <c r="L36" s="972"/>
      <c r="M36" s="972"/>
      <c r="N36" s="972"/>
      <c r="O36" s="972"/>
      <c r="P36" s="972"/>
      <c r="Q36" s="972"/>
      <c r="R36" s="972"/>
      <c r="U36" s="2142"/>
      <c r="W36" s="2216">
        <v>34</v>
      </c>
      <c r="BO36" s="1" t="s">
        <v>112</v>
      </c>
      <c r="CH36" s="2129" t="s">
        <v>447</v>
      </c>
      <c r="CI36" s="2133" t="s">
        <v>448</v>
      </c>
    </row>
    <row r="37" spans="8:87">
      <c r="H37" s="970"/>
      <c r="J37" s="972"/>
      <c r="K37" s="2131" t="s">
        <v>449</v>
      </c>
      <c r="L37" s="972"/>
      <c r="M37" s="972"/>
      <c r="N37" s="972"/>
      <c r="O37" s="972"/>
      <c r="P37" s="972"/>
      <c r="Q37" s="972"/>
      <c r="R37" s="972"/>
      <c r="T37" s="2145"/>
      <c r="V37" s="2145"/>
      <c r="W37" s="2217">
        <v>35</v>
      </c>
      <c r="BO37" s="1" t="s">
        <v>260</v>
      </c>
      <c r="CH37" s="2129" t="s">
        <v>450</v>
      </c>
      <c r="CI37" s="2133" t="s">
        <v>451</v>
      </c>
    </row>
    <row r="38" spans="8:87">
      <c r="H38" s="970"/>
      <c r="J38" s="972"/>
      <c r="K38" s="2131" t="s">
        <v>452</v>
      </c>
      <c r="L38" s="972"/>
      <c r="M38" s="972"/>
      <c r="N38" s="972"/>
      <c r="O38" s="972"/>
      <c r="P38" s="972"/>
      <c r="Q38" s="972"/>
      <c r="R38" s="972"/>
      <c r="T38" s="2137"/>
      <c r="V38" s="2137"/>
      <c r="W38" s="2217">
        <v>36</v>
      </c>
      <c r="AJ38" s="519"/>
      <c r="AK38" s="519"/>
      <c r="AL38" s="519"/>
      <c r="AM38" s="519"/>
      <c r="AN38" s="519"/>
      <c r="AO38" s="519"/>
      <c r="AP38" s="519"/>
      <c r="AQ38" s="519"/>
      <c r="AR38" s="519"/>
      <c r="AS38" s="519"/>
      <c r="AT38" s="519"/>
      <c r="AU38" s="519"/>
      <c r="AV38" s="519"/>
      <c r="AW38" s="519"/>
      <c r="AX38" s="519"/>
      <c r="AY38" s="519"/>
      <c r="AZ38" s="519"/>
      <c r="BA38" s="519"/>
      <c r="BB38" s="519"/>
      <c r="BC38" s="519"/>
      <c r="BO38" s="1" t="s">
        <v>122</v>
      </c>
      <c r="CH38" s="2129" t="s">
        <v>453</v>
      </c>
      <c r="CI38" s="2133" t="s">
        <v>454</v>
      </c>
    </row>
    <row r="39" spans="8:87">
      <c r="H39" s="970"/>
      <c r="J39" s="972"/>
      <c r="K39" s="2131" t="s">
        <v>455</v>
      </c>
      <c r="L39" s="972"/>
      <c r="M39" s="972"/>
      <c r="N39" s="972"/>
      <c r="O39" s="972"/>
      <c r="P39" s="972"/>
      <c r="Q39" s="972"/>
      <c r="R39" s="972"/>
      <c r="U39" s="2145"/>
      <c r="W39" s="2216">
        <v>37</v>
      </c>
      <c r="AI39" s="519"/>
      <c r="AJ39" s="519"/>
      <c r="AK39" s="519"/>
      <c r="AL39" s="519"/>
      <c r="AM39" s="519"/>
      <c r="AN39" s="519"/>
      <c r="AO39" s="519"/>
      <c r="AP39" s="519"/>
      <c r="AQ39" s="519"/>
      <c r="AR39" s="519"/>
      <c r="AS39" s="519"/>
      <c r="AT39" s="519"/>
      <c r="AU39" s="519"/>
      <c r="AV39" s="519"/>
      <c r="AW39" s="519"/>
      <c r="AX39" s="519"/>
      <c r="AY39" s="519"/>
      <c r="AZ39" s="519"/>
      <c r="BA39" s="519"/>
      <c r="BB39" s="519"/>
      <c r="BC39" s="519"/>
      <c r="BO39" s="1" t="s">
        <v>456</v>
      </c>
      <c r="CH39" s="2129" t="s">
        <v>457</v>
      </c>
      <c r="CI39" s="2133" t="s">
        <v>458</v>
      </c>
    </row>
    <row r="40" spans="8:87">
      <c r="J40" s="972"/>
      <c r="K40" s="2131" t="s">
        <v>459</v>
      </c>
      <c r="L40" s="972"/>
      <c r="M40" s="972"/>
      <c r="N40" s="972"/>
      <c r="O40" s="972"/>
      <c r="P40" s="972"/>
      <c r="Q40" s="972"/>
      <c r="R40" s="972"/>
      <c r="U40" s="2137"/>
      <c r="W40" s="2216">
        <v>38</v>
      </c>
      <c r="AI40" s="519"/>
      <c r="AJ40" s="519"/>
      <c r="AK40" s="519"/>
      <c r="AL40" s="519"/>
      <c r="AM40" s="519"/>
      <c r="AN40" s="519"/>
      <c r="AO40" s="519"/>
      <c r="AP40" s="519"/>
      <c r="AQ40" s="519"/>
      <c r="AR40" s="519"/>
      <c r="AS40" s="519"/>
      <c r="AT40" s="519"/>
      <c r="AU40" s="519"/>
      <c r="AV40" s="519"/>
      <c r="AW40" s="519"/>
      <c r="AX40" s="519"/>
      <c r="AY40" s="519"/>
      <c r="AZ40" s="519"/>
      <c r="BA40" s="519"/>
      <c r="BB40" s="519"/>
      <c r="BC40" s="519"/>
      <c r="BL40" s="2100" t="s">
        <v>77</v>
      </c>
      <c r="BN40" s="2100" t="s">
        <v>460</v>
      </c>
      <c r="BO40" s="1" t="s">
        <v>456</v>
      </c>
      <c r="CH40" s="2129" t="s">
        <v>461</v>
      </c>
      <c r="CI40" s="2133" t="s">
        <v>462</v>
      </c>
    </row>
    <row r="41" spans="8:87">
      <c r="K41" s="2131" t="s">
        <v>463</v>
      </c>
      <c r="Q41" s="972"/>
      <c r="T41" s="972"/>
      <c r="V41" s="972"/>
      <c r="W41" s="2216">
        <v>39</v>
      </c>
      <c r="AI41" s="519"/>
      <c r="AJ41" s="519"/>
      <c r="AK41" s="519"/>
      <c r="AL41" s="519"/>
      <c r="AM41" s="519"/>
      <c r="AN41" s="519"/>
      <c r="AO41" s="519"/>
      <c r="AP41" s="519"/>
      <c r="AQ41" s="519"/>
      <c r="AR41" s="519"/>
      <c r="AS41" s="519"/>
      <c r="AT41" s="519"/>
      <c r="AU41" s="519"/>
      <c r="AV41" s="519"/>
      <c r="AW41" s="519"/>
      <c r="AX41" s="519"/>
      <c r="AY41" s="519"/>
      <c r="AZ41" s="519"/>
      <c r="BA41" s="519"/>
      <c r="BB41" s="519"/>
      <c r="BC41" s="519"/>
      <c r="BL41" s="519" t="s">
        <v>131</v>
      </c>
      <c r="BN41" s="519" t="s">
        <v>110</v>
      </c>
      <c r="BO41" s="1" t="s">
        <v>456</v>
      </c>
      <c r="CH41" s="2129" t="s">
        <v>464</v>
      </c>
      <c r="CI41" s="2133" t="s">
        <v>465</v>
      </c>
    </row>
    <row r="42" spans="8:87">
      <c r="H42" s="2146"/>
      <c r="K42" s="2131" t="s">
        <v>466</v>
      </c>
      <c r="T42" s="972"/>
      <c r="V42" s="972"/>
      <c r="W42" s="2216">
        <v>40</v>
      </c>
      <c r="AI42" s="519"/>
      <c r="AJ42" s="519"/>
      <c r="AK42" s="519"/>
      <c r="AL42" s="519"/>
      <c r="AM42" s="519"/>
      <c r="AN42" s="519"/>
      <c r="AO42" s="519"/>
      <c r="AP42" s="519"/>
      <c r="AQ42" s="519"/>
      <c r="AR42" s="519"/>
      <c r="AS42" s="519"/>
      <c r="AT42" s="519"/>
      <c r="AU42" s="519"/>
      <c r="AV42" s="519"/>
      <c r="AW42" s="519"/>
      <c r="AX42" s="519"/>
      <c r="AY42" s="519"/>
      <c r="AZ42" s="519"/>
      <c r="BA42" s="519"/>
      <c r="BB42" s="519"/>
      <c r="BC42" s="519"/>
      <c r="BL42" s="519" t="s">
        <v>467</v>
      </c>
      <c r="BN42" s="519" t="s">
        <v>124</v>
      </c>
      <c r="CH42" s="2129" t="s">
        <v>468</v>
      </c>
      <c r="CI42" s="519"/>
    </row>
    <row r="43" spans="8:87">
      <c r="H43" s="519"/>
      <c r="U43" s="972"/>
      <c r="W43" s="2216"/>
      <c r="BL43" s="519" t="s">
        <v>469</v>
      </c>
      <c r="CH43" s="2129" t="s">
        <v>470</v>
      </c>
      <c r="CI43" s="519"/>
    </row>
    <row r="44" spans="8:87">
      <c r="H44" s="2146"/>
      <c r="J44" s="2146"/>
      <c r="K44" s="2146"/>
      <c r="L44" s="2146"/>
      <c r="M44" s="2146"/>
      <c r="N44" s="2146"/>
      <c r="O44" s="2146"/>
      <c r="P44" s="2146"/>
      <c r="R44" s="2146"/>
      <c r="U44" s="972"/>
      <c r="BL44" s="519" t="s">
        <v>471</v>
      </c>
      <c r="CH44" s="2129" t="s">
        <v>472</v>
      </c>
      <c r="CI44" s="519"/>
    </row>
    <row r="45" spans="8:87">
      <c r="J45" s="2146"/>
      <c r="K45" s="2146"/>
      <c r="L45" s="2146"/>
      <c r="M45" s="2146"/>
      <c r="N45" s="2146"/>
      <c r="O45" s="2146"/>
      <c r="P45" s="2146"/>
      <c r="Q45" s="2146"/>
      <c r="R45" s="2146"/>
      <c r="T45" s="2146"/>
      <c r="V45" s="2146"/>
      <c r="W45" s="2146"/>
      <c r="CH45" s="2129" t="s">
        <v>473</v>
      </c>
      <c r="CI45" s="519"/>
    </row>
    <row r="46" spans="8:87">
      <c r="J46" s="2146"/>
      <c r="K46" s="2146"/>
      <c r="L46" s="2146"/>
      <c r="M46" s="2146"/>
      <c r="N46" s="2146"/>
      <c r="O46" s="2146"/>
      <c r="P46" s="2146"/>
      <c r="Q46" s="2146"/>
      <c r="R46" s="2146"/>
      <c r="T46" s="2146"/>
      <c r="V46" s="2146"/>
      <c r="W46" s="2146"/>
      <c r="CH46" s="2129" t="s">
        <v>474</v>
      </c>
      <c r="CI46" s="519"/>
    </row>
    <row r="47" spans="8:87">
      <c r="J47" s="2146"/>
      <c r="K47" s="2146"/>
      <c r="L47" s="2146"/>
      <c r="M47" s="2146"/>
      <c r="N47" s="2146"/>
      <c r="O47" s="2146"/>
      <c r="P47" s="2146"/>
      <c r="Q47" s="2146"/>
      <c r="R47" s="2146"/>
      <c r="T47" s="2146"/>
      <c r="U47" s="2146"/>
      <c r="V47" s="2146"/>
      <c r="W47" s="2146"/>
      <c r="BF47" s="2131"/>
      <c r="BI47" s="519"/>
    </row>
    <row r="48" spans="8:87">
      <c r="H48" s="519"/>
      <c r="Q48" s="2146"/>
      <c r="U48" s="2146"/>
    </row>
    <row r="49" spans="8:55">
      <c r="H49" s="519"/>
      <c r="S49" s="519"/>
      <c r="T49" s="519"/>
      <c r="U49" s="2146"/>
      <c r="V49" s="519"/>
      <c r="W49" s="519"/>
    </row>
    <row r="50" spans="8:55">
      <c r="H50" s="519"/>
      <c r="J50" s="2146"/>
      <c r="K50" s="2146"/>
      <c r="L50" s="2146"/>
      <c r="M50" s="2146"/>
      <c r="N50" s="2146"/>
      <c r="O50" s="2146"/>
      <c r="P50" s="2146"/>
      <c r="R50" s="2146"/>
    </row>
    <row r="51" spans="8:55">
      <c r="J51" s="2146"/>
      <c r="K51" s="2146"/>
      <c r="L51" s="2146"/>
      <c r="M51" s="2146"/>
      <c r="N51" s="2146"/>
      <c r="O51" s="2146"/>
      <c r="P51" s="2146"/>
      <c r="Q51" s="2146"/>
      <c r="R51" s="2146"/>
      <c r="T51" s="519"/>
      <c r="U51" s="519"/>
      <c r="V51" s="519"/>
      <c r="W51" s="519"/>
    </row>
    <row r="52" spans="8:55">
      <c r="H52" s="579"/>
      <c r="Q52" s="2146"/>
      <c r="T52" s="519"/>
      <c r="V52" s="519"/>
      <c r="W52" s="519"/>
    </row>
    <row r="53" spans="8:55">
      <c r="H53" s="519"/>
      <c r="T53" s="519"/>
      <c r="U53" s="519"/>
      <c r="V53" s="519"/>
      <c r="W53" s="519"/>
    </row>
    <row r="54" spans="8:55">
      <c r="H54" s="519"/>
      <c r="T54" s="519"/>
      <c r="U54" s="519"/>
      <c r="V54" s="519"/>
      <c r="W54" s="519"/>
    </row>
    <row r="55" spans="8:55">
      <c r="H55" s="519"/>
      <c r="T55" s="519"/>
      <c r="U55" s="519"/>
      <c r="V55" s="519"/>
      <c r="W55" s="519"/>
    </row>
    <row r="56" spans="8:55">
      <c r="H56" s="519"/>
      <c r="T56" s="519"/>
      <c r="U56" s="519"/>
      <c r="V56" s="519"/>
      <c r="W56" s="519"/>
    </row>
    <row r="57" spans="8:55">
      <c r="T57" s="519"/>
      <c r="U57" s="519"/>
      <c r="V57" s="519"/>
      <c r="W57" s="519"/>
    </row>
    <row r="58" spans="8:55">
      <c r="T58" s="519"/>
      <c r="U58" s="519"/>
      <c r="V58" s="519"/>
      <c r="W58" s="519"/>
    </row>
    <row r="59" spans="8:55">
      <c r="H59" s="579"/>
      <c r="T59" s="519"/>
      <c r="U59" s="519"/>
      <c r="V59" s="519"/>
      <c r="W59" s="519"/>
    </row>
    <row r="60" spans="8:55">
      <c r="H60" s="519"/>
      <c r="T60" s="519"/>
      <c r="U60" s="519"/>
      <c r="V60" s="519"/>
      <c r="W60" s="519"/>
    </row>
    <row r="61" spans="8:55">
      <c r="H61" s="519"/>
      <c r="U61" s="519"/>
    </row>
    <row r="62" spans="8:55">
      <c r="U62" s="519"/>
      <c r="AI62" s="744"/>
      <c r="AJ62" s="744"/>
      <c r="AK62" s="744"/>
      <c r="AL62" s="744"/>
      <c r="AM62" s="744"/>
      <c r="AN62" s="744"/>
      <c r="AO62" s="744"/>
      <c r="AP62" s="744"/>
      <c r="AQ62" s="744"/>
      <c r="AR62" s="744"/>
      <c r="AS62" s="744"/>
      <c r="AT62" s="744"/>
      <c r="AU62" s="744"/>
      <c r="AV62" s="744"/>
      <c r="AW62" s="744"/>
      <c r="AX62" s="744"/>
      <c r="AY62" s="744"/>
      <c r="AZ62" s="744"/>
      <c r="BA62" s="744"/>
      <c r="BB62" s="744"/>
      <c r="BC62" s="744"/>
    </row>
    <row r="63" spans="8:55">
      <c r="T63" s="2136"/>
      <c r="V63" s="2136"/>
      <c r="W63" s="2136"/>
      <c r="AI63" s="744"/>
      <c r="AJ63" s="744"/>
      <c r="AK63" s="744"/>
      <c r="AL63" s="744"/>
      <c r="AM63" s="744"/>
      <c r="AN63" s="744"/>
      <c r="AO63" s="744"/>
      <c r="AP63" s="744"/>
      <c r="AQ63" s="744"/>
      <c r="AR63" s="744"/>
      <c r="AS63" s="744"/>
      <c r="AT63" s="744"/>
      <c r="AU63" s="744"/>
      <c r="AV63" s="744"/>
      <c r="AW63" s="744"/>
      <c r="AX63" s="744"/>
      <c r="AY63" s="744"/>
      <c r="AZ63" s="744"/>
      <c r="BA63" s="744"/>
      <c r="BB63" s="744"/>
      <c r="BC63" s="744"/>
    </row>
    <row r="64" spans="8:55">
      <c r="T64" s="2136"/>
      <c r="V64" s="2136"/>
      <c r="W64" s="2136"/>
      <c r="AI64" s="744"/>
      <c r="AJ64" s="744"/>
      <c r="AK64" s="744"/>
      <c r="AL64" s="744"/>
      <c r="AM64" s="744"/>
      <c r="AN64" s="744"/>
      <c r="AO64" s="744"/>
      <c r="AP64" s="744"/>
      <c r="AQ64" s="744"/>
      <c r="AR64" s="744"/>
      <c r="AS64" s="744"/>
      <c r="AT64" s="744"/>
      <c r="AU64" s="744"/>
      <c r="AV64" s="744"/>
      <c r="AW64" s="744"/>
      <c r="AX64" s="744"/>
      <c r="AY64" s="744"/>
      <c r="AZ64" s="744"/>
      <c r="BA64" s="744"/>
      <c r="BB64" s="744"/>
      <c r="BC64" s="744"/>
    </row>
    <row r="65" spans="20:56">
      <c r="T65" s="2136"/>
      <c r="U65" s="2136"/>
      <c r="V65" s="2136"/>
      <c r="W65" s="2136"/>
      <c r="AI65" s="744"/>
      <c r="AJ65" s="744"/>
      <c r="AK65" s="744"/>
      <c r="AL65" s="744"/>
      <c r="AM65" s="744"/>
      <c r="AN65" s="744"/>
      <c r="AO65" s="744"/>
      <c r="AP65" s="744"/>
      <c r="AQ65" s="744"/>
      <c r="AR65" s="744"/>
      <c r="AS65" s="744"/>
      <c r="AT65" s="744"/>
      <c r="AU65" s="744"/>
      <c r="AV65" s="744"/>
      <c r="AW65" s="744"/>
      <c r="AX65" s="744"/>
      <c r="AY65" s="744"/>
      <c r="AZ65" s="744"/>
      <c r="BA65" s="744"/>
      <c r="BB65" s="744"/>
      <c r="BC65" s="744"/>
    </row>
    <row r="66" spans="20:56">
      <c r="T66" s="2136"/>
      <c r="U66" s="2136"/>
      <c r="V66" s="2136"/>
      <c r="W66" s="2136"/>
      <c r="AI66" s="744"/>
      <c r="AJ66" s="744"/>
      <c r="AK66" s="744"/>
      <c r="AL66" s="744"/>
      <c r="AM66" s="744"/>
      <c r="AN66" s="744"/>
      <c r="AO66" s="744"/>
      <c r="AP66" s="744"/>
      <c r="AQ66" s="744"/>
      <c r="AR66" s="744"/>
      <c r="AS66" s="744"/>
      <c r="AT66" s="744"/>
      <c r="AU66" s="744"/>
      <c r="AV66" s="744"/>
      <c r="AW66" s="744"/>
      <c r="AX66" s="744"/>
      <c r="AY66" s="744"/>
      <c r="AZ66" s="744"/>
      <c r="BA66" s="744"/>
      <c r="BB66" s="744"/>
      <c r="BC66" s="744"/>
    </row>
    <row r="67" spans="20:56">
      <c r="T67" s="2136"/>
      <c r="U67" s="2136"/>
      <c r="V67" s="2136"/>
      <c r="W67" s="2136"/>
    </row>
    <row r="68" spans="20:56">
      <c r="T68" s="2136"/>
      <c r="U68" s="2136"/>
      <c r="V68" s="2136"/>
      <c r="W68" s="2136"/>
      <c r="BD68" s="2105"/>
    </row>
    <row r="69" spans="20:56">
      <c r="U69" s="2136"/>
    </row>
    <row r="70" spans="20:56">
      <c r="U70" s="2136"/>
    </row>
    <row r="78" spans="20:56">
      <c r="AI78" s="744"/>
      <c r="AJ78" s="744"/>
      <c r="AK78" s="744"/>
      <c r="AL78" s="744"/>
      <c r="AM78" s="744"/>
      <c r="AN78" s="744"/>
      <c r="AO78" s="744"/>
      <c r="AP78" s="744"/>
      <c r="AQ78" s="744"/>
      <c r="AR78" s="744"/>
      <c r="AS78" s="744"/>
      <c r="AT78" s="744"/>
      <c r="AU78" s="744"/>
      <c r="AV78" s="744"/>
      <c r="AW78" s="744"/>
      <c r="AX78" s="744"/>
      <c r="AY78" s="744"/>
      <c r="AZ78" s="744"/>
      <c r="BA78" s="744"/>
      <c r="BB78" s="744"/>
      <c r="BC78" s="744"/>
    </row>
    <row r="79" spans="20:56">
      <c r="AI79" s="744"/>
      <c r="AJ79" s="744"/>
      <c r="AK79" s="744"/>
      <c r="AL79" s="744"/>
      <c r="AM79" s="744"/>
      <c r="AN79" s="744"/>
      <c r="AO79" s="744"/>
      <c r="AP79" s="744"/>
      <c r="AQ79" s="744"/>
      <c r="AR79" s="744"/>
      <c r="AS79" s="744"/>
      <c r="AT79" s="744"/>
      <c r="AU79" s="744"/>
      <c r="AV79" s="744"/>
      <c r="AW79" s="744"/>
      <c r="AX79" s="744"/>
      <c r="AY79" s="744"/>
      <c r="AZ79" s="744"/>
      <c r="BA79" s="744"/>
      <c r="BB79" s="744"/>
      <c r="BC79" s="744"/>
    </row>
    <row r="80" spans="20:56">
      <c r="AI80" s="744"/>
      <c r="AJ80" s="744"/>
      <c r="AK80" s="744"/>
      <c r="AL80" s="744"/>
      <c r="AM80" s="744"/>
      <c r="AN80" s="744"/>
      <c r="AO80" s="744"/>
      <c r="AP80" s="744"/>
      <c r="AQ80" s="744"/>
      <c r="AR80" s="744"/>
      <c r="AS80" s="744"/>
      <c r="AT80" s="744"/>
      <c r="AU80" s="744"/>
      <c r="AV80" s="744"/>
      <c r="AW80" s="744"/>
      <c r="AX80" s="744"/>
      <c r="AY80" s="744"/>
      <c r="AZ80" s="744"/>
      <c r="BA80" s="744"/>
      <c r="BB80" s="744"/>
      <c r="BC80" s="744"/>
    </row>
    <row r="81" spans="24:55">
      <c r="AI81" s="744"/>
      <c r="AJ81" s="744"/>
      <c r="AK81" s="744"/>
      <c r="AL81" s="744"/>
      <c r="AM81" s="744"/>
      <c r="AN81" s="744"/>
      <c r="AO81" s="744"/>
      <c r="AP81" s="744"/>
      <c r="AQ81" s="744"/>
      <c r="AR81" s="744"/>
      <c r="AS81" s="744"/>
      <c r="AT81" s="744"/>
      <c r="AU81" s="744"/>
      <c r="AV81" s="744"/>
      <c r="AW81" s="744"/>
      <c r="AX81" s="744"/>
      <c r="AY81" s="744"/>
      <c r="AZ81" s="744"/>
      <c r="BA81" s="744"/>
      <c r="BB81" s="744"/>
      <c r="BC81" s="744"/>
    </row>
    <row r="82" spans="24:55">
      <c r="AI82" s="744"/>
      <c r="AJ82" s="744"/>
      <c r="AK82" s="744"/>
      <c r="AL82" s="744"/>
      <c r="AM82" s="744"/>
      <c r="AN82" s="744"/>
      <c r="AO82" s="744"/>
      <c r="AP82" s="744"/>
      <c r="AQ82" s="744"/>
      <c r="AR82" s="744"/>
      <c r="AS82" s="744"/>
      <c r="AT82" s="744"/>
      <c r="AU82" s="744"/>
      <c r="AV82" s="744"/>
      <c r="AW82" s="744"/>
      <c r="AX82" s="744"/>
      <c r="AY82" s="744"/>
      <c r="AZ82" s="744"/>
      <c r="BA82" s="744"/>
      <c r="BB82" s="744"/>
      <c r="BC82" s="744"/>
    </row>
    <row r="83" spans="24:55">
      <c r="AI83" s="744"/>
      <c r="AJ83" s="744"/>
      <c r="AK83" s="744"/>
      <c r="AL83" s="744"/>
      <c r="AM83" s="744"/>
      <c r="AN83" s="744"/>
      <c r="AO83" s="744"/>
      <c r="AP83" s="744"/>
      <c r="AQ83" s="744"/>
      <c r="AR83" s="744"/>
      <c r="AS83" s="744"/>
      <c r="AT83" s="744"/>
      <c r="AU83" s="744"/>
      <c r="AV83" s="744"/>
      <c r="AW83" s="744"/>
      <c r="AX83" s="744"/>
      <c r="AY83" s="744"/>
      <c r="AZ83" s="744"/>
      <c r="BA83" s="744"/>
      <c r="BB83" s="744"/>
      <c r="BC83" s="744"/>
    </row>
    <row r="96" spans="24:55">
      <c r="X96" s="81"/>
    </row>
  </sheetData>
  <customSheetViews>
    <customSheetView guid="{D1431318-1DB8-4C45-813B-5A8065DFC797}" fitToPage="1" topLeftCell="C1">
      <selection activeCell="J41" sqref="J41"/>
      <pageMargins left="0" right="0" top="0" bottom="0" header="0" footer="0"/>
      <pageSetup scale="76" fitToWidth="3" orientation="portrait" horizontalDpi="1200" verticalDpi="1200" r:id="rId1"/>
    </customSheetView>
  </customSheetViews>
  <pageMargins left="0.7" right="0.7" top="0.75" bottom="0.75" header="0.3" footer="0.3"/>
  <pageSetup scale="32" fitToWidth="3" orientation="portrait" horizontalDpi="1200" verticalDpi="12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B903B-1A21-44DB-8772-22DE4A0EC419}">
  <sheetPr>
    <tabColor rgb="FFFF6600"/>
    <pageSetUpPr fitToPage="1"/>
  </sheetPr>
  <dimension ref="A1:AS314"/>
  <sheetViews>
    <sheetView view="pageBreakPreview" zoomScaleNormal="100" zoomScaleSheetLayoutView="100" workbookViewId="0">
      <selection activeCell="C4" sqref="C4:E4"/>
    </sheetView>
  </sheetViews>
  <sheetFormatPr defaultColWidth="9.140625" defaultRowHeight="15"/>
  <cols>
    <col min="1" max="1" width="10.42578125" style="613" customWidth="1"/>
    <col min="2" max="2" width="11.42578125" style="613" customWidth="1"/>
    <col min="3" max="3" width="7.85546875" style="613" customWidth="1"/>
    <col min="4" max="7" width="7.42578125" style="613" customWidth="1"/>
    <col min="8" max="8" width="14" style="613" customWidth="1"/>
    <col min="9" max="9" width="11.140625" style="613" customWidth="1"/>
    <col min="10" max="10" width="11.42578125" style="613" customWidth="1"/>
    <col min="11" max="11" width="14.7109375" style="613" customWidth="1"/>
    <col min="12" max="12" width="12.7109375" style="613" customWidth="1"/>
    <col min="13" max="13" width="9.140625" style="613"/>
    <col min="14" max="14" width="13.140625" style="614" customWidth="1"/>
    <col min="15" max="15" width="7.85546875" style="614" customWidth="1"/>
    <col min="16" max="27" width="9.140625" style="614"/>
    <col min="28" max="16384" width="9.140625" style="613"/>
  </cols>
  <sheetData>
    <row r="1" spans="1:45" ht="45.75" customHeight="1" thickBot="1">
      <c r="B1" s="1623"/>
      <c r="C1" s="2503" t="s">
        <v>682</v>
      </c>
      <c r="D1" s="2503"/>
      <c r="E1" s="2503"/>
      <c r="F1" s="2503"/>
      <c r="G1" s="2503"/>
      <c r="H1" s="2503"/>
      <c r="I1" s="1139" t="s">
        <v>551</v>
      </c>
      <c r="J1" s="2504" t="str">
        <f>IF(ISBLANK(Prelim!S5)," ",Prelim!S5)</f>
        <v xml:space="preserve"> </v>
      </c>
      <c r="K1" s="2504"/>
      <c r="L1" s="2504" t="str">
        <f>'Drop-Down Lists'!A2</f>
        <v>v 05.01.2026</v>
      </c>
      <c r="M1" s="2504"/>
      <c r="AB1" s="615"/>
      <c r="AC1" s="615"/>
      <c r="AD1" s="615"/>
      <c r="AE1" s="615"/>
      <c r="AF1" s="615"/>
      <c r="AG1" s="615"/>
      <c r="AH1" s="615"/>
      <c r="AI1" s="615"/>
      <c r="AJ1" s="615"/>
      <c r="AK1" s="615"/>
      <c r="AL1" s="615"/>
      <c r="AM1" s="615"/>
      <c r="AN1" s="615"/>
      <c r="AO1" s="615"/>
      <c r="AP1" s="615"/>
      <c r="AQ1" s="615"/>
      <c r="AR1" s="615"/>
      <c r="AS1" s="615"/>
    </row>
    <row r="2" spans="1:45" ht="18" customHeight="1">
      <c r="A2" s="1188" t="s">
        <v>683</v>
      </c>
      <c r="B2" s="2617" t="str">
        <f>IF(ISBLANK(Prelim!G3),"  ", Prelim!G3)</f>
        <v xml:space="preserve">  </v>
      </c>
      <c r="C2" s="2617"/>
      <c r="D2" s="2617"/>
      <c r="E2" s="2617"/>
      <c r="F2" s="2617"/>
      <c r="G2" s="2617"/>
      <c r="H2" s="2506" t="s">
        <v>684</v>
      </c>
      <c r="I2" s="2507"/>
      <c r="J2" s="2618" t="str">
        <f>IF(ISBLANK(Prelim!G5), " ", Prelim!G5)</f>
        <v xml:space="preserve"> </v>
      </c>
      <c r="K2" s="2618"/>
      <c r="L2" s="2618"/>
      <c r="M2" s="2619"/>
      <c r="O2" s="2556" t="s">
        <v>707</v>
      </c>
      <c r="P2" s="2557"/>
      <c r="Q2" s="2557"/>
      <c r="R2" s="2557"/>
      <c r="S2" s="2557"/>
      <c r="T2" s="2557"/>
      <c r="U2" s="1471"/>
      <c r="V2" s="1471"/>
      <c r="W2" s="1472"/>
      <c r="AB2" s="615"/>
      <c r="AC2" s="615"/>
      <c r="AD2" s="615"/>
      <c r="AE2" s="615"/>
      <c r="AF2" s="615"/>
      <c r="AG2" s="615"/>
      <c r="AH2" s="615"/>
      <c r="AI2" s="615"/>
      <c r="AJ2" s="615"/>
      <c r="AK2" s="615"/>
      <c r="AL2" s="615"/>
      <c r="AM2" s="615"/>
      <c r="AN2" s="615"/>
      <c r="AO2" s="615"/>
      <c r="AP2" s="615"/>
      <c r="AQ2" s="615"/>
      <c r="AR2" s="615"/>
      <c r="AS2" s="615"/>
    </row>
    <row r="3" spans="1:45" ht="20.100000000000001" customHeight="1">
      <c r="A3" s="1140" t="s">
        <v>685</v>
      </c>
      <c r="M3" s="1141"/>
      <c r="O3" s="627" t="s">
        <v>708</v>
      </c>
      <c r="P3" s="1226"/>
      <c r="Q3" s="1226"/>
      <c r="R3" s="1238"/>
      <c r="S3" s="1238"/>
      <c r="T3" s="1238"/>
      <c r="W3" s="1473"/>
      <c r="AB3" s="615"/>
      <c r="AC3" s="615"/>
      <c r="AD3" s="615"/>
      <c r="AE3" s="615"/>
      <c r="AF3" s="615"/>
      <c r="AG3" s="615"/>
      <c r="AH3" s="615"/>
      <c r="AI3" s="615"/>
      <c r="AJ3" s="615"/>
      <c r="AK3" s="615"/>
      <c r="AL3" s="615"/>
      <c r="AM3" s="615"/>
      <c r="AN3" s="615"/>
      <c r="AO3" s="615"/>
      <c r="AP3" s="615"/>
      <c r="AQ3" s="615"/>
      <c r="AR3" s="615"/>
      <c r="AS3" s="615"/>
    </row>
    <row r="4" spans="1:45" ht="19.5" customHeight="1">
      <c r="A4" s="2517" t="s">
        <v>686</v>
      </c>
      <c r="B4" s="2518"/>
      <c r="C4" s="2519"/>
      <c r="D4" s="2519"/>
      <c r="E4" s="2520"/>
      <c r="F4" s="1142" t="s">
        <v>687</v>
      </c>
      <c r="G4" s="1143"/>
      <c r="H4" s="1624" t="s">
        <v>650</v>
      </c>
      <c r="I4" s="2510"/>
      <c r="J4" s="2511"/>
      <c r="K4" s="2612" t="s">
        <v>688</v>
      </c>
      <c r="L4" s="2612"/>
      <c r="M4" s="1219"/>
      <c r="O4" s="627" t="s">
        <v>709</v>
      </c>
      <c r="P4" s="1226"/>
      <c r="Q4" s="1226"/>
      <c r="R4" s="1238"/>
      <c r="S4" s="1238"/>
      <c r="T4" s="1238"/>
      <c r="W4" s="1473"/>
      <c r="AB4" s="615"/>
      <c r="AC4" s="615"/>
      <c r="AD4" s="615"/>
      <c r="AE4" s="615"/>
      <c r="AF4" s="615"/>
      <c r="AG4" s="615"/>
      <c r="AH4" s="615"/>
      <c r="AI4" s="615"/>
      <c r="AJ4" s="615"/>
      <c r="AK4" s="615"/>
      <c r="AL4" s="615"/>
      <c r="AM4" s="615"/>
      <c r="AN4" s="615"/>
      <c r="AO4" s="615"/>
      <c r="AP4" s="615"/>
      <c r="AQ4" s="615"/>
      <c r="AR4" s="615"/>
      <c r="AS4" s="615"/>
    </row>
    <row r="5" spans="1:45" ht="19.5" customHeight="1">
      <c r="A5" s="1218" t="s">
        <v>689</v>
      </c>
      <c r="B5" s="2510"/>
      <c r="C5" s="2510"/>
      <c r="D5" s="2511"/>
      <c r="E5" s="2512" t="s">
        <v>690</v>
      </c>
      <c r="F5" s="2513"/>
      <c r="G5" s="2513"/>
      <c r="H5" s="2615" t="str">
        <f>IF(ISBLANK(Prelim!G84)," ",Prelim!G84)</f>
        <v xml:space="preserve"> </v>
      </c>
      <c r="I5" s="2616"/>
      <c r="J5" s="2613" t="s">
        <v>691</v>
      </c>
      <c r="K5" s="2614"/>
      <c r="L5" s="2614"/>
      <c r="M5" s="2210"/>
      <c r="O5" s="627" t="s">
        <v>710</v>
      </c>
      <c r="P5" s="1226"/>
      <c r="Q5" s="1226"/>
      <c r="R5" s="1238"/>
      <c r="S5" s="1238"/>
      <c r="T5" s="1238"/>
      <c r="W5" s="1473"/>
      <c r="Y5" s="615"/>
      <c r="Z5" s="615"/>
      <c r="AA5" s="615"/>
      <c r="AB5" s="615"/>
      <c r="AC5" s="615"/>
      <c r="AD5" s="615"/>
      <c r="AE5" s="615"/>
      <c r="AF5" s="615"/>
      <c r="AG5" s="615"/>
      <c r="AH5" s="615"/>
      <c r="AI5" s="615"/>
      <c r="AJ5" s="615"/>
      <c r="AK5" s="615"/>
      <c r="AL5" s="615"/>
      <c r="AM5" s="615"/>
      <c r="AN5" s="615"/>
      <c r="AO5" s="615"/>
      <c r="AP5" s="615"/>
      <c r="AQ5" s="615"/>
      <c r="AR5" s="615"/>
      <c r="AS5" s="615"/>
    </row>
    <row r="6" spans="1:45" ht="19.5" customHeight="1">
      <c r="A6" s="2517" t="s">
        <v>692</v>
      </c>
      <c r="B6" s="2518"/>
      <c r="C6" s="2518"/>
      <c r="D6" s="2529"/>
      <c r="E6" s="2621"/>
      <c r="F6" s="2511"/>
      <c r="G6" s="2622"/>
      <c r="H6" s="2511"/>
      <c r="I6" s="2530"/>
      <c r="J6" s="2511"/>
      <c r="K6" s="2620" t="s">
        <v>693</v>
      </c>
      <c r="L6" s="2612"/>
      <c r="M6" s="2211"/>
      <c r="O6" s="1630" t="s">
        <v>711</v>
      </c>
      <c r="P6" s="1226"/>
      <c r="Q6" s="1226"/>
      <c r="R6" s="1238"/>
      <c r="S6" s="629"/>
      <c r="T6" s="629"/>
      <c r="U6" s="1474"/>
      <c r="V6" s="1474"/>
      <c r="W6" s="1475"/>
      <c r="AB6" s="615"/>
      <c r="AC6" s="615"/>
      <c r="AD6" s="615"/>
      <c r="AE6" s="615"/>
      <c r="AF6" s="615"/>
      <c r="AG6" s="615"/>
      <c r="AH6" s="615"/>
      <c r="AI6" s="615"/>
      <c r="AJ6" s="615"/>
      <c r="AK6" s="615"/>
      <c r="AL6" s="615"/>
      <c r="AM6" s="615"/>
      <c r="AN6" s="615"/>
      <c r="AO6" s="615"/>
      <c r="AP6" s="615"/>
      <c r="AQ6" s="615"/>
      <c r="AR6" s="615"/>
      <c r="AS6" s="615"/>
    </row>
    <row r="7" spans="1:45" ht="19.5" customHeight="1" thickBot="1">
      <c r="A7" s="2610" t="s">
        <v>725</v>
      </c>
      <c r="B7" s="2611"/>
      <c r="C7" s="2611"/>
      <c r="D7" s="2623"/>
      <c r="E7" s="2624"/>
      <c r="F7" s="2623"/>
      <c r="G7" s="2624"/>
      <c r="H7" s="2575"/>
      <c r="I7" s="2575"/>
      <c r="J7" s="2575"/>
      <c r="K7" s="2609" t="s">
        <v>726</v>
      </c>
      <c r="L7" s="2609"/>
      <c r="M7" s="2306"/>
      <c r="O7" s="1632" t="s">
        <v>712</v>
      </c>
      <c r="P7" s="1626"/>
      <c r="Q7" s="1626"/>
      <c r="R7" s="1631"/>
      <c r="S7" s="1633" t="s">
        <v>727</v>
      </c>
      <c r="T7" s="1628"/>
      <c r="U7" s="1628"/>
      <c r="V7" s="1232"/>
      <c r="W7" s="1232"/>
      <c r="X7" s="1232"/>
      <c r="Y7" s="624"/>
      <c r="Z7" s="624"/>
      <c r="AA7" s="1231"/>
      <c r="AB7" s="615"/>
      <c r="AC7" s="615"/>
      <c r="AD7" s="615"/>
      <c r="AE7" s="615"/>
      <c r="AF7" s="615"/>
      <c r="AG7" s="615"/>
      <c r="AH7" s="615"/>
      <c r="AI7" s="615"/>
      <c r="AJ7" s="615"/>
      <c r="AK7" s="615"/>
      <c r="AL7" s="615"/>
      <c r="AM7" s="615"/>
      <c r="AN7" s="615"/>
      <c r="AO7" s="615"/>
    </row>
    <row r="8" spans="1:45" ht="14.1" customHeight="1">
      <c r="A8" s="2545" t="s">
        <v>696</v>
      </c>
      <c r="B8" s="2531" t="s">
        <v>697</v>
      </c>
      <c r="C8" s="2547" t="s">
        <v>698</v>
      </c>
      <c r="D8" s="2549" t="s">
        <v>699</v>
      </c>
      <c r="E8" s="2550"/>
      <c r="F8" s="2549" t="s">
        <v>700</v>
      </c>
      <c r="G8" s="2553"/>
      <c r="H8" s="2625" t="s">
        <v>701</v>
      </c>
      <c r="I8" s="2625" t="s">
        <v>702</v>
      </c>
      <c r="J8" s="2626" t="s">
        <v>703</v>
      </c>
      <c r="K8" s="2533"/>
      <c r="L8" s="2533"/>
      <c r="M8" s="2534"/>
      <c r="O8" s="2564" t="s">
        <v>713</v>
      </c>
      <c r="P8" s="2565"/>
      <c r="Q8" s="2565"/>
      <c r="R8" s="2566"/>
      <c r="S8" s="2591" t="s">
        <v>96</v>
      </c>
      <c r="T8" s="2591"/>
      <c r="U8" s="2591"/>
      <c r="V8" s="1230"/>
      <c r="W8" s="2565" t="s">
        <v>728</v>
      </c>
      <c r="X8" s="2565"/>
      <c r="Y8" s="2565"/>
      <c r="Z8" s="2565"/>
      <c r="AA8" s="2566"/>
      <c r="AB8" s="615"/>
      <c r="AC8" s="615"/>
      <c r="AD8" s="615"/>
      <c r="AE8" s="615"/>
      <c r="AF8" s="615"/>
      <c r="AG8" s="615"/>
      <c r="AH8" s="615"/>
      <c r="AI8" s="615"/>
      <c r="AJ8" s="615"/>
      <c r="AK8" s="615"/>
      <c r="AL8" s="615"/>
      <c r="AM8" s="615"/>
      <c r="AN8" s="615"/>
      <c r="AO8" s="615"/>
      <c r="AP8" s="615"/>
      <c r="AQ8" s="615"/>
      <c r="AR8" s="615"/>
    </row>
    <row r="9" spans="1:45" ht="14.1" customHeight="1" thickBot="1">
      <c r="A9" s="2546"/>
      <c r="B9" s="2532"/>
      <c r="C9" s="2548"/>
      <c r="D9" s="2551"/>
      <c r="E9" s="2552"/>
      <c r="F9" s="2554"/>
      <c r="G9" s="2555"/>
      <c r="H9" s="2532"/>
      <c r="I9" s="2532"/>
      <c r="J9" s="1217" t="s">
        <v>704</v>
      </c>
      <c r="K9" s="1217" t="s">
        <v>705</v>
      </c>
      <c r="L9" s="2627" t="s">
        <v>706</v>
      </c>
      <c r="M9" s="2628"/>
      <c r="O9" s="2564" t="s">
        <v>714</v>
      </c>
      <c r="P9" s="2565"/>
      <c r="Q9" s="2565"/>
      <c r="R9" s="2566"/>
      <c r="S9" s="2591" t="s">
        <v>152</v>
      </c>
      <c r="T9" s="2591"/>
      <c r="U9" s="2591"/>
      <c r="V9" s="1230"/>
      <c r="W9" s="2565" t="s">
        <v>729</v>
      </c>
      <c r="X9" s="2565"/>
      <c r="Y9" s="2565"/>
      <c r="Z9" s="2565"/>
      <c r="AA9" s="2566"/>
      <c r="AB9" s="615"/>
      <c r="AC9" s="615"/>
      <c r="AD9" s="615"/>
      <c r="AE9" s="615"/>
      <c r="AF9" s="615"/>
      <c r="AG9" s="615"/>
      <c r="AH9" s="615"/>
      <c r="AI9" s="615"/>
      <c r="AJ9" s="615"/>
      <c r="AK9" s="615"/>
      <c r="AL9" s="615"/>
      <c r="AM9" s="615"/>
      <c r="AN9" s="615"/>
      <c r="AO9" s="615"/>
      <c r="AP9" s="615"/>
      <c r="AQ9" s="615"/>
      <c r="AR9" s="615"/>
    </row>
    <row r="10" spans="1:45" ht="18" customHeight="1" thickTop="1">
      <c r="A10" s="2536"/>
      <c r="B10" s="2538"/>
      <c r="C10" s="2538"/>
      <c r="D10" s="1403"/>
      <c r="E10" s="1404"/>
      <c r="F10" s="1403"/>
      <c r="G10" s="1404"/>
      <c r="H10" s="2267"/>
      <c r="I10" s="1400"/>
      <c r="J10" s="2541"/>
      <c r="K10" s="2541"/>
      <c r="L10" s="2541"/>
      <c r="M10" s="2543"/>
      <c r="N10" s="617"/>
      <c r="O10" s="2564" t="s">
        <v>715</v>
      </c>
      <c r="P10" s="2565"/>
      <c r="Q10" s="2565"/>
      <c r="R10" s="2566"/>
      <c r="S10" s="2591" t="s">
        <v>208</v>
      </c>
      <c r="T10" s="2591"/>
      <c r="U10" s="2591"/>
      <c r="V10" s="1230"/>
      <c r="W10" s="2565" t="s">
        <v>730</v>
      </c>
      <c r="X10" s="2565"/>
      <c r="Y10" s="2565"/>
      <c r="Z10" s="2565"/>
      <c r="AA10" s="2566"/>
      <c r="AB10" s="615"/>
      <c r="AC10" s="615"/>
      <c r="AD10" s="615"/>
      <c r="AE10" s="615"/>
      <c r="AF10" s="615"/>
      <c r="AG10" s="615"/>
      <c r="AH10" s="615"/>
      <c r="AI10" s="615"/>
      <c r="AJ10" s="615"/>
      <c r="AK10" s="615"/>
      <c r="AL10" s="615"/>
      <c r="AM10" s="615"/>
      <c r="AN10" s="615"/>
      <c r="AO10" s="615"/>
      <c r="AP10" s="615"/>
      <c r="AQ10" s="615"/>
      <c r="AR10" s="615"/>
    </row>
    <row r="11" spans="1:45" ht="18" customHeight="1">
      <c r="A11" s="2537"/>
      <c r="B11" s="2539"/>
      <c r="C11" s="2540"/>
      <c r="D11" s="1401"/>
      <c r="E11" s="1402"/>
      <c r="F11" s="1403"/>
      <c r="G11" s="1402"/>
      <c r="H11" s="1400"/>
      <c r="I11" s="1400"/>
      <c r="J11" s="2542"/>
      <c r="K11" s="2542"/>
      <c r="L11" s="2542"/>
      <c r="M11" s="2544"/>
      <c r="N11" s="617"/>
      <c r="O11" s="2564" t="s">
        <v>716</v>
      </c>
      <c r="P11" s="2565"/>
      <c r="Q11" s="2565"/>
      <c r="R11" s="2566"/>
      <c r="S11" s="2629" t="s">
        <v>249</v>
      </c>
      <c r="T11" s="2629"/>
      <c r="U11" s="2629"/>
      <c r="V11" s="1230"/>
      <c r="W11" s="2593" t="s">
        <v>731</v>
      </c>
      <c r="X11" s="2593"/>
      <c r="Y11" s="2593"/>
      <c r="Z11" s="2593"/>
      <c r="AA11" s="2594"/>
      <c r="AB11" s="615"/>
      <c r="AC11" s="615"/>
      <c r="AD11" s="615"/>
      <c r="AE11" s="615"/>
      <c r="AF11" s="615"/>
      <c r="AG11" s="615"/>
      <c r="AH11" s="615"/>
      <c r="AI11" s="615"/>
      <c r="AJ11" s="615"/>
      <c r="AK11" s="615"/>
      <c r="AL11" s="615"/>
      <c r="AM11" s="615"/>
      <c r="AN11" s="615"/>
      <c r="AO11" s="615"/>
      <c r="AP11" s="615"/>
      <c r="AQ11" s="615"/>
      <c r="AR11" s="615"/>
    </row>
    <row r="12" spans="1:45" ht="18" customHeight="1">
      <c r="A12" s="2537"/>
      <c r="B12" s="2539"/>
      <c r="C12" s="2538"/>
      <c r="D12" s="1401"/>
      <c r="E12" s="1402"/>
      <c r="F12" s="1403"/>
      <c r="G12" s="1402"/>
      <c r="H12" s="1400"/>
      <c r="I12" s="1400"/>
      <c r="J12" s="2542"/>
      <c r="K12" s="2542"/>
      <c r="L12" s="2542"/>
      <c r="M12" s="2544"/>
      <c r="N12" s="617"/>
      <c r="O12" s="2564" t="s">
        <v>717</v>
      </c>
      <c r="P12" s="2565"/>
      <c r="Q12" s="2565"/>
      <c r="R12" s="2566"/>
      <c r="S12" s="2629"/>
      <c r="T12" s="2629"/>
      <c r="U12" s="2629"/>
      <c r="V12" s="1230"/>
      <c r="W12" s="2593"/>
      <c r="X12" s="2593"/>
      <c r="Y12" s="2593"/>
      <c r="Z12" s="2593"/>
      <c r="AA12" s="2594"/>
      <c r="AB12" s="615"/>
      <c r="AC12" s="615"/>
      <c r="AD12" s="615"/>
      <c r="AE12" s="615"/>
      <c r="AF12" s="615"/>
      <c r="AG12" s="615"/>
      <c r="AH12" s="615"/>
      <c r="AI12" s="615"/>
      <c r="AJ12" s="615"/>
      <c r="AK12" s="615"/>
      <c r="AL12" s="615"/>
      <c r="AM12" s="615"/>
      <c r="AN12" s="615"/>
      <c r="AO12" s="615"/>
      <c r="AP12" s="615"/>
      <c r="AQ12" s="615"/>
      <c r="AR12" s="615"/>
    </row>
    <row r="13" spans="1:45" ht="18" customHeight="1">
      <c r="A13" s="2537"/>
      <c r="B13" s="2539"/>
      <c r="C13" s="2540"/>
      <c r="D13" s="1401"/>
      <c r="E13" s="1402"/>
      <c r="F13" s="1403"/>
      <c r="G13" s="1402"/>
      <c r="H13" s="1400"/>
      <c r="I13" s="1400"/>
      <c r="J13" s="2542"/>
      <c r="K13" s="2542"/>
      <c r="L13" s="2542"/>
      <c r="M13" s="2544"/>
      <c r="N13" s="617"/>
      <c r="O13" s="2567" t="s">
        <v>718</v>
      </c>
      <c r="P13" s="2568"/>
      <c r="Q13" s="2568"/>
      <c r="R13" s="2569"/>
      <c r="S13" s="2596" t="s">
        <v>277</v>
      </c>
      <c r="T13" s="2596"/>
      <c r="U13" s="2596"/>
      <c r="V13" s="1229"/>
      <c r="W13" s="2597" t="s">
        <v>732</v>
      </c>
      <c r="X13" s="2597"/>
      <c r="Y13" s="2597"/>
      <c r="Z13" s="2597"/>
      <c r="AA13" s="2598"/>
      <c r="AC13" s="615"/>
      <c r="AD13" s="615"/>
      <c r="AE13" s="615"/>
      <c r="AF13" s="615"/>
      <c r="AG13" s="615"/>
      <c r="AH13" s="615"/>
      <c r="AI13" s="615"/>
      <c r="AJ13" s="615"/>
      <c r="AK13" s="615"/>
      <c r="AL13" s="615"/>
      <c r="AM13" s="615"/>
      <c r="AN13" s="615"/>
      <c r="AO13" s="615"/>
      <c r="AP13" s="615"/>
      <c r="AQ13" s="615"/>
      <c r="AR13" s="615"/>
    </row>
    <row r="14" spans="1:45" ht="18" customHeight="1">
      <c r="A14" s="2537"/>
      <c r="B14" s="2539"/>
      <c r="C14" s="2538"/>
      <c r="D14" s="1401"/>
      <c r="E14" s="1402"/>
      <c r="F14" s="1403"/>
      <c r="G14" s="1402"/>
      <c r="H14" s="1400"/>
      <c r="I14" s="1400"/>
      <c r="J14" s="2542"/>
      <c r="K14" s="2542"/>
      <c r="L14" s="2542"/>
      <c r="M14" s="2544"/>
      <c r="N14" s="617"/>
      <c r="O14" s="1627" t="s">
        <v>733</v>
      </c>
      <c r="P14" s="1628"/>
      <c r="Q14" s="1628"/>
      <c r="R14" s="1232"/>
      <c r="S14" s="1241"/>
      <c r="T14" s="1241"/>
      <c r="U14" s="632"/>
      <c r="V14" s="632"/>
      <c r="W14" s="632"/>
      <c r="X14" s="632"/>
      <c r="Y14" s="632"/>
      <c r="Z14" s="632"/>
      <c r="AA14" s="623"/>
      <c r="AD14" s="615"/>
      <c r="AE14" s="615"/>
      <c r="AF14" s="615"/>
      <c r="AG14" s="615"/>
      <c r="AH14" s="615"/>
      <c r="AI14" s="615"/>
      <c r="AJ14" s="615"/>
      <c r="AK14" s="615"/>
      <c r="AL14" s="615"/>
      <c r="AM14" s="615"/>
      <c r="AN14" s="615"/>
      <c r="AO14" s="615"/>
      <c r="AP14" s="615"/>
      <c r="AQ14" s="615"/>
      <c r="AR14" s="615"/>
      <c r="AS14" s="615"/>
    </row>
    <row r="15" spans="1:45" ht="18" customHeight="1">
      <c r="A15" s="2537"/>
      <c r="B15" s="2539"/>
      <c r="C15" s="2540"/>
      <c r="D15" s="1401"/>
      <c r="E15" s="1402"/>
      <c r="F15" s="1403"/>
      <c r="G15" s="1402"/>
      <c r="H15" s="1400"/>
      <c r="I15" s="1400"/>
      <c r="J15" s="2542"/>
      <c r="K15" s="2542"/>
      <c r="L15" s="2542"/>
      <c r="M15" s="2544"/>
      <c r="N15" s="617"/>
      <c r="O15" s="2592" t="s">
        <v>150</v>
      </c>
      <c r="P15" s="2591"/>
      <c r="Q15" s="2591"/>
      <c r="R15" s="1230"/>
      <c r="S15" s="2605" t="s">
        <v>734</v>
      </c>
      <c r="T15" s="2605"/>
      <c r="U15" s="2605"/>
      <c r="V15" s="2605"/>
      <c r="W15" s="2605"/>
      <c r="X15" s="2605"/>
      <c r="Y15" s="2605"/>
      <c r="Z15" s="2605"/>
      <c r="AA15" s="2606"/>
      <c r="AF15" s="615"/>
      <c r="AG15" s="615"/>
      <c r="AH15" s="615"/>
      <c r="AI15" s="615"/>
      <c r="AJ15" s="615"/>
      <c r="AK15" s="615"/>
      <c r="AL15" s="615"/>
      <c r="AM15" s="615"/>
      <c r="AN15" s="615"/>
      <c r="AO15" s="615"/>
      <c r="AP15" s="615"/>
      <c r="AQ15" s="615"/>
      <c r="AR15" s="615"/>
      <c r="AS15" s="615"/>
    </row>
    <row r="16" spans="1:45" ht="18" customHeight="1">
      <c r="A16" s="2537"/>
      <c r="B16" s="2539"/>
      <c r="C16" s="2538"/>
      <c r="D16" s="1401"/>
      <c r="E16" s="1402"/>
      <c r="F16" s="1403"/>
      <c r="G16" s="1402"/>
      <c r="H16" s="1400"/>
      <c r="I16" s="1400"/>
      <c r="J16" s="2542"/>
      <c r="K16" s="2542"/>
      <c r="L16" s="2542"/>
      <c r="M16" s="2544"/>
      <c r="N16" s="617"/>
      <c r="O16" s="2592"/>
      <c r="P16" s="2591"/>
      <c r="Q16" s="2591"/>
      <c r="R16" s="1230"/>
      <c r="S16" s="2605"/>
      <c r="T16" s="2605"/>
      <c r="U16" s="2605"/>
      <c r="V16" s="2605"/>
      <c r="W16" s="2605"/>
      <c r="X16" s="2605"/>
      <c r="Y16" s="2605"/>
      <c r="Z16" s="2605"/>
      <c r="AA16" s="2606"/>
      <c r="AF16" s="615"/>
      <c r="AG16" s="615"/>
      <c r="AH16" s="615"/>
      <c r="AI16" s="615"/>
      <c r="AJ16" s="615"/>
      <c r="AK16" s="615"/>
      <c r="AL16" s="615"/>
      <c r="AM16" s="615"/>
      <c r="AN16" s="615"/>
      <c r="AO16" s="615"/>
      <c r="AP16" s="615"/>
      <c r="AQ16" s="615"/>
      <c r="AR16" s="615"/>
      <c r="AS16" s="615"/>
    </row>
    <row r="17" spans="1:45" ht="18" customHeight="1">
      <c r="A17" s="2537"/>
      <c r="B17" s="2539"/>
      <c r="C17" s="2540"/>
      <c r="D17" s="1401"/>
      <c r="E17" s="1402"/>
      <c r="F17" s="1403"/>
      <c r="G17" s="1402"/>
      <c r="H17" s="1400"/>
      <c r="I17" s="1400"/>
      <c r="J17" s="2542"/>
      <c r="K17" s="2542"/>
      <c r="L17" s="2542"/>
      <c r="M17" s="2544"/>
      <c r="N17" s="617"/>
      <c r="O17" s="2592" t="s">
        <v>206</v>
      </c>
      <c r="P17" s="2591"/>
      <c r="Q17" s="2591"/>
      <c r="R17" s="1230"/>
      <c r="S17" s="2605" t="s">
        <v>735</v>
      </c>
      <c r="T17" s="2605"/>
      <c r="U17" s="2605"/>
      <c r="V17" s="2605"/>
      <c r="W17" s="2605"/>
      <c r="X17" s="2605"/>
      <c r="Y17" s="2605"/>
      <c r="Z17" s="2605"/>
      <c r="AA17" s="2606"/>
      <c r="AF17" s="615"/>
      <c r="AG17" s="615"/>
      <c r="AH17" s="615"/>
      <c r="AI17" s="615"/>
      <c r="AJ17" s="615"/>
      <c r="AK17" s="615"/>
      <c r="AL17" s="615"/>
      <c r="AM17" s="615"/>
      <c r="AN17" s="615"/>
      <c r="AO17" s="615"/>
      <c r="AP17" s="615"/>
      <c r="AQ17" s="615"/>
      <c r="AR17" s="615"/>
      <c r="AS17" s="615"/>
    </row>
    <row r="18" spans="1:45" ht="18" customHeight="1">
      <c r="A18" s="2537"/>
      <c r="B18" s="2539"/>
      <c r="C18" s="2538"/>
      <c r="D18" s="1401"/>
      <c r="E18" s="1402"/>
      <c r="F18" s="1403"/>
      <c r="G18" s="1402"/>
      <c r="H18" s="1400"/>
      <c r="I18" s="1400"/>
      <c r="J18" s="2542"/>
      <c r="K18" s="2542"/>
      <c r="L18" s="2542"/>
      <c r="M18" s="2544"/>
      <c r="N18" s="617"/>
      <c r="O18" s="2592"/>
      <c r="P18" s="2591"/>
      <c r="Q18" s="2591"/>
      <c r="R18" s="1230"/>
      <c r="S18" s="2605"/>
      <c r="T18" s="2605"/>
      <c r="U18" s="2605"/>
      <c r="V18" s="2605"/>
      <c r="W18" s="2605"/>
      <c r="X18" s="2605"/>
      <c r="Y18" s="2605"/>
      <c r="Z18" s="2605"/>
      <c r="AA18" s="2606"/>
      <c r="AF18" s="615"/>
      <c r="AG18" s="615"/>
      <c r="AH18" s="615"/>
      <c r="AI18" s="615"/>
      <c r="AJ18" s="615"/>
      <c r="AK18" s="615"/>
      <c r="AL18" s="615"/>
      <c r="AM18" s="615"/>
      <c r="AN18" s="615"/>
      <c r="AO18" s="615"/>
      <c r="AP18" s="615"/>
      <c r="AQ18" s="615"/>
      <c r="AR18" s="615"/>
      <c r="AS18" s="615"/>
    </row>
    <row r="19" spans="1:45" ht="18" customHeight="1">
      <c r="A19" s="2537"/>
      <c r="B19" s="2539"/>
      <c r="C19" s="2540"/>
      <c r="D19" s="1401"/>
      <c r="E19" s="1402"/>
      <c r="F19" s="1403"/>
      <c r="G19" s="1402"/>
      <c r="H19" s="1400"/>
      <c r="I19" s="1400"/>
      <c r="J19" s="2542"/>
      <c r="K19" s="2542"/>
      <c r="L19" s="2542"/>
      <c r="M19" s="2544"/>
      <c r="N19" s="617"/>
      <c r="O19" s="2592"/>
      <c r="P19" s="2591"/>
      <c r="Q19" s="2591"/>
      <c r="R19" s="1230"/>
      <c r="S19" s="2605"/>
      <c r="T19" s="2605"/>
      <c r="U19" s="2605"/>
      <c r="V19" s="2605"/>
      <c r="W19" s="2605"/>
      <c r="X19" s="2605"/>
      <c r="Y19" s="2605"/>
      <c r="Z19" s="2605"/>
      <c r="AA19" s="2606"/>
      <c r="AF19" s="615"/>
      <c r="AG19" s="615"/>
      <c r="AH19" s="615"/>
      <c r="AI19" s="615"/>
      <c r="AJ19" s="615"/>
      <c r="AK19" s="615"/>
      <c r="AL19" s="615"/>
      <c r="AM19" s="615"/>
      <c r="AN19" s="615"/>
      <c r="AO19" s="615"/>
      <c r="AP19" s="615"/>
      <c r="AQ19" s="615"/>
      <c r="AR19" s="615"/>
      <c r="AS19" s="615"/>
    </row>
    <row r="20" spans="1:45" ht="18" customHeight="1">
      <c r="A20" s="2537"/>
      <c r="B20" s="2539"/>
      <c r="C20" s="2538"/>
      <c r="D20" s="1401"/>
      <c r="E20" s="1402"/>
      <c r="F20" s="1403"/>
      <c r="G20" s="1402"/>
      <c r="H20" s="1400"/>
      <c r="I20" s="1400"/>
      <c r="J20" s="2542"/>
      <c r="K20" s="2542"/>
      <c r="L20" s="2542"/>
      <c r="M20" s="2544"/>
      <c r="N20" s="617"/>
      <c r="O20" s="2592" t="s">
        <v>247</v>
      </c>
      <c r="P20" s="2591"/>
      <c r="Q20" s="2591"/>
      <c r="R20" s="1230"/>
      <c r="S20" s="2605" t="s">
        <v>736</v>
      </c>
      <c r="T20" s="2605"/>
      <c r="U20" s="2605"/>
      <c r="V20" s="2605"/>
      <c r="W20" s="2605"/>
      <c r="X20" s="2605"/>
      <c r="Y20" s="2605"/>
      <c r="Z20" s="2605"/>
      <c r="AA20" s="2606"/>
      <c r="AF20" s="615"/>
      <c r="AG20" s="615"/>
      <c r="AH20" s="615"/>
      <c r="AI20" s="615"/>
      <c r="AJ20" s="615"/>
      <c r="AK20" s="615"/>
      <c r="AL20" s="615"/>
      <c r="AM20" s="615"/>
      <c r="AN20" s="615"/>
      <c r="AO20" s="615"/>
      <c r="AP20" s="615"/>
      <c r="AQ20" s="615"/>
      <c r="AR20" s="615"/>
      <c r="AS20" s="615"/>
    </row>
    <row r="21" spans="1:45" ht="18" customHeight="1">
      <c r="A21" s="2537"/>
      <c r="B21" s="2539"/>
      <c r="C21" s="2540"/>
      <c r="D21" s="1401"/>
      <c r="E21" s="1402"/>
      <c r="F21" s="1403"/>
      <c r="G21" s="1402"/>
      <c r="H21" s="1400"/>
      <c r="I21" s="1400"/>
      <c r="J21" s="2542"/>
      <c r="K21" s="2542"/>
      <c r="L21" s="2542"/>
      <c r="M21" s="2544"/>
      <c r="N21" s="617"/>
      <c r="O21" s="2592"/>
      <c r="P21" s="2591"/>
      <c r="Q21" s="2591"/>
      <c r="R21" s="1230"/>
      <c r="S21" s="2605"/>
      <c r="T21" s="2605"/>
      <c r="U21" s="2605"/>
      <c r="V21" s="2605"/>
      <c r="W21" s="2605"/>
      <c r="X21" s="2605"/>
      <c r="Y21" s="2605"/>
      <c r="Z21" s="2605"/>
      <c r="AA21" s="2606"/>
      <c r="AF21" s="615"/>
      <c r="AG21" s="615"/>
      <c r="AH21" s="615"/>
      <c r="AI21" s="615"/>
      <c r="AJ21" s="615"/>
      <c r="AK21" s="615"/>
      <c r="AL21" s="615"/>
      <c r="AM21" s="615"/>
      <c r="AN21" s="615"/>
      <c r="AO21" s="615"/>
      <c r="AP21" s="615"/>
      <c r="AQ21" s="615"/>
      <c r="AR21" s="615"/>
      <c r="AS21" s="615"/>
    </row>
    <row r="22" spans="1:45" ht="18" customHeight="1">
      <c r="A22" s="2537"/>
      <c r="B22" s="2539"/>
      <c r="C22" s="2538"/>
      <c r="D22" s="1401"/>
      <c r="E22" s="1402"/>
      <c r="F22" s="1403"/>
      <c r="G22" s="1402"/>
      <c r="H22" s="1400"/>
      <c r="I22" s="1400"/>
      <c r="J22" s="2542"/>
      <c r="K22" s="2542"/>
      <c r="L22" s="2542"/>
      <c r="M22" s="2544"/>
      <c r="N22" s="617"/>
      <c r="O22" s="2592"/>
      <c r="P22" s="2591"/>
      <c r="Q22" s="2591"/>
      <c r="R22" s="1230"/>
      <c r="S22" s="2605"/>
      <c r="T22" s="2605"/>
      <c r="U22" s="2605"/>
      <c r="V22" s="2605"/>
      <c r="W22" s="2605"/>
      <c r="X22" s="2605"/>
      <c r="Y22" s="2605"/>
      <c r="Z22" s="2605"/>
      <c r="AA22" s="2606"/>
      <c r="AB22" s="621"/>
      <c r="AC22" s="621"/>
      <c r="AF22" s="615"/>
      <c r="AG22" s="615"/>
      <c r="AH22" s="615"/>
      <c r="AI22" s="615"/>
      <c r="AJ22" s="615"/>
      <c r="AK22" s="615"/>
      <c r="AL22" s="615"/>
      <c r="AM22" s="615"/>
      <c r="AN22" s="615"/>
      <c r="AO22" s="615"/>
      <c r="AP22" s="615"/>
      <c r="AQ22" s="615"/>
      <c r="AR22" s="615"/>
      <c r="AS22" s="615"/>
    </row>
    <row r="23" spans="1:45" ht="18" customHeight="1" thickBot="1">
      <c r="A23" s="2574"/>
      <c r="B23" s="2575"/>
      <c r="C23" s="2540"/>
      <c r="D23" s="1405"/>
      <c r="E23" s="1402"/>
      <c r="F23" s="1403"/>
      <c r="G23" s="1406"/>
      <c r="H23" s="1400"/>
      <c r="I23" s="1400"/>
      <c r="J23" s="2576"/>
      <c r="K23" s="2576"/>
      <c r="L23" s="2576"/>
      <c r="M23" s="2577"/>
      <c r="N23" s="617"/>
      <c r="O23" s="2592" t="s">
        <v>275</v>
      </c>
      <c r="P23" s="2591"/>
      <c r="Q23" s="2591"/>
      <c r="R23" s="1230"/>
      <c r="S23" s="2605" t="s">
        <v>737</v>
      </c>
      <c r="T23" s="2605"/>
      <c r="U23" s="2605"/>
      <c r="V23" s="2605"/>
      <c r="W23" s="2605"/>
      <c r="X23" s="2605"/>
      <c r="Y23" s="2605"/>
      <c r="Z23" s="2605"/>
      <c r="AA23" s="2606"/>
      <c r="AF23" s="615"/>
      <c r="AG23" s="615"/>
      <c r="AH23" s="615"/>
      <c r="AI23" s="615"/>
      <c r="AJ23" s="615"/>
      <c r="AK23" s="615"/>
      <c r="AL23" s="615"/>
      <c r="AM23" s="615"/>
      <c r="AN23" s="615"/>
      <c r="AO23" s="615"/>
      <c r="AP23" s="615"/>
      <c r="AQ23" s="615"/>
      <c r="AR23" s="615"/>
      <c r="AS23" s="615"/>
    </row>
    <row r="24" spans="1:45" s="621" customFormat="1" ht="6" customHeight="1">
      <c r="A24" s="2578" t="s">
        <v>719</v>
      </c>
      <c r="B24" s="2580"/>
      <c r="C24" s="2580"/>
      <c r="D24" s="2580"/>
      <c r="E24" s="2580"/>
      <c r="F24" s="2580"/>
      <c r="G24" s="2580"/>
      <c r="H24" s="2580"/>
      <c r="I24" s="2580"/>
      <c r="J24" s="2580"/>
      <c r="K24" s="2580"/>
      <c r="L24" s="2580"/>
      <c r="M24" s="2581"/>
      <c r="N24" s="618"/>
      <c r="O24" s="2592"/>
      <c r="P24" s="2591"/>
      <c r="Q24" s="2591"/>
      <c r="R24" s="1230"/>
      <c r="S24" s="2605"/>
      <c r="T24" s="2605"/>
      <c r="U24" s="2605"/>
      <c r="V24" s="2605"/>
      <c r="W24" s="2605"/>
      <c r="X24" s="2605"/>
      <c r="Y24" s="2605"/>
      <c r="Z24" s="2605"/>
      <c r="AA24" s="2606"/>
      <c r="AB24" s="608"/>
      <c r="AC24" s="608"/>
      <c r="AF24" s="620"/>
      <c r="AG24" s="620"/>
      <c r="AH24" s="620"/>
      <c r="AI24" s="620"/>
      <c r="AJ24" s="620"/>
      <c r="AK24" s="620"/>
      <c r="AL24" s="620"/>
      <c r="AM24" s="620"/>
      <c r="AN24" s="620"/>
      <c r="AO24" s="620"/>
      <c r="AP24" s="620"/>
      <c r="AQ24" s="620"/>
      <c r="AR24" s="620"/>
      <c r="AS24" s="620"/>
    </row>
    <row r="25" spans="1:45" ht="21.95" customHeight="1" thickBot="1">
      <c r="A25" s="2579"/>
      <c r="B25" s="2582"/>
      <c r="C25" s="2582"/>
      <c r="D25" s="2582"/>
      <c r="E25" s="2582"/>
      <c r="F25" s="2582"/>
      <c r="G25" s="2582"/>
      <c r="H25" s="2582"/>
      <c r="I25" s="2582"/>
      <c r="J25" s="2582"/>
      <c r="K25" s="2582"/>
      <c r="L25" s="2582"/>
      <c r="M25" s="2583"/>
      <c r="N25" s="617"/>
      <c r="O25" s="2592"/>
      <c r="P25" s="2591"/>
      <c r="Q25" s="2591"/>
      <c r="R25" s="1230"/>
      <c r="S25" s="2605"/>
      <c r="T25" s="2605"/>
      <c r="U25" s="2605"/>
      <c r="V25" s="2605"/>
      <c r="W25" s="2605"/>
      <c r="X25" s="2605"/>
      <c r="Y25" s="2605"/>
      <c r="Z25" s="2605"/>
      <c r="AA25" s="2606"/>
      <c r="AB25" s="608"/>
      <c r="AC25" s="608"/>
      <c r="AF25" s="615"/>
      <c r="AG25" s="615"/>
      <c r="AH25" s="615"/>
      <c r="AI25" s="615"/>
      <c r="AJ25" s="615"/>
      <c r="AK25" s="615"/>
      <c r="AL25" s="615"/>
      <c r="AM25" s="615"/>
      <c r="AN25" s="615"/>
      <c r="AO25" s="615"/>
      <c r="AP25" s="615"/>
      <c r="AQ25" s="615"/>
      <c r="AR25" s="615"/>
      <c r="AS25" s="615"/>
    </row>
    <row r="26" spans="1:45" s="608" customFormat="1" ht="14.1" customHeight="1">
      <c r="A26" s="1407" t="s">
        <v>720</v>
      </c>
      <c r="B26" s="1408"/>
      <c r="D26" s="1116"/>
      <c r="E26" s="1116"/>
      <c r="F26" s="1116"/>
      <c r="G26" s="1116"/>
      <c r="H26" s="1116"/>
      <c r="I26" s="1116"/>
      <c r="J26" s="1116"/>
      <c r="K26" s="1116"/>
      <c r="L26" s="1116"/>
      <c r="M26" s="1409"/>
      <c r="N26" s="1116"/>
      <c r="O26" s="2601" t="s">
        <v>738</v>
      </c>
      <c r="P26" s="2602"/>
      <c r="Q26" s="2602"/>
      <c r="R26" s="1229"/>
      <c r="S26" s="2603" t="s">
        <v>739</v>
      </c>
      <c r="T26" s="2603"/>
      <c r="U26" s="2603"/>
      <c r="V26" s="2603"/>
      <c r="W26" s="2603"/>
      <c r="X26" s="2603"/>
      <c r="Y26" s="2603"/>
      <c r="Z26" s="2603"/>
      <c r="AA26" s="2604"/>
    </row>
    <row r="27" spans="1:45" s="608" customFormat="1" ht="21.95" customHeight="1" thickBot="1">
      <c r="A27" s="2584"/>
      <c r="B27" s="2585"/>
      <c r="C27" s="2585"/>
      <c r="D27" s="610"/>
      <c r="E27" s="2586"/>
      <c r="F27" s="2586"/>
      <c r="G27" s="2586"/>
      <c r="H27" s="2586"/>
      <c r="J27" s="1564"/>
      <c r="L27" s="2634"/>
      <c r="M27" s="2588"/>
      <c r="N27" s="622"/>
      <c r="O27" s="1635" t="s">
        <v>740</v>
      </c>
      <c r="P27" s="1628"/>
      <c r="Q27" s="2607" t="s">
        <v>96</v>
      </c>
      <c r="R27" s="1232"/>
      <c r="S27" s="2589" t="s">
        <v>741</v>
      </c>
      <c r="T27" s="2589"/>
      <c r="U27" s="2589"/>
      <c r="V27" s="2589"/>
      <c r="W27" s="2589"/>
      <c r="X27" s="2589"/>
      <c r="Y27" s="2589"/>
      <c r="Z27" s="632"/>
      <c r="AA27" s="623"/>
    </row>
    <row r="28" spans="1:45" s="608" customFormat="1" ht="12" customHeight="1">
      <c r="A28" s="2570" t="s">
        <v>721</v>
      </c>
      <c r="B28" s="2571"/>
      <c r="C28" s="2571"/>
      <c r="D28" s="611"/>
      <c r="E28" s="2571" t="s">
        <v>722</v>
      </c>
      <c r="F28" s="2571"/>
      <c r="G28" s="2571"/>
      <c r="H28" s="2572"/>
      <c r="J28" s="1491" t="s">
        <v>723</v>
      </c>
      <c r="L28" s="2465" t="s">
        <v>724</v>
      </c>
      <c r="M28" s="2573"/>
      <c r="N28" s="622"/>
      <c r="O28" s="1634"/>
      <c r="P28" s="1629"/>
      <c r="Q28" s="2608"/>
      <c r="R28" s="1230"/>
      <c r="S28" s="2590"/>
      <c r="T28" s="2590"/>
      <c r="U28" s="2590"/>
      <c r="V28" s="2590"/>
      <c r="W28" s="2590"/>
      <c r="X28" s="2590"/>
      <c r="Y28" s="2590"/>
      <c r="Z28" s="1226"/>
      <c r="AA28" s="1240"/>
    </row>
    <row r="29" spans="1:45" s="608" customFormat="1" ht="27" customHeight="1">
      <c r="A29" s="2639" t="s">
        <v>2661</v>
      </c>
      <c r="B29" s="2640"/>
      <c r="C29" s="2640"/>
      <c r="D29" s="2640"/>
      <c r="E29" s="2640"/>
      <c r="F29" s="2640"/>
      <c r="G29" s="2640"/>
      <c r="H29" s="2640"/>
      <c r="I29" s="2640"/>
      <c r="J29" s="2640"/>
      <c r="K29" s="2640"/>
      <c r="L29" s="2640"/>
      <c r="M29" s="2641"/>
      <c r="N29" s="622"/>
      <c r="O29" s="2592" t="s">
        <v>151</v>
      </c>
      <c r="P29" s="2591"/>
      <c r="Q29" s="2591"/>
      <c r="R29" s="1230"/>
      <c r="S29" s="1239" t="s">
        <v>742</v>
      </c>
      <c r="T29" s="1239"/>
      <c r="U29" s="1239"/>
      <c r="V29" s="1239"/>
      <c r="W29" s="1239"/>
      <c r="X29" s="1239"/>
      <c r="Y29" s="1239"/>
      <c r="Z29" s="1238"/>
      <c r="AA29" s="626"/>
    </row>
    <row r="30" spans="1:45" s="608" customFormat="1" ht="21.95" customHeight="1" thickBot="1">
      <c r="A30" s="2635"/>
      <c r="B30" s="2636"/>
      <c r="C30" s="2636"/>
      <c r="D30" s="610"/>
      <c r="E30" s="2637"/>
      <c r="F30" s="2637"/>
      <c r="G30" s="2637"/>
      <c r="H30" s="2637"/>
      <c r="J30" s="1259"/>
      <c r="L30" s="2634"/>
      <c r="M30" s="2638"/>
      <c r="N30" s="622"/>
      <c r="O30" s="2592" t="s">
        <v>207</v>
      </c>
      <c r="P30" s="2591"/>
      <c r="Q30" s="2591"/>
      <c r="R30" s="1230"/>
      <c r="S30" s="2599" t="s">
        <v>743</v>
      </c>
      <c r="T30" s="2599"/>
      <c r="U30" s="2599"/>
      <c r="V30" s="2599"/>
      <c r="W30" s="2599"/>
      <c r="X30" s="2599"/>
      <c r="Y30" s="2599"/>
      <c r="Z30" s="2599"/>
      <c r="AA30" s="2600"/>
      <c r="AB30" s="613"/>
      <c r="AC30" s="613"/>
    </row>
    <row r="31" spans="1:45" s="608" customFormat="1" ht="14.1" customHeight="1" thickBot="1">
      <c r="A31" s="2630" t="s">
        <v>744</v>
      </c>
      <c r="B31" s="2631"/>
      <c r="C31" s="2631"/>
      <c r="D31" s="894"/>
      <c r="E31" s="2631" t="s">
        <v>722</v>
      </c>
      <c r="F31" s="2631"/>
      <c r="G31" s="2631"/>
      <c r="H31" s="2632"/>
      <c r="I31" s="612"/>
      <c r="J31" s="894" t="s">
        <v>745</v>
      </c>
      <c r="K31" s="612"/>
      <c r="L31" s="2631" t="s">
        <v>724</v>
      </c>
      <c r="M31" s="2633"/>
      <c r="O31" s="1237"/>
      <c r="P31" s="1236"/>
      <c r="Q31" s="1236"/>
      <c r="R31" s="1230"/>
      <c r="S31" s="2599"/>
      <c r="T31" s="2599"/>
      <c r="U31" s="2599"/>
      <c r="V31" s="2599"/>
      <c r="W31" s="2599"/>
      <c r="X31" s="2599"/>
      <c r="Y31" s="2599"/>
      <c r="Z31" s="2599"/>
      <c r="AA31" s="2600"/>
      <c r="AB31" s="613"/>
      <c r="AC31" s="613"/>
    </row>
    <row r="32" spans="1:45">
      <c r="L32" s="615"/>
      <c r="M32" s="615"/>
      <c r="O32" s="2592" t="s">
        <v>248</v>
      </c>
      <c r="P32" s="2591"/>
      <c r="Q32" s="2591"/>
      <c r="R32" s="1230"/>
      <c r="S32" s="2593" t="s">
        <v>746</v>
      </c>
      <c r="T32" s="2593"/>
      <c r="U32" s="2593"/>
      <c r="V32" s="2593"/>
      <c r="W32" s="2593"/>
      <c r="X32" s="2593"/>
      <c r="Y32" s="2593"/>
      <c r="Z32" s="2593"/>
      <c r="AA32" s="2594"/>
      <c r="AF32" s="615"/>
      <c r="AG32" s="615"/>
      <c r="AH32" s="615"/>
      <c r="AI32" s="615"/>
      <c r="AJ32" s="615"/>
      <c r="AK32" s="615"/>
      <c r="AL32" s="615"/>
      <c r="AM32" s="615"/>
      <c r="AN32" s="615"/>
      <c r="AO32" s="615"/>
      <c r="AP32" s="615"/>
      <c r="AQ32" s="615"/>
      <c r="AR32" s="615"/>
      <c r="AS32" s="615"/>
    </row>
    <row r="33" spans="12:45">
      <c r="L33" s="615"/>
      <c r="M33" s="615"/>
      <c r="O33" s="2592"/>
      <c r="P33" s="2591"/>
      <c r="Q33" s="2591"/>
      <c r="R33" s="1230"/>
      <c r="S33" s="2593"/>
      <c r="T33" s="2593"/>
      <c r="U33" s="2593"/>
      <c r="V33" s="2593"/>
      <c r="W33" s="2593"/>
      <c r="X33" s="2593"/>
      <c r="Y33" s="2593"/>
      <c r="Z33" s="2593"/>
      <c r="AA33" s="2594"/>
      <c r="AF33" s="615"/>
      <c r="AG33" s="615"/>
      <c r="AH33" s="615"/>
      <c r="AI33" s="615"/>
      <c r="AJ33" s="615"/>
      <c r="AK33" s="615"/>
      <c r="AL33" s="615"/>
      <c r="AM33" s="615"/>
      <c r="AN33" s="615"/>
      <c r="AO33" s="615"/>
      <c r="AP33" s="615"/>
      <c r="AQ33" s="615"/>
      <c r="AR33" s="615"/>
      <c r="AS33" s="615"/>
    </row>
    <row r="34" spans="12:45">
      <c r="L34" s="615"/>
      <c r="M34" s="615"/>
      <c r="O34" s="2595" t="s">
        <v>276</v>
      </c>
      <c r="P34" s="2596"/>
      <c r="Q34" s="2596"/>
      <c r="R34" s="1229"/>
      <c r="S34" s="631" t="s">
        <v>747</v>
      </c>
      <c r="T34" s="631"/>
      <c r="U34" s="631"/>
      <c r="V34" s="631"/>
      <c r="W34" s="631"/>
      <c r="X34" s="631"/>
      <c r="Y34" s="631"/>
      <c r="Z34" s="629"/>
      <c r="AA34" s="630"/>
      <c r="AF34" s="615"/>
      <c r="AG34" s="615"/>
      <c r="AH34" s="615"/>
      <c r="AI34" s="615"/>
      <c r="AJ34" s="615"/>
      <c r="AK34" s="615"/>
      <c r="AL34" s="615"/>
      <c r="AM34" s="615"/>
      <c r="AN34" s="615"/>
      <c r="AO34" s="615"/>
      <c r="AP34" s="615"/>
      <c r="AQ34" s="615"/>
      <c r="AR34" s="615"/>
      <c r="AS34" s="615"/>
    </row>
    <row r="35" spans="12:45">
      <c r="L35" s="615"/>
      <c r="M35" s="615"/>
      <c r="AF35" s="615"/>
      <c r="AG35" s="615"/>
      <c r="AH35" s="615"/>
      <c r="AI35" s="615"/>
      <c r="AJ35" s="615"/>
      <c r="AK35" s="615"/>
      <c r="AL35" s="615"/>
      <c r="AM35" s="615"/>
      <c r="AN35" s="615"/>
      <c r="AO35" s="615"/>
      <c r="AP35" s="615"/>
      <c r="AQ35" s="615"/>
      <c r="AR35" s="615"/>
      <c r="AS35" s="615"/>
    </row>
    <row r="36" spans="12:45">
      <c r="L36" s="615"/>
      <c r="M36" s="615"/>
      <c r="AF36" s="615"/>
      <c r="AG36" s="615"/>
      <c r="AH36" s="615"/>
      <c r="AI36" s="615"/>
      <c r="AJ36" s="615"/>
      <c r="AK36" s="615"/>
      <c r="AL36" s="615"/>
      <c r="AM36" s="615"/>
      <c r="AN36" s="615"/>
      <c r="AO36" s="615"/>
      <c r="AP36" s="615"/>
      <c r="AQ36" s="615"/>
      <c r="AR36" s="615"/>
      <c r="AS36" s="615"/>
    </row>
    <row r="37" spans="12:45">
      <c r="L37" s="615"/>
      <c r="AF37" s="615"/>
      <c r="AG37" s="615"/>
      <c r="AH37" s="615"/>
      <c r="AI37" s="615"/>
      <c r="AJ37" s="615"/>
      <c r="AK37" s="615"/>
      <c r="AL37" s="615"/>
      <c r="AM37" s="615"/>
      <c r="AN37" s="615"/>
      <c r="AO37" s="615"/>
      <c r="AP37" s="615"/>
      <c r="AQ37" s="615"/>
      <c r="AR37" s="615"/>
      <c r="AS37" s="615"/>
    </row>
    <row r="38" spans="12:45">
      <c r="L38" s="615"/>
      <c r="AF38" s="615"/>
      <c r="AG38" s="615"/>
      <c r="AH38" s="615"/>
      <c r="AI38" s="615"/>
      <c r="AJ38" s="615"/>
      <c r="AK38" s="615"/>
      <c r="AL38" s="615"/>
      <c r="AM38" s="615"/>
      <c r="AN38" s="615"/>
      <c r="AO38" s="615"/>
      <c r="AP38" s="615"/>
      <c r="AQ38" s="615"/>
      <c r="AR38" s="615"/>
      <c r="AS38" s="615"/>
    </row>
    <row r="39" spans="12:45">
      <c r="L39" s="615"/>
      <c r="M39" s="615"/>
      <c r="AF39" s="615"/>
      <c r="AG39" s="615"/>
      <c r="AH39" s="615"/>
      <c r="AI39" s="615"/>
      <c r="AJ39" s="615"/>
      <c r="AK39" s="615"/>
      <c r="AL39" s="615"/>
      <c r="AM39" s="615"/>
      <c r="AN39" s="615"/>
      <c r="AO39" s="615"/>
      <c r="AP39" s="615"/>
      <c r="AQ39" s="615"/>
      <c r="AR39" s="615"/>
      <c r="AS39" s="615"/>
    </row>
    <row r="40" spans="12:45">
      <c r="L40" s="615"/>
      <c r="M40" s="615"/>
      <c r="AB40" s="615"/>
      <c r="AC40" s="615"/>
      <c r="AF40" s="615"/>
      <c r="AG40" s="615"/>
      <c r="AH40" s="615"/>
      <c r="AI40" s="615"/>
      <c r="AJ40" s="615"/>
      <c r="AK40" s="615"/>
      <c r="AL40" s="615"/>
      <c r="AM40" s="615"/>
      <c r="AN40" s="615"/>
      <c r="AO40" s="615"/>
      <c r="AP40" s="615"/>
      <c r="AQ40" s="615"/>
      <c r="AR40" s="615"/>
      <c r="AS40" s="615"/>
    </row>
    <row r="41" spans="12:45">
      <c r="L41" s="615"/>
      <c r="M41" s="615"/>
      <c r="AB41" s="615"/>
      <c r="AC41" s="615"/>
      <c r="AF41" s="615"/>
      <c r="AG41" s="615"/>
      <c r="AH41" s="615"/>
      <c r="AI41" s="615"/>
      <c r="AJ41" s="615"/>
      <c r="AK41" s="615"/>
      <c r="AL41" s="615"/>
      <c r="AM41" s="615"/>
      <c r="AN41" s="615"/>
      <c r="AO41" s="615"/>
      <c r="AP41" s="615"/>
      <c r="AQ41" s="615"/>
      <c r="AR41" s="615"/>
      <c r="AS41" s="615"/>
    </row>
    <row r="42" spans="12:45">
      <c r="L42" s="615"/>
      <c r="M42" s="615"/>
      <c r="AB42" s="615"/>
      <c r="AC42" s="615"/>
      <c r="AD42" s="615"/>
      <c r="AE42" s="615"/>
      <c r="AF42" s="615"/>
      <c r="AG42" s="615"/>
      <c r="AH42" s="615"/>
      <c r="AI42" s="615"/>
      <c r="AJ42" s="615"/>
      <c r="AK42" s="615"/>
      <c r="AL42" s="615"/>
      <c r="AM42" s="615"/>
      <c r="AN42" s="615"/>
      <c r="AO42" s="615"/>
      <c r="AP42" s="615"/>
      <c r="AQ42" s="615"/>
      <c r="AR42" s="615"/>
      <c r="AS42" s="615"/>
    </row>
    <row r="43" spans="12:45">
      <c r="L43" s="615"/>
      <c r="M43" s="615"/>
      <c r="AB43" s="615"/>
      <c r="AC43" s="615"/>
      <c r="AD43" s="615"/>
      <c r="AE43" s="615"/>
      <c r="AF43" s="615"/>
      <c r="AG43" s="615"/>
      <c r="AH43" s="615"/>
      <c r="AI43" s="615"/>
      <c r="AJ43" s="615"/>
      <c r="AK43" s="615"/>
      <c r="AL43" s="615"/>
      <c r="AM43" s="615"/>
      <c r="AN43" s="615"/>
      <c r="AO43" s="615"/>
      <c r="AP43" s="615"/>
      <c r="AQ43" s="615"/>
      <c r="AR43" s="615"/>
      <c r="AS43" s="615"/>
    </row>
    <row r="44" spans="12:45">
      <c r="L44" s="615"/>
      <c r="M44" s="615"/>
      <c r="AB44" s="615"/>
      <c r="AC44" s="615"/>
      <c r="AD44" s="615"/>
      <c r="AE44" s="615"/>
      <c r="AF44" s="615"/>
      <c r="AG44" s="615"/>
      <c r="AH44" s="615"/>
      <c r="AI44" s="615"/>
      <c r="AJ44" s="615"/>
      <c r="AK44" s="615"/>
      <c r="AL44" s="615"/>
      <c r="AM44" s="615"/>
      <c r="AN44" s="615"/>
      <c r="AO44" s="615"/>
      <c r="AP44" s="615"/>
      <c r="AQ44" s="615"/>
      <c r="AR44" s="615"/>
      <c r="AS44" s="615"/>
    </row>
    <row r="45" spans="12:45">
      <c r="L45" s="615"/>
      <c r="M45" s="615"/>
      <c r="AB45" s="615"/>
      <c r="AC45" s="615"/>
      <c r="AD45" s="615"/>
      <c r="AE45" s="615"/>
      <c r="AF45" s="615"/>
      <c r="AG45" s="615"/>
      <c r="AH45" s="615"/>
      <c r="AI45" s="615"/>
      <c r="AJ45" s="615"/>
      <c r="AK45" s="615"/>
      <c r="AL45" s="615"/>
      <c r="AM45" s="615"/>
      <c r="AN45" s="615"/>
      <c r="AO45" s="615"/>
      <c r="AP45" s="615"/>
      <c r="AQ45" s="615"/>
      <c r="AR45" s="615"/>
      <c r="AS45" s="615"/>
    </row>
    <row r="46" spans="12:45">
      <c r="L46" s="615"/>
      <c r="M46" s="615"/>
      <c r="AB46" s="615"/>
      <c r="AC46" s="615"/>
      <c r="AD46" s="615"/>
      <c r="AE46" s="615"/>
      <c r="AF46" s="615"/>
      <c r="AG46" s="615"/>
      <c r="AH46" s="615"/>
      <c r="AI46" s="615"/>
      <c r="AJ46" s="615"/>
      <c r="AK46" s="615"/>
      <c r="AL46" s="615"/>
      <c r="AM46" s="615"/>
      <c r="AN46" s="615"/>
      <c r="AO46" s="615"/>
      <c r="AP46" s="615"/>
      <c r="AQ46" s="615"/>
      <c r="AR46" s="615"/>
      <c r="AS46" s="615"/>
    </row>
    <row r="47" spans="12:45">
      <c r="L47" s="615"/>
      <c r="M47" s="615"/>
      <c r="AB47" s="615"/>
      <c r="AC47" s="615"/>
      <c r="AD47" s="615"/>
      <c r="AE47" s="615"/>
      <c r="AF47" s="615"/>
      <c r="AG47" s="615"/>
      <c r="AH47" s="615"/>
      <c r="AI47" s="615"/>
      <c r="AJ47" s="615"/>
      <c r="AK47" s="615"/>
      <c r="AL47" s="615"/>
      <c r="AM47" s="615"/>
      <c r="AN47" s="615"/>
      <c r="AO47" s="615"/>
      <c r="AP47" s="615"/>
      <c r="AQ47" s="615"/>
      <c r="AR47" s="615"/>
      <c r="AS47" s="615"/>
    </row>
    <row r="48" spans="12:45">
      <c r="L48" s="615"/>
      <c r="M48" s="615"/>
      <c r="AB48" s="615"/>
      <c r="AC48" s="615"/>
      <c r="AD48" s="615"/>
      <c r="AE48" s="615"/>
      <c r="AF48" s="615"/>
      <c r="AG48" s="615"/>
      <c r="AH48" s="615"/>
      <c r="AI48" s="615"/>
      <c r="AJ48" s="615"/>
      <c r="AK48" s="615"/>
      <c r="AL48" s="615"/>
      <c r="AM48" s="615"/>
      <c r="AN48" s="615"/>
      <c r="AO48" s="615"/>
      <c r="AP48" s="615"/>
      <c r="AQ48" s="615"/>
      <c r="AR48" s="615"/>
      <c r="AS48" s="615"/>
    </row>
    <row r="49" spans="12:45">
      <c r="L49" s="615"/>
      <c r="M49" s="615"/>
      <c r="AB49" s="615"/>
      <c r="AC49" s="615"/>
      <c r="AD49" s="615"/>
      <c r="AE49" s="615"/>
      <c r="AF49" s="615"/>
      <c r="AG49" s="615"/>
      <c r="AH49" s="615"/>
      <c r="AI49" s="615"/>
      <c r="AJ49" s="615"/>
      <c r="AK49" s="615"/>
      <c r="AL49" s="615"/>
      <c r="AM49" s="615"/>
      <c r="AN49" s="615"/>
      <c r="AO49" s="615"/>
      <c r="AP49" s="615"/>
      <c r="AQ49" s="615"/>
      <c r="AR49" s="615"/>
      <c r="AS49" s="615"/>
    </row>
    <row r="50" spans="12:45">
      <c r="L50" s="615"/>
      <c r="M50" s="615"/>
      <c r="AB50" s="615"/>
      <c r="AC50" s="615"/>
      <c r="AD50" s="615"/>
      <c r="AE50" s="615"/>
      <c r="AF50" s="615"/>
      <c r="AG50" s="615"/>
      <c r="AH50" s="615"/>
      <c r="AI50" s="615"/>
      <c r="AJ50" s="615"/>
      <c r="AK50" s="615"/>
      <c r="AL50" s="615"/>
      <c r="AM50" s="615"/>
      <c r="AN50" s="615"/>
      <c r="AO50" s="615"/>
      <c r="AP50" s="615"/>
      <c r="AQ50" s="615"/>
      <c r="AR50" s="615"/>
      <c r="AS50" s="615"/>
    </row>
    <row r="51" spans="12:45">
      <c r="L51" s="615"/>
      <c r="M51" s="615"/>
      <c r="AB51" s="615"/>
      <c r="AC51" s="615"/>
      <c r="AD51" s="615"/>
      <c r="AE51" s="615"/>
      <c r="AF51" s="615"/>
      <c r="AG51" s="615"/>
      <c r="AH51" s="615"/>
      <c r="AI51" s="615"/>
      <c r="AJ51" s="615"/>
      <c r="AK51" s="615"/>
      <c r="AL51" s="615"/>
      <c r="AM51" s="615"/>
      <c r="AN51" s="615"/>
      <c r="AO51" s="615"/>
      <c r="AP51" s="615"/>
      <c r="AQ51" s="615"/>
      <c r="AR51" s="615"/>
      <c r="AS51" s="615"/>
    </row>
    <row r="52" spans="12:45">
      <c r="L52" s="615"/>
      <c r="M52" s="615"/>
      <c r="AB52" s="615"/>
      <c r="AC52" s="615"/>
      <c r="AD52" s="615"/>
      <c r="AE52" s="615"/>
      <c r="AF52" s="615"/>
      <c r="AG52" s="615"/>
      <c r="AH52" s="615"/>
      <c r="AI52" s="615"/>
      <c r="AJ52" s="615"/>
      <c r="AK52" s="615"/>
      <c r="AL52" s="615"/>
      <c r="AM52" s="615"/>
      <c r="AN52" s="615"/>
      <c r="AO52" s="615"/>
      <c r="AP52" s="615"/>
      <c r="AQ52" s="615"/>
      <c r="AR52" s="615"/>
      <c r="AS52" s="615"/>
    </row>
    <row r="53" spans="12:45">
      <c r="L53" s="615"/>
      <c r="M53" s="615"/>
      <c r="AB53" s="615"/>
      <c r="AC53" s="615"/>
      <c r="AD53" s="615"/>
      <c r="AE53" s="615"/>
      <c r="AF53" s="615"/>
      <c r="AG53" s="615"/>
      <c r="AH53" s="615"/>
      <c r="AI53" s="615"/>
      <c r="AJ53" s="615"/>
      <c r="AK53" s="615"/>
      <c r="AL53" s="615"/>
      <c r="AM53" s="615"/>
      <c r="AN53" s="615"/>
      <c r="AO53" s="615"/>
      <c r="AP53" s="615"/>
      <c r="AQ53" s="615"/>
      <c r="AR53" s="615"/>
      <c r="AS53" s="615"/>
    </row>
    <row r="54" spans="12:45">
      <c r="L54" s="615"/>
      <c r="M54" s="615"/>
      <c r="AB54" s="615"/>
      <c r="AC54" s="615"/>
      <c r="AD54" s="615"/>
      <c r="AE54" s="615"/>
      <c r="AF54" s="615"/>
      <c r="AG54" s="615"/>
      <c r="AH54" s="615"/>
      <c r="AI54" s="615"/>
      <c r="AJ54" s="615"/>
      <c r="AK54" s="615"/>
      <c r="AL54" s="615"/>
      <c r="AM54" s="615"/>
      <c r="AN54" s="615"/>
      <c r="AO54" s="615"/>
      <c r="AP54" s="615"/>
      <c r="AQ54" s="615"/>
      <c r="AR54" s="615"/>
      <c r="AS54" s="615"/>
    </row>
    <row r="55" spans="12:45">
      <c r="L55" s="615"/>
      <c r="M55" s="615"/>
      <c r="AB55" s="615"/>
      <c r="AC55" s="615"/>
      <c r="AD55" s="615"/>
      <c r="AE55" s="615"/>
      <c r="AF55" s="615"/>
      <c r="AG55" s="615"/>
      <c r="AH55" s="615"/>
      <c r="AI55" s="615"/>
      <c r="AJ55" s="615"/>
      <c r="AK55" s="615"/>
      <c r="AL55" s="615"/>
      <c r="AM55" s="615"/>
      <c r="AN55" s="615"/>
      <c r="AO55" s="615"/>
      <c r="AP55" s="615"/>
      <c r="AQ55" s="615"/>
      <c r="AR55" s="615"/>
      <c r="AS55" s="615"/>
    </row>
    <row r="56" spans="12:45">
      <c r="L56" s="615"/>
      <c r="M56" s="615"/>
      <c r="AB56" s="615"/>
      <c r="AC56" s="615"/>
      <c r="AD56" s="615"/>
      <c r="AE56" s="615"/>
      <c r="AF56" s="615"/>
      <c r="AG56" s="615"/>
      <c r="AH56" s="615"/>
      <c r="AI56" s="615"/>
      <c r="AJ56" s="615"/>
      <c r="AK56" s="615"/>
      <c r="AL56" s="615"/>
      <c r="AM56" s="615"/>
      <c r="AN56" s="615"/>
      <c r="AO56" s="615"/>
      <c r="AP56" s="615"/>
      <c r="AQ56" s="615"/>
      <c r="AR56" s="615"/>
      <c r="AS56" s="615"/>
    </row>
    <row r="57" spans="12:45">
      <c r="L57" s="615"/>
      <c r="M57" s="615"/>
      <c r="AB57" s="615"/>
      <c r="AC57" s="615"/>
      <c r="AD57" s="615"/>
      <c r="AE57" s="615"/>
      <c r="AF57" s="615"/>
      <c r="AG57" s="615"/>
      <c r="AH57" s="615"/>
      <c r="AI57" s="615"/>
      <c r="AJ57" s="615"/>
      <c r="AK57" s="615"/>
      <c r="AL57" s="615"/>
      <c r="AM57" s="615"/>
      <c r="AN57" s="615"/>
      <c r="AO57" s="615"/>
      <c r="AP57" s="615"/>
      <c r="AQ57" s="615"/>
      <c r="AR57" s="615"/>
      <c r="AS57" s="615"/>
    </row>
    <row r="58" spans="12:45">
      <c r="L58" s="615"/>
      <c r="M58" s="615"/>
      <c r="AB58" s="615"/>
      <c r="AC58" s="615"/>
      <c r="AD58" s="615"/>
      <c r="AE58" s="615"/>
      <c r="AF58" s="615"/>
      <c r="AG58" s="615"/>
      <c r="AH58" s="615"/>
      <c r="AI58" s="615"/>
      <c r="AJ58" s="615"/>
      <c r="AK58" s="615"/>
      <c r="AL58" s="615"/>
      <c r="AM58" s="615"/>
      <c r="AN58" s="615"/>
      <c r="AO58" s="615"/>
      <c r="AP58" s="615"/>
      <c r="AQ58" s="615"/>
      <c r="AR58" s="615"/>
      <c r="AS58" s="615"/>
    </row>
    <row r="59" spans="12:45">
      <c r="L59" s="615"/>
      <c r="M59" s="615"/>
      <c r="AB59" s="615"/>
      <c r="AC59" s="615"/>
      <c r="AD59" s="615"/>
      <c r="AE59" s="615"/>
      <c r="AF59" s="615"/>
      <c r="AG59" s="615"/>
      <c r="AH59" s="615"/>
      <c r="AI59" s="615"/>
      <c r="AJ59" s="615"/>
      <c r="AK59" s="615"/>
      <c r="AL59" s="615"/>
      <c r="AM59" s="615"/>
      <c r="AN59" s="615"/>
      <c r="AO59" s="615"/>
      <c r="AP59" s="615"/>
      <c r="AQ59" s="615"/>
      <c r="AR59" s="615"/>
      <c r="AS59" s="615"/>
    </row>
    <row r="60" spans="12:45">
      <c r="L60" s="615"/>
      <c r="M60" s="615"/>
      <c r="AB60" s="615"/>
      <c r="AC60" s="615"/>
      <c r="AD60" s="615"/>
      <c r="AE60" s="615"/>
      <c r="AF60" s="615"/>
      <c r="AG60" s="615"/>
      <c r="AH60" s="615"/>
      <c r="AI60" s="615"/>
      <c r="AJ60" s="615"/>
      <c r="AK60" s="615"/>
      <c r="AL60" s="615"/>
      <c r="AM60" s="615"/>
      <c r="AN60" s="615"/>
      <c r="AO60" s="615"/>
      <c r="AP60" s="615"/>
      <c r="AQ60" s="615"/>
      <c r="AR60" s="615"/>
      <c r="AS60" s="615"/>
    </row>
    <row r="61" spans="12:45">
      <c r="L61" s="615"/>
      <c r="M61" s="615"/>
      <c r="AB61" s="615"/>
      <c r="AC61" s="615"/>
      <c r="AD61" s="615"/>
      <c r="AE61" s="615"/>
      <c r="AF61" s="615"/>
      <c r="AG61" s="615"/>
      <c r="AH61" s="615"/>
      <c r="AI61" s="615"/>
      <c r="AJ61" s="615"/>
      <c r="AK61" s="615"/>
      <c r="AL61" s="615"/>
      <c r="AM61" s="615"/>
      <c r="AN61" s="615"/>
      <c r="AO61" s="615"/>
      <c r="AP61" s="615"/>
      <c r="AQ61" s="615"/>
      <c r="AR61" s="615"/>
      <c r="AS61" s="615"/>
    </row>
    <row r="62" spans="12:45">
      <c r="L62" s="615"/>
      <c r="M62" s="615"/>
      <c r="AB62" s="615"/>
      <c r="AC62" s="615"/>
      <c r="AD62" s="615"/>
      <c r="AE62" s="615"/>
      <c r="AF62" s="615"/>
      <c r="AG62" s="615"/>
      <c r="AH62" s="615"/>
      <c r="AI62" s="615"/>
      <c r="AJ62" s="615"/>
      <c r="AK62" s="615"/>
      <c r="AL62" s="615"/>
      <c r="AM62" s="615"/>
      <c r="AN62" s="615"/>
      <c r="AO62" s="615"/>
      <c r="AP62" s="615"/>
      <c r="AQ62" s="615"/>
      <c r="AR62" s="615"/>
      <c r="AS62" s="615"/>
    </row>
    <row r="63" spans="12:45">
      <c r="L63" s="615"/>
      <c r="M63" s="615"/>
      <c r="AB63" s="615"/>
      <c r="AC63" s="615"/>
      <c r="AD63" s="615"/>
      <c r="AE63" s="615"/>
      <c r="AF63" s="615"/>
      <c r="AG63" s="615"/>
      <c r="AH63" s="615"/>
      <c r="AI63" s="615"/>
      <c r="AJ63" s="615"/>
      <c r="AK63" s="615"/>
      <c r="AL63" s="615"/>
      <c r="AM63" s="615"/>
      <c r="AN63" s="615"/>
      <c r="AO63" s="615"/>
      <c r="AP63" s="615"/>
      <c r="AQ63" s="615"/>
      <c r="AR63" s="615"/>
      <c r="AS63" s="615"/>
    </row>
    <row r="64" spans="12:45">
      <c r="L64" s="615"/>
      <c r="M64" s="615"/>
      <c r="AB64" s="615"/>
      <c r="AC64" s="615"/>
      <c r="AD64" s="615"/>
      <c r="AE64" s="615"/>
      <c r="AF64" s="615"/>
      <c r="AG64" s="615"/>
      <c r="AH64" s="615"/>
      <c r="AI64" s="615"/>
      <c r="AJ64" s="615"/>
      <c r="AK64" s="615"/>
      <c r="AL64" s="615"/>
      <c r="AM64" s="615"/>
      <c r="AN64" s="615"/>
      <c r="AO64" s="615"/>
      <c r="AP64" s="615"/>
      <c r="AQ64" s="615"/>
      <c r="AR64" s="615"/>
      <c r="AS64" s="615"/>
    </row>
    <row r="65" spans="12:45">
      <c r="L65" s="615"/>
      <c r="M65" s="615"/>
      <c r="AB65" s="615"/>
      <c r="AC65" s="615"/>
      <c r="AD65" s="615"/>
      <c r="AE65" s="615"/>
      <c r="AF65" s="615"/>
      <c r="AG65" s="615"/>
      <c r="AH65" s="615"/>
      <c r="AI65" s="615"/>
      <c r="AJ65" s="615"/>
      <c r="AK65" s="615"/>
      <c r="AL65" s="615"/>
      <c r="AM65" s="615"/>
      <c r="AN65" s="615"/>
      <c r="AO65" s="615"/>
      <c r="AP65" s="615"/>
      <c r="AQ65" s="615"/>
      <c r="AR65" s="615"/>
      <c r="AS65" s="615"/>
    </row>
    <row r="66" spans="12:45">
      <c r="L66" s="615"/>
      <c r="M66" s="615"/>
      <c r="AB66" s="615"/>
      <c r="AC66" s="615"/>
      <c r="AD66" s="615"/>
      <c r="AE66" s="615"/>
      <c r="AF66" s="615"/>
      <c r="AG66" s="615"/>
      <c r="AH66" s="615"/>
      <c r="AI66" s="615"/>
      <c r="AJ66" s="615"/>
      <c r="AK66" s="615"/>
      <c r="AL66" s="615"/>
      <c r="AM66" s="615"/>
      <c r="AN66" s="615"/>
      <c r="AO66" s="615"/>
      <c r="AP66" s="615"/>
      <c r="AQ66" s="615"/>
      <c r="AR66" s="615"/>
      <c r="AS66" s="615"/>
    </row>
    <row r="67" spans="12:45">
      <c r="L67" s="615"/>
      <c r="M67" s="615"/>
      <c r="AB67" s="615"/>
      <c r="AC67" s="615"/>
      <c r="AD67" s="615"/>
      <c r="AE67" s="615"/>
      <c r="AF67" s="615"/>
      <c r="AG67" s="615"/>
      <c r="AH67" s="615"/>
      <c r="AI67" s="615"/>
      <c r="AJ67" s="615"/>
      <c r="AK67" s="615"/>
      <c r="AL67" s="615"/>
      <c r="AM67" s="615"/>
      <c r="AN67" s="615"/>
      <c r="AO67" s="615"/>
      <c r="AP67" s="615"/>
      <c r="AQ67" s="615"/>
      <c r="AR67" s="615"/>
      <c r="AS67" s="615"/>
    </row>
    <row r="68" spans="12:45">
      <c r="L68" s="615"/>
      <c r="M68" s="615"/>
      <c r="AB68" s="615"/>
      <c r="AC68" s="615"/>
      <c r="AD68" s="615"/>
      <c r="AE68" s="615"/>
      <c r="AF68" s="615"/>
      <c r="AG68" s="615"/>
      <c r="AH68" s="615"/>
      <c r="AI68" s="615"/>
      <c r="AJ68" s="615"/>
      <c r="AK68" s="615"/>
      <c r="AL68" s="615"/>
      <c r="AM68" s="615"/>
      <c r="AN68" s="615"/>
      <c r="AO68" s="615"/>
      <c r="AP68" s="615"/>
      <c r="AQ68" s="615"/>
      <c r="AR68" s="615"/>
      <c r="AS68" s="615"/>
    </row>
    <row r="69" spans="12:45">
      <c r="L69" s="615"/>
      <c r="M69" s="615"/>
      <c r="AB69" s="615"/>
      <c r="AC69" s="615"/>
      <c r="AD69" s="615"/>
      <c r="AE69" s="615"/>
      <c r="AF69" s="615"/>
      <c r="AG69" s="615"/>
      <c r="AH69" s="615"/>
      <c r="AI69" s="615"/>
      <c r="AJ69" s="615"/>
      <c r="AK69" s="615"/>
      <c r="AL69" s="615"/>
      <c r="AM69" s="615"/>
      <c r="AN69" s="615"/>
      <c r="AO69" s="615"/>
      <c r="AP69" s="615"/>
      <c r="AQ69" s="615"/>
      <c r="AR69" s="615"/>
      <c r="AS69" s="615"/>
    </row>
    <row r="70" spans="12:45">
      <c r="L70" s="615"/>
      <c r="M70" s="615"/>
      <c r="AB70" s="615"/>
      <c r="AC70" s="615"/>
      <c r="AD70" s="615"/>
      <c r="AE70" s="615"/>
      <c r="AF70" s="615"/>
      <c r="AG70" s="615"/>
      <c r="AH70" s="615"/>
      <c r="AI70" s="615"/>
      <c r="AJ70" s="615"/>
      <c r="AK70" s="615"/>
      <c r="AL70" s="615"/>
      <c r="AM70" s="615"/>
      <c r="AN70" s="615"/>
      <c r="AO70" s="615"/>
      <c r="AP70" s="615"/>
      <c r="AQ70" s="615"/>
      <c r="AR70" s="615"/>
      <c r="AS70" s="615"/>
    </row>
    <row r="71" spans="12:45">
      <c r="L71" s="615"/>
      <c r="M71" s="615"/>
      <c r="AB71" s="615"/>
      <c r="AC71" s="615"/>
      <c r="AD71" s="615"/>
      <c r="AE71" s="615"/>
      <c r="AF71" s="615"/>
      <c r="AG71" s="615"/>
      <c r="AH71" s="615"/>
      <c r="AI71" s="615"/>
      <c r="AJ71" s="615"/>
      <c r="AK71" s="615"/>
      <c r="AL71" s="615"/>
      <c r="AM71" s="615"/>
      <c r="AN71" s="615"/>
      <c r="AO71" s="615"/>
      <c r="AP71" s="615"/>
      <c r="AQ71" s="615"/>
      <c r="AR71" s="615"/>
      <c r="AS71" s="615"/>
    </row>
    <row r="72" spans="12:45">
      <c r="L72" s="615"/>
      <c r="M72" s="615"/>
      <c r="AB72" s="615"/>
      <c r="AC72" s="615"/>
      <c r="AD72" s="615"/>
      <c r="AE72" s="615"/>
      <c r="AF72" s="615"/>
      <c r="AG72" s="615"/>
      <c r="AH72" s="615"/>
      <c r="AI72" s="615"/>
      <c r="AJ72" s="615"/>
      <c r="AK72" s="615"/>
      <c r="AL72" s="615"/>
      <c r="AM72" s="615"/>
      <c r="AN72" s="615"/>
      <c r="AO72" s="615"/>
      <c r="AP72" s="615"/>
      <c r="AQ72" s="615"/>
      <c r="AR72" s="615"/>
      <c r="AS72" s="615"/>
    </row>
    <row r="73" spans="12:45">
      <c r="L73" s="615"/>
      <c r="M73" s="615"/>
      <c r="AB73" s="615"/>
      <c r="AC73" s="615"/>
      <c r="AD73" s="615"/>
      <c r="AE73" s="615"/>
      <c r="AF73" s="615"/>
      <c r="AG73" s="615"/>
      <c r="AH73" s="615"/>
      <c r="AI73" s="615"/>
      <c r="AJ73" s="615"/>
      <c r="AK73" s="615"/>
      <c r="AL73" s="615"/>
      <c r="AM73" s="615"/>
      <c r="AN73" s="615"/>
      <c r="AO73" s="615"/>
      <c r="AP73" s="615"/>
      <c r="AQ73" s="615"/>
      <c r="AR73" s="615"/>
      <c r="AS73" s="615"/>
    </row>
    <row r="74" spans="12:45">
      <c r="L74" s="615"/>
      <c r="M74" s="615"/>
      <c r="AB74" s="615"/>
      <c r="AC74" s="615"/>
      <c r="AD74" s="615"/>
      <c r="AE74" s="615"/>
      <c r="AF74" s="615"/>
      <c r="AG74" s="615"/>
      <c r="AH74" s="615"/>
      <c r="AI74" s="615"/>
      <c r="AJ74" s="615"/>
      <c r="AK74" s="615"/>
      <c r="AL74" s="615"/>
      <c r="AM74" s="615"/>
      <c r="AN74" s="615"/>
      <c r="AO74" s="615"/>
      <c r="AP74" s="615"/>
      <c r="AQ74" s="615"/>
      <c r="AR74" s="615"/>
      <c r="AS74" s="615"/>
    </row>
    <row r="75" spans="12:45">
      <c r="L75" s="615"/>
      <c r="M75" s="615"/>
      <c r="AB75" s="615"/>
      <c r="AC75" s="615"/>
      <c r="AD75" s="615"/>
      <c r="AE75" s="615"/>
      <c r="AF75" s="615"/>
      <c r="AG75" s="615"/>
      <c r="AH75" s="615"/>
      <c r="AI75" s="615"/>
      <c r="AJ75" s="615"/>
      <c r="AK75" s="615"/>
      <c r="AL75" s="615"/>
      <c r="AM75" s="615"/>
      <c r="AN75" s="615"/>
      <c r="AO75" s="615"/>
      <c r="AP75" s="615"/>
      <c r="AQ75" s="615"/>
      <c r="AR75" s="615"/>
      <c r="AS75" s="615"/>
    </row>
    <row r="76" spans="12:45">
      <c r="L76" s="615"/>
      <c r="M76" s="615"/>
      <c r="AB76" s="615"/>
      <c r="AC76" s="615"/>
      <c r="AD76" s="615"/>
      <c r="AE76" s="615"/>
      <c r="AF76" s="615"/>
      <c r="AG76" s="615"/>
      <c r="AH76" s="615"/>
      <c r="AI76" s="615"/>
      <c r="AJ76" s="615"/>
      <c r="AK76" s="615"/>
      <c r="AL76" s="615"/>
      <c r="AM76" s="615"/>
      <c r="AN76" s="615"/>
      <c r="AO76" s="615"/>
      <c r="AP76" s="615"/>
      <c r="AQ76" s="615"/>
      <c r="AR76" s="615"/>
      <c r="AS76" s="615"/>
    </row>
    <row r="77" spans="12:45">
      <c r="L77" s="615"/>
      <c r="M77" s="615"/>
      <c r="AB77" s="615"/>
      <c r="AC77" s="615"/>
      <c r="AD77" s="615"/>
      <c r="AE77" s="615"/>
      <c r="AF77" s="615"/>
      <c r="AG77" s="615"/>
      <c r="AH77" s="615"/>
      <c r="AI77" s="615"/>
      <c r="AJ77" s="615"/>
      <c r="AK77" s="615"/>
      <c r="AL77" s="615"/>
      <c r="AM77" s="615"/>
      <c r="AN77" s="615"/>
      <c r="AO77" s="615"/>
      <c r="AP77" s="615"/>
      <c r="AQ77" s="615"/>
      <c r="AR77" s="615"/>
      <c r="AS77" s="615"/>
    </row>
    <row r="78" spans="12:45">
      <c r="L78" s="615"/>
      <c r="M78" s="615"/>
      <c r="AB78" s="615"/>
      <c r="AC78" s="615"/>
      <c r="AD78" s="615"/>
      <c r="AE78" s="615"/>
      <c r="AF78" s="615"/>
      <c r="AG78" s="615"/>
      <c r="AH78" s="615"/>
      <c r="AI78" s="615"/>
      <c r="AJ78" s="615"/>
      <c r="AK78" s="615"/>
      <c r="AL78" s="615"/>
      <c r="AM78" s="615"/>
      <c r="AN78" s="615"/>
      <c r="AO78" s="615"/>
      <c r="AP78" s="615"/>
      <c r="AQ78" s="615"/>
      <c r="AR78" s="615"/>
      <c r="AS78" s="615"/>
    </row>
    <row r="79" spans="12:45">
      <c r="L79" s="615"/>
      <c r="M79" s="615"/>
      <c r="AB79" s="615"/>
      <c r="AC79" s="615"/>
      <c r="AD79" s="615"/>
      <c r="AE79" s="615"/>
      <c r="AF79" s="615"/>
      <c r="AG79" s="615"/>
      <c r="AH79" s="615"/>
      <c r="AI79" s="615"/>
      <c r="AJ79" s="615"/>
      <c r="AK79" s="615"/>
      <c r="AL79" s="615"/>
      <c r="AM79" s="615"/>
      <c r="AN79" s="615"/>
      <c r="AO79" s="615"/>
      <c r="AP79" s="615"/>
      <c r="AQ79" s="615"/>
      <c r="AR79" s="615"/>
      <c r="AS79" s="615"/>
    </row>
    <row r="80" spans="12:45">
      <c r="L80" s="615"/>
      <c r="M80" s="615"/>
      <c r="AB80" s="615"/>
      <c r="AC80" s="615"/>
      <c r="AD80" s="615"/>
      <c r="AE80" s="615"/>
      <c r="AF80" s="615"/>
      <c r="AG80" s="615"/>
      <c r="AH80" s="615"/>
      <c r="AI80" s="615"/>
      <c r="AJ80" s="615"/>
      <c r="AK80" s="615"/>
      <c r="AL80" s="615"/>
      <c r="AM80" s="615"/>
      <c r="AN80" s="615"/>
      <c r="AO80" s="615"/>
      <c r="AP80" s="615"/>
      <c r="AQ80" s="615"/>
      <c r="AR80" s="615"/>
      <c r="AS80" s="615"/>
    </row>
    <row r="81" spans="12:45">
      <c r="L81" s="615"/>
      <c r="M81" s="615"/>
      <c r="AB81" s="615"/>
      <c r="AC81" s="615"/>
      <c r="AD81" s="615"/>
      <c r="AE81" s="615"/>
      <c r="AF81" s="615"/>
      <c r="AG81" s="615"/>
      <c r="AH81" s="615"/>
      <c r="AI81" s="615"/>
      <c r="AJ81" s="615"/>
      <c r="AK81" s="615"/>
      <c r="AL81" s="615"/>
      <c r="AM81" s="615"/>
      <c r="AN81" s="615"/>
      <c r="AO81" s="615"/>
      <c r="AP81" s="615"/>
      <c r="AQ81" s="615"/>
      <c r="AR81" s="615"/>
      <c r="AS81" s="615"/>
    </row>
    <row r="82" spans="12:45">
      <c r="L82" s="615"/>
      <c r="M82" s="615"/>
      <c r="AB82" s="615"/>
      <c r="AC82" s="615"/>
      <c r="AD82" s="615"/>
      <c r="AE82" s="615"/>
      <c r="AF82" s="615"/>
      <c r="AG82" s="615"/>
      <c r="AH82" s="615"/>
      <c r="AI82" s="615"/>
      <c r="AJ82" s="615"/>
      <c r="AK82" s="615"/>
      <c r="AL82" s="615"/>
      <c r="AM82" s="615"/>
      <c r="AN82" s="615"/>
      <c r="AO82" s="615"/>
      <c r="AP82" s="615"/>
      <c r="AQ82" s="615"/>
      <c r="AR82" s="615"/>
      <c r="AS82" s="615"/>
    </row>
    <row r="83" spans="12:45">
      <c r="L83" s="615"/>
      <c r="M83" s="615"/>
      <c r="AB83" s="615"/>
      <c r="AC83" s="615"/>
      <c r="AD83" s="615"/>
      <c r="AE83" s="615"/>
      <c r="AF83" s="615"/>
      <c r="AG83" s="615"/>
      <c r="AH83" s="615"/>
      <c r="AI83" s="615"/>
      <c r="AJ83" s="615"/>
      <c r="AK83" s="615"/>
      <c r="AL83" s="615"/>
      <c r="AM83" s="615"/>
      <c r="AN83" s="615"/>
      <c r="AO83" s="615"/>
      <c r="AP83" s="615"/>
      <c r="AQ83" s="615"/>
      <c r="AR83" s="615"/>
      <c r="AS83" s="615"/>
    </row>
    <row r="84" spans="12:45">
      <c r="L84" s="615"/>
      <c r="M84" s="615"/>
      <c r="AB84" s="615"/>
      <c r="AC84" s="615"/>
      <c r="AD84" s="615"/>
      <c r="AE84" s="615"/>
      <c r="AF84" s="615"/>
      <c r="AG84" s="615"/>
      <c r="AH84" s="615"/>
      <c r="AI84" s="615"/>
      <c r="AJ84" s="615"/>
      <c r="AK84" s="615"/>
      <c r="AL84" s="615"/>
      <c r="AM84" s="615"/>
      <c r="AN84" s="615"/>
      <c r="AO84" s="615"/>
      <c r="AP84" s="615"/>
      <c r="AQ84" s="615"/>
      <c r="AR84" s="615"/>
      <c r="AS84" s="615"/>
    </row>
    <row r="85" spans="12:45">
      <c r="L85" s="615"/>
      <c r="M85" s="615"/>
      <c r="AB85" s="615"/>
      <c r="AC85" s="615"/>
      <c r="AD85" s="615"/>
      <c r="AE85" s="615"/>
      <c r="AF85" s="615"/>
      <c r="AG85" s="615"/>
      <c r="AH85" s="615"/>
      <c r="AI85" s="615"/>
      <c r="AJ85" s="615"/>
      <c r="AK85" s="615"/>
      <c r="AL85" s="615"/>
      <c r="AM85" s="615"/>
      <c r="AN85" s="615"/>
      <c r="AO85" s="615"/>
      <c r="AP85" s="615"/>
      <c r="AQ85" s="615"/>
      <c r="AR85" s="615"/>
      <c r="AS85" s="615"/>
    </row>
    <row r="86" spans="12:45">
      <c r="L86" s="615"/>
      <c r="M86" s="615"/>
      <c r="AB86" s="615"/>
      <c r="AC86" s="615"/>
      <c r="AD86" s="615"/>
      <c r="AE86" s="615"/>
      <c r="AF86" s="615"/>
      <c r="AG86" s="615"/>
      <c r="AH86" s="615"/>
      <c r="AI86" s="615"/>
      <c r="AJ86" s="615"/>
      <c r="AK86" s="615"/>
      <c r="AL86" s="615"/>
      <c r="AM86" s="615"/>
      <c r="AN86" s="615"/>
      <c r="AO86" s="615"/>
      <c r="AP86" s="615"/>
      <c r="AQ86" s="615"/>
      <c r="AR86" s="615"/>
      <c r="AS86" s="615"/>
    </row>
    <row r="87" spans="12:45">
      <c r="L87" s="615"/>
      <c r="M87" s="615"/>
      <c r="AB87" s="615"/>
      <c r="AC87" s="615"/>
      <c r="AD87" s="615"/>
      <c r="AE87" s="615"/>
      <c r="AF87" s="615"/>
      <c r="AG87" s="615"/>
      <c r="AH87" s="615"/>
      <c r="AI87" s="615"/>
      <c r="AJ87" s="615"/>
      <c r="AK87" s="615"/>
      <c r="AL87" s="615"/>
      <c r="AM87" s="615"/>
      <c r="AN87" s="615"/>
      <c r="AO87" s="615"/>
      <c r="AP87" s="615"/>
      <c r="AQ87" s="615"/>
      <c r="AR87" s="615"/>
      <c r="AS87" s="615"/>
    </row>
    <row r="88" spans="12:45">
      <c r="L88" s="615"/>
      <c r="M88" s="615"/>
      <c r="AB88" s="615"/>
      <c r="AC88" s="615"/>
      <c r="AD88" s="615"/>
      <c r="AE88" s="615"/>
      <c r="AF88" s="615"/>
      <c r="AG88" s="615"/>
      <c r="AH88" s="615"/>
      <c r="AI88" s="615"/>
      <c r="AJ88" s="615"/>
      <c r="AK88" s="615"/>
      <c r="AL88" s="615"/>
      <c r="AM88" s="615"/>
      <c r="AN88" s="615"/>
      <c r="AO88" s="615"/>
      <c r="AP88" s="615"/>
      <c r="AQ88" s="615"/>
      <c r="AR88" s="615"/>
      <c r="AS88" s="615"/>
    </row>
    <row r="89" spans="12:45">
      <c r="L89" s="615"/>
      <c r="M89" s="615"/>
      <c r="AB89" s="615"/>
      <c r="AC89" s="615"/>
      <c r="AD89" s="615"/>
      <c r="AE89" s="615"/>
      <c r="AF89" s="615"/>
      <c r="AG89" s="615"/>
      <c r="AH89" s="615"/>
      <c r="AI89" s="615"/>
      <c r="AJ89" s="615"/>
      <c r="AK89" s="615"/>
      <c r="AL89" s="615"/>
      <c r="AM89" s="615"/>
      <c r="AN89" s="615"/>
      <c r="AO89" s="615"/>
      <c r="AP89" s="615"/>
      <c r="AQ89" s="615"/>
      <c r="AR89" s="615"/>
      <c r="AS89" s="615"/>
    </row>
    <row r="90" spans="12:45">
      <c r="L90" s="615"/>
      <c r="M90" s="615"/>
      <c r="AB90" s="615"/>
      <c r="AC90" s="615"/>
      <c r="AD90" s="615"/>
      <c r="AE90" s="615"/>
      <c r="AF90" s="615"/>
      <c r="AG90" s="615"/>
      <c r="AH90" s="615"/>
      <c r="AI90" s="615"/>
      <c r="AJ90" s="615"/>
      <c r="AK90" s="615"/>
      <c r="AL90" s="615"/>
      <c r="AM90" s="615"/>
      <c r="AN90" s="615"/>
      <c r="AO90" s="615"/>
      <c r="AP90" s="615"/>
      <c r="AQ90" s="615"/>
      <c r="AR90" s="615"/>
      <c r="AS90" s="615"/>
    </row>
    <row r="91" spans="12:45">
      <c r="L91" s="615"/>
      <c r="M91" s="615"/>
      <c r="AB91" s="615"/>
      <c r="AC91" s="615"/>
      <c r="AD91" s="615"/>
      <c r="AE91" s="615"/>
      <c r="AF91" s="615"/>
      <c r="AG91" s="615"/>
      <c r="AH91" s="615"/>
      <c r="AI91" s="615"/>
      <c r="AJ91" s="615"/>
      <c r="AK91" s="615"/>
      <c r="AL91" s="615"/>
      <c r="AM91" s="615"/>
      <c r="AN91" s="615"/>
      <c r="AO91" s="615"/>
      <c r="AP91" s="615"/>
      <c r="AQ91" s="615"/>
      <c r="AR91" s="615"/>
      <c r="AS91" s="615"/>
    </row>
    <row r="92" spans="12:45">
      <c r="L92" s="615"/>
      <c r="M92" s="615"/>
      <c r="AB92" s="615"/>
      <c r="AC92" s="615"/>
      <c r="AD92" s="615"/>
      <c r="AE92" s="615"/>
      <c r="AF92" s="615"/>
      <c r="AG92" s="615"/>
      <c r="AH92" s="615"/>
      <c r="AI92" s="615"/>
      <c r="AJ92" s="615"/>
      <c r="AK92" s="615"/>
      <c r="AL92" s="615"/>
      <c r="AM92" s="615"/>
      <c r="AN92" s="615"/>
      <c r="AO92" s="615"/>
      <c r="AP92" s="615"/>
      <c r="AQ92" s="615"/>
      <c r="AR92" s="615"/>
      <c r="AS92" s="615"/>
    </row>
    <row r="93" spans="12:45">
      <c r="L93" s="615"/>
      <c r="M93" s="615"/>
      <c r="AB93" s="615"/>
      <c r="AC93" s="615"/>
      <c r="AD93" s="615"/>
      <c r="AE93" s="615"/>
      <c r="AF93" s="615"/>
      <c r="AG93" s="615"/>
      <c r="AH93" s="615"/>
      <c r="AI93" s="615"/>
      <c r="AJ93" s="615"/>
      <c r="AK93" s="615"/>
      <c r="AL93" s="615"/>
      <c r="AM93" s="615"/>
      <c r="AN93" s="615"/>
      <c r="AO93" s="615"/>
      <c r="AP93" s="615"/>
      <c r="AQ93" s="615"/>
      <c r="AR93" s="615"/>
      <c r="AS93" s="615"/>
    </row>
    <row r="94" spans="12:45">
      <c r="L94" s="615"/>
      <c r="M94" s="615"/>
      <c r="AB94" s="615"/>
      <c r="AC94" s="615"/>
      <c r="AD94" s="615"/>
      <c r="AE94" s="615"/>
      <c r="AF94" s="615"/>
      <c r="AG94" s="615"/>
      <c r="AH94" s="615"/>
      <c r="AI94" s="615"/>
      <c r="AJ94" s="615"/>
      <c r="AK94" s="615"/>
      <c r="AL94" s="615"/>
      <c r="AM94" s="615"/>
      <c r="AN94" s="615"/>
      <c r="AO94" s="615"/>
      <c r="AP94" s="615"/>
      <c r="AQ94" s="615"/>
      <c r="AR94" s="615"/>
      <c r="AS94" s="615"/>
    </row>
    <row r="95" spans="12:45">
      <c r="L95" s="615"/>
      <c r="M95" s="615"/>
      <c r="AB95" s="615"/>
      <c r="AC95" s="615"/>
      <c r="AD95" s="615"/>
      <c r="AE95" s="615"/>
      <c r="AF95" s="615"/>
      <c r="AG95" s="615"/>
      <c r="AH95" s="615"/>
      <c r="AI95" s="615"/>
      <c r="AJ95" s="615"/>
      <c r="AK95" s="615"/>
      <c r="AL95" s="615"/>
      <c r="AM95" s="615"/>
      <c r="AN95" s="615"/>
      <c r="AO95" s="615"/>
      <c r="AP95" s="615"/>
      <c r="AQ95" s="615"/>
      <c r="AR95" s="615"/>
      <c r="AS95" s="615"/>
    </row>
    <row r="96" spans="12:45">
      <c r="L96" s="615"/>
      <c r="M96" s="615"/>
      <c r="AB96" s="615"/>
      <c r="AC96" s="615"/>
      <c r="AD96" s="615"/>
      <c r="AE96" s="615"/>
      <c r="AF96" s="615"/>
      <c r="AG96" s="615"/>
      <c r="AH96" s="615"/>
      <c r="AI96" s="615"/>
      <c r="AJ96" s="615"/>
      <c r="AK96" s="615"/>
      <c r="AL96" s="615"/>
      <c r="AM96" s="615"/>
      <c r="AN96" s="615"/>
      <c r="AO96" s="615"/>
      <c r="AP96" s="615"/>
      <c r="AQ96" s="615"/>
      <c r="AR96" s="615"/>
      <c r="AS96" s="615"/>
    </row>
    <row r="97" spans="12:45">
      <c r="L97" s="615"/>
      <c r="M97" s="615"/>
      <c r="AB97" s="615"/>
      <c r="AC97" s="615"/>
      <c r="AD97" s="615"/>
      <c r="AE97" s="615"/>
      <c r="AF97" s="615"/>
      <c r="AG97" s="615"/>
      <c r="AH97" s="615"/>
      <c r="AI97" s="615"/>
      <c r="AJ97" s="615"/>
      <c r="AK97" s="615"/>
      <c r="AL97" s="615"/>
      <c r="AM97" s="615"/>
      <c r="AN97" s="615"/>
      <c r="AO97" s="615"/>
      <c r="AP97" s="615"/>
      <c r="AQ97" s="615"/>
      <c r="AR97" s="615"/>
      <c r="AS97" s="615"/>
    </row>
    <row r="98" spans="12:45">
      <c r="L98" s="615"/>
      <c r="M98" s="615"/>
      <c r="AB98" s="615"/>
      <c r="AC98" s="615"/>
      <c r="AD98" s="615"/>
      <c r="AE98" s="615"/>
      <c r="AF98" s="615"/>
      <c r="AG98" s="615"/>
      <c r="AH98" s="615"/>
      <c r="AI98" s="615"/>
      <c r="AJ98" s="615"/>
      <c r="AK98" s="615"/>
      <c r="AL98" s="615"/>
      <c r="AM98" s="615"/>
      <c r="AN98" s="615"/>
      <c r="AO98" s="615"/>
      <c r="AP98" s="615"/>
      <c r="AQ98" s="615"/>
      <c r="AR98" s="615"/>
      <c r="AS98" s="615"/>
    </row>
    <row r="99" spans="12:45">
      <c r="L99" s="615"/>
      <c r="M99" s="615"/>
      <c r="AB99" s="615"/>
      <c r="AC99" s="615"/>
      <c r="AD99" s="615"/>
      <c r="AE99" s="615"/>
      <c r="AF99" s="615"/>
      <c r="AG99" s="615"/>
      <c r="AH99" s="615"/>
      <c r="AI99" s="615"/>
      <c r="AJ99" s="615"/>
      <c r="AK99" s="615"/>
      <c r="AL99" s="615"/>
      <c r="AM99" s="615"/>
      <c r="AN99" s="615"/>
      <c r="AO99" s="615"/>
      <c r="AP99" s="615"/>
      <c r="AQ99" s="615"/>
      <c r="AR99" s="615"/>
      <c r="AS99" s="615"/>
    </row>
    <row r="100" spans="12:45">
      <c r="L100" s="615"/>
      <c r="M100" s="615"/>
      <c r="AB100" s="615"/>
      <c r="AC100" s="615"/>
      <c r="AD100" s="615"/>
      <c r="AE100" s="615"/>
      <c r="AF100" s="615"/>
      <c r="AG100" s="615"/>
      <c r="AH100" s="615"/>
      <c r="AI100" s="615"/>
      <c r="AJ100" s="615"/>
      <c r="AK100" s="615"/>
      <c r="AL100" s="615"/>
      <c r="AM100" s="615"/>
      <c r="AN100" s="615"/>
      <c r="AO100" s="615"/>
      <c r="AP100" s="615"/>
      <c r="AQ100" s="615"/>
      <c r="AR100" s="615"/>
      <c r="AS100" s="615"/>
    </row>
    <row r="101" spans="12:45">
      <c r="L101" s="615"/>
      <c r="M101" s="615"/>
      <c r="AB101" s="615"/>
      <c r="AC101" s="615"/>
      <c r="AD101" s="615"/>
      <c r="AE101" s="615"/>
      <c r="AF101" s="615"/>
      <c r="AG101" s="615"/>
      <c r="AH101" s="615"/>
      <c r="AI101" s="615"/>
      <c r="AJ101" s="615"/>
      <c r="AK101" s="615"/>
      <c r="AL101" s="615"/>
      <c r="AM101" s="615"/>
      <c r="AN101" s="615"/>
      <c r="AO101" s="615"/>
      <c r="AP101" s="615"/>
      <c r="AQ101" s="615"/>
      <c r="AR101" s="615"/>
      <c r="AS101" s="615"/>
    </row>
    <row r="102" spans="12:45">
      <c r="L102" s="615"/>
      <c r="M102" s="615"/>
      <c r="AB102" s="615"/>
      <c r="AC102" s="615"/>
      <c r="AD102" s="615"/>
      <c r="AE102" s="615"/>
      <c r="AF102" s="615"/>
      <c r="AG102" s="615"/>
      <c r="AH102" s="615"/>
      <c r="AI102" s="615"/>
      <c r="AJ102" s="615"/>
      <c r="AK102" s="615"/>
      <c r="AL102" s="615"/>
      <c r="AM102" s="615"/>
      <c r="AN102" s="615"/>
      <c r="AO102" s="615"/>
      <c r="AP102" s="615"/>
      <c r="AQ102" s="615"/>
      <c r="AR102" s="615"/>
      <c r="AS102" s="615"/>
    </row>
    <row r="103" spans="12:45">
      <c r="L103" s="615"/>
      <c r="M103" s="615"/>
      <c r="AB103" s="615"/>
      <c r="AC103" s="615"/>
      <c r="AD103" s="615"/>
      <c r="AE103" s="615"/>
      <c r="AF103" s="615"/>
      <c r="AG103" s="615"/>
      <c r="AH103" s="615"/>
      <c r="AI103" s="615"/>
      <c r="AJ103" s="615"/>
      <c r="AK103" s="615"/>
      <c r="AL103" s="615"/>
      <c r="AM103" s="615"/>
      <c r="AN103" s="615"/>
      <c r="AO103" s="615"/>
      <c r="AP103" s="615"/>
      <c r="AQ103" s="615"/>
      <c r="AR103" s="615"/>
      <c r="AS103" s="615"/>
    </row>
    <row r="104" spans="12:45">
      <c r="L104" s="615"/>
      <c r="M104" s="615"/>
      <c r="AB104" s="615"/>
      <c r="AC104" s="615"/>
      <c r="AD104" s="615"/>
      <c r="AE104" s="615"/>
      <c r="AF104" s="615"/>
      <c r="AG104" s="615"/>
      <c r="AH104" s="615"/>
      <c r="AI104" s="615"/>
      <c r="AJ104" s="615"/>
      <c r="AK104" s="615"/>
      <c r="AL104" s="615"/>
      <c r="AM104" s="615"/>
      <c r="AN104" s="615"/>
      <c r="AO104" s="615"/>
      <c r="AP104" s="615"/>
      <c r="AQ104" s="615"/>
      <c r="AR104" s="615"/>
      <c r="AS104" s="615"/>
    </row>
    <row r="105" spans="12:45">
      <c r="L105" s="615"/>
      <c r="M105" s="615"/>
      <c r="AB105" s="615"/>
      <c r="AC105" s="615"/>
      <c r="AD105" s="615"/>
      <c r="AE105" s="615"/>
      <c r="AF105" s="615"/>
      <c r="AG105" s="615"/>
      <c r="AH105" s="615"/>
      <c r="AI105" s="615"/>
      <c r="AJ105" s="615"/>
      <c r="AK105" s="615"/>
      <c r="AL105" s="615"/>
      <c r="AM105" s="615"/>
      <c r="AN105" s="615"/>
      <c r="AO105" s="615"/>
      <c r="AP105" s="615"/>
      <c r="AQ105" s="615"/>
      <c r="AR105" s="615"/>
      <c r="AS105" s="615"/>
    </row>
    <row r="106" spans="12:45">
      <c r="L106" s="615"/>
      <c r="M106" s="615"/>
      <c r="AB106" s="615"/>
      <c r="AC106" s="615"/>
      <c r="AD106" s="615"/>
      <c r="AE106" s="615"/>
      <c r="AF106" s="615"/>
      <c r="AG106" s="615"/>
      <c r="AH106" s="615"/>
      <c r="AI106" s="615"/>
      <c r="AJ106" s="615"/>
      <c r="AK106" s="615"/>
      <c r="AL106" s="615"/>
      <c r="AM106" s="615"/>
      <c r="AN106" s="615"/>
      <c r="AO106" s="615"/>
      <c r="AP106" s="615"/>
      <c r="AQ106" s="615"/>
      <c r="AR106" s="615"/>
      <c r="AS106" s="615"/>
    </row>
    <row r="107" spans="12:45">
      <c r="L107" s="615"/>
      <c r="M107" s="615"/>
      <c r="AB107" s="615"/>
      <c r="AC107" s="615"/>
      <c r="AD107" s="615"/>
      <c r="AE107" s="615"/>
      <c r="AF107" s="615"/>
      <c r="AG107" s="615"/>
      <c r="AH107" s="615"/>
      <c r="AI107" s="615"/>
      <c r="AJ107" s="615"/>
      <c r="AK107" s="615"/>
      <c r="AL107" s="615"/>
      <c r="AM107" s="615"/>
      <c r="AN107" s="615"/>
      <c r="AO107" s="615"/>
      <c r="AP107" s="615"/>
      <c r="AQ107" s="615"/>
      <c r="AR107" s="615"/>
      <c r="AS107" s="615"/>
    </row>
    <row r="108" spans="12:45">
      <c r="L108" s="615"/>
      <c r="M108" s="615"/>
      <c r="AB108" s="615"/>
      <c r="AC108" s="615"/>
      <c r="AD108" s="615"/>
      <c r="AE108" s="615"/>
      <c r="AF108" s="615"/>
      <c r="AG108" s="615"/>
      <c r="AH108" s="615"/>
      <c r="AI108" s="615"/>
      <c r="AJ108" s="615"/>
      <c r="AK108" s="615"/>
      <c r="AL108" s="615"/>
      <c r="AM108" s="615"/>
      <c r="AN108" s="615"/>
      <c r="AO108" s="615"/>
      <c r="AP108" s="615"/>
      <c r="AQ108" s="615"/>
      <c r="AR108" s="615"/>
      <c r="AS108" s="615"/>
    </row>
    <row r="109" spans="12:45">
      <c r="L109" s="615"/>
      <c r="M109" s="615"/>
      <c r="AB109" s="615"/>
      <c r="AC109" s="615"/>
      <c r="AD109" s="615"/>
      <c r="AE109" s="615"/>
      <c r="AF109" s="615"/>
      <c r="AG109" s="615"/>
      <c r="AH109" s="615"/>
      <c r="AI109" s="615"/>
      <c r="AJ109" s="615"/>
      <c r="AK109" s="615"/>
      <c r="AL109" s="615"/>
      <c r="AM109" s="615"/>
      <c r="AN109" s="615"/>
      <c r="AO109" s="615"/>
      <c r="AP109" s="615"/>
      <c r="AQ109" s="615"/>
      <c r="AR109" s="615"/>
      <c r="AS109" s="615"/>
    </row>
    <row r="110" spans="12:45">
      <c r="L110" s="615"/>
      <c r="M110" s="615"/>
      <c r="AB110" s="615"/>
      <c r="AC110" s="615"/>
      <c r="AD110" s="615"/>
      <c r="AE110" s="615"/>
      <c r="AF110" s="615"/>
      <c r="AG110" s="615"/>
      <c r="AH110" s="615"/>
      <c r="AI110" s="615"/>
      <c r="AJ110" s="615"/>
      <c r="AK110" s="615"/>
      <c r="AL110" s="615"/>
      <c r="AM110" s="615"/>
      <c r="AN110" s="615"/>
      <c r="AO110" s="615"/>
      <c r="AP110" s="615"/>
      <c r="AQ110" s="615"/>
      <c r="AR110" s="615"/>
      <c r="AS110" s="615"/>
    </row>
    <row r="111" spans="12:45">
      <c r="L111" s="615"/>
      <c r="M111" s="615"/>
      <c r="AB111" s="615"/>
      <c r="AC111" s="615"/>
      <c r="AD111" s="615"/>
      <c r="AE111" s="615"/>
      <c r="AF111" s="615"/>
      <c r="AG111" s="615"/>
      <c r="AH111" s="615"/>
      <c r="AI111" s="615"/>
      <c r="AJ111" s="615"/>
      <c r="AK111" s="615"/>
      <c r="AL111" s="615"/>
      <c r="AM111" s="615"/>
      <c r="AN111" s="615"/>
      <c r="AO111" s="615"/>
      <c r="AP111" s="615"/>
      <c r="AQ111" s="615"/>
      <c r="AR111" s="615"/>
      <c r="AS111" s="615"/>
    </row>
    <row r="112" spans="12:45">
      <c r="L112" s="615"/>
      <c r="M112" s="615"/>
      <c r="AB112" s="615"/>
      <c r="AC112" s="615"/>
      <c r="AD112" s="615"/>
      <c r="AE112" s="615"/>
      <c r="AF112" s="615"/>
      <c r="AG112" s="615"/>
      <c r="AH112" s="615"/>
      <c r="AI112" s="615"/>
      <c r="AJ112" s="615"/>
      <c r="AK112" s="615"/>
      <c r="AL112" s="615"/>
      <c r="AM112" s="615"/>
      <c r="AN112" s="615"/>
      <c r="AO112" s="615"/>
      <c r="AP112" s="615"/>
      <c r="AQ112" s="615"/>
      <c r="AR112" s="615"/>
      <c r="AS112" s="615"/>
    </row>
    <row r="113" spans="12:45">
      <c r="L113" s="615"/>
      <c r="M113" s="615"/>
      <c r="AB113" s="615"/>
      <c r="AC113" s="615"/>
      <c r="AD113" s="615"/>
      <c r="AE113" s="615"/>
      <c r="AF113" s="615"/>
      <c r="AG113" s="615"/>
      <c r="AH113" s="615"/>
      <c r="AI113" s="615"/>
      <c r="AJ113" s="615"/>
      <c r="AK113" s="615"/>
      <c r="AL113" s="615"/>
      <c r="AM113" s="615"/>
      <c r="AN113" s="615"/>
      <c r="AO113" s="615"/>
      <c r="AP113" s="615"/>
      <c r="AQ113" s="615"/>
      <c r="AR113" s="615"/>
      <c r="AS113" s="615"/>
    </row>
    <row r="114" spans="12:45">
      <c r="L114" s="615"/>
      <c r="M114" s="615"/>
      <c r="AB114" s="615"/>
      <c r="AC114" s="615"/>
      <c r="AD114" s="615"/>
      <c r="AE114" s="615"/>
      <c r="AF114" s="615"/>
      <c r="AG114" s="615"/>
      <c r="AH114" s="615"/>
      <c r="AI114" s="615"/>
      <c r="AJ114" s="615"/>
      <c r="AK114" s="615"/>
      <c r="AL114" s="615"/>
      <c r="AM114" s="615"/>
      <c r="AN114" s="615"/>
      <c r="AO114" s="615"/>
      <c r="AP114" s="615"/>
      <c r="AQ114" s="615"/>
      <c r="AR114" s="615"/>
      <c r="AS114" s="615"/>
    </row>
    <row r="115" spans="12:45">
      <c r="L115" s="615"/>
      <c r="M115" s="615"/>
      <c r="AB115" s="615"/>
      <c r="AC115" s="615"/>
      <c r="AD115" s="615"/>
      <c r="AE115" s="615"/>
      <c r="AF115" s="615"/>
      <c r="AG115" s="615"/>
      <c r="AH115" s="615"/>
      <c r="AI115" s="615"/>
      <c r="AJ115" s="615"/>
      <c r="AK115" s="615"/>
      <c r="AL115" s="615"/>
      <c r="AM115" s="615"/>
      <c r="AN115" s="615"/>
      <c r="AO115" s="615"/>
      <c r="AP115" s="615"/>
      <c r="AQ115" s="615"/>
      <c r="AR115" s="615"/>
      <c r="AS115" s="615"/>
    </row>
    <row r="116" spans="12:45">
      <c r="L116" s="615"/>
      <c r="M116" s="615"/>
      <c r="AB116" s="615"/>
      <c r="AC116" s="615"/>
      <c r="AD116" s="615"/>
      <c r="AE116" s="615"/>
      <c r="AF116" s="615"/>
      <c r="AG116" s="615"/>
      <c r="AH116" s="615"/>
      <c r="AI116" s="615"/>
      <c r="AJ116" s="615"/>
      <c r="AK116" s="615"/>
      <c r="AL116" s="615"/>
      <c r="AM116" s="615"/>
      <c r="AN116" s="615"/>
      <c r="AO116" s="615"/>
      <c r="AP116" s="615"/>
      <c r="AQ116" s="615"/>
      <c r="AR116" s="615"/>
      <c r="AS116" s="615"/>
    </row>
    <row r="117" spans="12:45">
      <c r="L117" s="615"/>
      <c r="M117" s="615"/>
      <c r="AB117" s="615"/>
      <c r="AC117" s="615"/>
      <c r="AD117" s="615"/>
      <c r="AE117" s="615"/>
      <c r="AF117" s="615"/>
      <c r="AG117" s="615"/>
      <c r="AH117" s="615"/>
      <c r="AI117" s="615"/>
      <c r="AJ117" s="615"/>
      <c r="AK117" s="615"/>
      <c r="AL117" s="615"/>
      <c r="AM117" s="615"/>
      <c r="AN117" s="615"/>
      <c r="AO117" s="615"/>
      <c r="AP117" s="615"/>
      <c r="AQ117" s="615"/>
      <c r="AR117" s="615"/>
      <c r="AS117" s="615"/>
    </row>
    <row r="118" spans="12:45">
      <c r="L118" s="615"/>
      <c r="M118" s="615"/>
      <c r="AB118" s="615"/>
      <c r="AC118" s="615"/>
      <c r="AD118" s="615"/>
      <c r="AE118" s="615"/>
      <c r="AF118" s="615"/>
      <c r="AG118" s="615"/>
      <c r="AH118" s="615"/>
      <c r="AI118" s="615"/>
      <c r="AJ118" s="615"/>
      <c r="AK118" s="615"/>
      <c r="AL118" s="615"/>
      <c r="AM118" s="615"/>
      <c r="AN118" s="615"/>
      <c r="AO118" s="615"/>
      <c r="AP118" s="615"/>
      <c r="AQ118" s="615"/>
      <c r="AR118" s="615"/>
      <c r="AS118" s="615"/>
    </row>
    <row r="119" spans="12:45">
      <c r="L119" s="615"/>
      <c r="M119" s="615"/>
      <c r="AB119" s="615"/>
      <c r="AC119" s="615"/>
      <c r="AD119" s="615"/>
      <c r="AE119" s="615"/>
      <c r="AF119" s="615"/>
      <c r="AG119" s="615"/>
      <c r="AH119" s="615"/>
      <c r="AI119" s="615"/>
      <c r="AJ119" s="615"/>
      <c r="AK119" s="615"/>
      <c r="AL119" s="615"/>
      <c r="AM119" s="615"/>
      <c r="AN119" s="615"/>
      <c r="AO119" s="615"/>
      <c r="AP119" s="615"/>
      <c r="AQ119" s="615"/>
      <c r="AR119" s="615"/>
      <c r="AS119" s="615"/>
    </row>
    <row r="120" spans="12:45">
      <c r="L120" s="615"/>
      <c r="M120" s="615"/>
      <c r="AB120" s="615"/>
      <c r="AC120" s="615"/>
      <c r="AD120" s="615"/>
      <c r="AE120" s="615"/>
      <c r="AF120" s="615"/>
      <c r="AG120" s="615"/>
      <c r="AH120" s="615"/>
      <c r="AI120" s="615"/>
      <c r="AJ120" s="615"/>
      <c r="AK120" s="615"/>
      <c r="AL120" s="615"/>
      <c r="AM120" s="615"/>
      <c r="AN120" s="615"/>
      <c r="AO120" s="615"/>
      <c r="AP120" s="615"/>
      <c r="AQ120" s="615"/>
      <c r="AR120" s="615"/>
      <c r="AS120" s="615"/>
    </row>
    <row r="121" spans="12:45">
      <c r="L121" s="615"/>
      <c r="M121" s="615"/>
      <c r="AB121" s="615"/>
      <c r="AC121" s="615"/>
      <c r="AD121" s="615"/>
      <c r="AE121" s="615"/>
      <c r="AF121" s="615"/>
      <c r="AG121" s="615"/>
      <c r="AH121" s="615"/>
      <c r="AI121" s="615"/>
      <c r="AJ121" s="615"/>
      <c r="AK121" s="615"/>
      <c r="AL121" s="615"/>
      <c r="AM121" s="615"/>
      <c r="AN121" s="615"/>
      <c r="AO121" s="615"/>
      <c r="AP121" s="615"/>
      <c r="AQ121" s="615"/>
      <c r="AR121" s="615"/>
      <c r="AS121" s="615"/>
    </row>
    <row r="122" spans="12:45">
      <c r="L122" s="615"/>
      <c r="M122" s="615"/>
      <c r="AB122" s="615"/>
      <c r="AC122" s="615"/>
      <c r="AD122" s="615"/>
      <c r="AE122" s="615"/>
      <c r="AF122" s="615"/>
      <c r="AG122" s="615"/>
      <c r="AH122" s="615"/>
      <c r="AI122" s="615"/>
      <c r="AJ122" s="615"/>
      <c r="AK122" s="615"/>
      <c r="AL122" s="615"/>
      <c r="AM122" s="615"/>
      <c r="AN122" s="615"/>
      <c r="AO122" s="615"/>
      <c r="AP122" s="615"/>
      <c r="AQ122" s="615"/>
      <c r="AR122" s="615"/>
      <c r="AS122" s="615"/>
    </row>
    <row r="123" spans="12:45">
      <c r="L123" s="615"/>
      <c r="M123" s="615"/>
      <c r="AB123" s="615"/>
      <c r="AC123" s="615"/>
      <c r="AD123" s="615"/>
      <c r="AE123" s="615"/>
      <c r="AF123" s="615"/>
      <c r="AG123" s="615"/>
      <c r="AH123" s="615"/>
      <c r="AI123" s="615"/>
      <c r="AJ123" s="615"/>
      <c r="AK123" s="615"/>
      <c r="AL123" s="615"/>
      <c r="AM123" s="615"/>
      <c r="AN123" s="615"/>
      <c r="AO123" s="615"/>
      <c r="AP123" s="615"/>
      <c r="AQ123" s="615"/>
      <c r="AR123" s="615"/>
      <c r="AS123" s="615"/>
    </row>
    <row r="124" spans="12:45">
      <c r="L124" s="615"/>
      <c r="M124" s="615"/>
      <c r="AB124" s="615"/>
      <c r="AC124" s="615"/>
      <c r="AD124" s="615"/>
      <c r="AE124" s="615"/>
      <c r="AF124" s="615"/>
      <c r="AG124" s="615"/>
      <c r="AH124" s="615"/>
      <c r="AI124" s="615"/>
      <c r="AJ124" s="615"/>
      <c r="AK124" s="615"/>
      <c r="AL124" s="615"/>
      <c r="AM124" s="615"/>
      <c r="AN124" s="615"/>
      <c r="AO124" s="615"/>
      <c r="AP124" s="615"/>
      <c r="AQ124" s="615"/>
      <c r="AR124" s="615"/>
      <c r="AS124" s="615"/>
    </row>
    <row r="125" spans="12:45">
      <c r="L125" s="615"/>
      <c r="M125" s="615"/>
      <c r="AB125" s="615"/>
      <c r="AC125" s="615"/>
      <c r="AD125" s="615"/>
      <c r="AE125" s="615"/>
      <c r="AF125" s="615"/>
      <c r="AG125" s="615"/>
      <c r="AH125" s="615"/>
      <c r="AI125" s="615"/>
      <c r="AJ125" s="615"/>
      <c r="AK125" s="615"/>
      <c r="AL125" s="615"/>
      <c r="AM125" s="615"/>
      <c r="AN125" s="615"/>
      <c r="AO125" s="615"/>
      <c r="AP125" s="615"/>
      <c r="AQ125" s="615"/>
      <c r="AR125" s="615"/>
      <c r="AS125" s="615"/>
    </row>
    <row r="126" spans="12:45">
      <c r="L126" s="615"/>
      <c r="M126" s="615"/>
      <c r="AB126" s="615"/>
      <c r="AC126" s="615"/>
      <c r="AD126" s="615"/>
      <c r="AE126" s="615"/>
      <c r="AF126" s="615"/>
      <c r="AG126" s="615"/>
      <c r="AH126" s="615"/>
      <c r="AI126" s="615"/>
      <c r="AJ126" s="615"/>
      <c r="AK126" s="615"/>
      <c r="AL126" s="615"/>
      <c r="AM126" s="615"/>
      <c r="AN126" s="615"/>
      <c r="AO126" s="615"/>
      <c r="AP126" s="615"/>
      <c r="AQ126" s="615"/>
      <c r="AR126" s="615"/>
      <c r="AS126" s="615"/>
    </row>
    <row r="127" spans="12:45">
      <c r="L127" s="615"/>
      <c r="M127" s="615"/>
      <c r="AB127" s="615"/>
      <c r="AC127" s="615"/>
      <c r="AD127" s="615"/>
      <c r="AE127" s="615"/>
      <c r="AF127" s="615"/>
      <c r="AG127" s="615"/>
      <c r="AH127" s="615"/>
      <c r="AI127" s="615"/>
      <c r="AJ127" s="615"/>
      <c r="AK127" s="615"/>
      <c r="AL127" s="615"/>
      <c r="AM127" s="615"/>
      <c r="AN127" s="615"/>
      <c r="AO127" s="615"/>
      <c r="AP127" s="615"/>
      <c r="AQ127" s="615"/>
      <c r="AR127" s="615"/>
      <c r="AS127" s="615"/>
    </row>
    <row r="128" spans="12:45">
      <c r="L128" s="615"/>
      <c r="M128" s="615"/>
      <c r="AB128" s="615"/>
      <c r="AC128" s="615"/>
      <c r="AD128" s="615"/>
      <c r="AE128" s="615"/>
      <c r="AF128" s="615"/>
      <c r="AG128" s="615"/>
      <c r="AH128" s="615"/>
      <c r="AI128" s="615"/>
      <c r="AJ128" s="615"/>
      <c r="AK128" s="615"/>
      <c r="AL128" s="615"/>
      <c r="AM128" s="615"/>
      <c r="AN128" s="615"/>
      <c r="AO128" s="615"/>
      <c r="AP128" s="615"/>
      <c r="AQ128" s="615"/>
      <c r="AR128" s="615"/>
      <c r="AS128" s="615"/>
    </row>
    <row r="129" spans="12:45">
      <c r="L129" s="615"/>
      <c r="M129" s="615"/>
      <c r="AB129" s="615"/>
      <c r="AC129" s="615"/>
      <c r="AD129" s="615"/>
      <c r="AE129" s="615"/>
      <c r="AF129" s="615"/>
      <c r="AG129" s="615"/>
      <c r="AH129" s="615"/>
      <c r="AI129" s="615"/>
      <c r="AJ129" s="615"/>
      <c r="AK129" s="615"/>
      <c r="AL129" s="615"/>
      <c r="AM129" s="615"/>
      <c r="AN129" s="615"/>
      <c r="AO129" s="615"/>
      <c r="AP129" s="615"/>
      <c r="AQ129" s="615"/>
      <c r="AR129" s="615"/>
      <c r="AS129" s="615"/>
    </row>
    <row r="130" spans="12:45">
      <c r="L130" s="615"/>
      <c r="M130" s="615"/>
      <c r="AB130" s="615"/>
      <c r="AC130" s="615"/>
      <c r="AD130" s="615"/>
      <c r="AE130" s="615"/>
      <c r="AF130" s="615"/>
      <c r="AG130" s="615"/>
      <c r="AH130" s="615"/>
      <c r="AI130" s="615"/>
      <c r="AJ130" s="615"/>
      <c r="AK130" s="615"/>
      <c r="AL130" s="615"/>
      <c r="AM130" s="615"/>
      <c r="AN130" s="615"/>
      <c r="AO130" s="615"/>
      <c r="AP130" s="615"/>
      <c r="AQ130" s="615"/>
      <c r="AR130" s="615"/>
      <c r="AS130" s="615"/>
    </row>
    <row r="131" spans="12:45">
      <c r="L131" s="615"/>
      <c r="M131" s="615"/>
      <c r="AB131" s="615"/>
      <c r="AC131" s="615"/>
      <c r="AD131" s="615"/>
      <c r="AE131" s="615"/>
      <c r="AF131" s="615"/>
      <c r="AG131" s="615"/>
      <c r="AH131" s="615"/>
      <c r="AI131" s="615"/>
      <c r="AJ131" s="615"/>
      <c r="AK131" s="615"/>
      <c r="AL131" s="615"/>
      <c r="AM131" s="615"/>
      <c r="AN131" s="615"/>
      <c r="AO131" s="615"/>
      <c r="AP131" s="615"/>
      <c r="AQ131" s="615"/>
      <c r="AR131" s="615"/>
      <c r="AS131" s="615"/>
    </row>
    <row r="132" spans="12:45">
      <c r="L132" s="615"/>
      <c r="M132" s="615"/>
      <c r="AB132" s="615"/>
      <c r="AC132" s="615"/>
      <c r="AD132" s="615"/>
      <c r="AE132" s="615"/>
      <c r="AF132" s="615"/>
      <c r="AG132" s="615"/>
      <c r="AH132" s="615"/>
      <c r="AI132" s="615"/>
      <c r="AJ132" s="615"/>
      <c r="AK132" s="615"/>
      <c r="AL132" s="615"/>
      <c r="AM132" s="615"/>
      <c r="AN132" s="615"/>
      <c r="AO132" s="615"/>
      <c r="AP132" s="615"/>
      <c r="AQ132" s="615"/>
      <c r="AR132" s="615"/>
      <c r="AS132" s="615"/>
    </row>
    <row r="133" spans="12:45">
      <c r="L133" s="615"/>
      <c r="M133" s="615"/>
      <c r="AB133" s="615"/>
      <c r="AC133" s="615"/>
      <c r="AD133" s="615"/>
      <c r="AE133" s="615"/>
      <c r="AF133" s="615"/>
      <c r="AG133" s="615"/>
      <c r="AH133" s="615"/>
      <c r="AI133" s="615"/>
      <c r="AJ133" s="615"/>
      <c r="AK133" s="615"/>
      <c r="AL133" s="615"/>
      <c r="AM133" s="615"/>
      <c r="AN133" s="615"/>
      <c r="AO133" s="615"/>
      <c r="AP133" s="615"/>
      <c r="AQ133" s="615"/>
      <c r="AR133" s="615"/>
      <c r="AS133" s="615"/>
    </row>
    <row r="134" spans="12:45">
      <c r="L134" s="615"/>
      <c r="M134" s="615"/>
      <c r="AB134" s="615"/>
      <c r="AC134" s="615"/>
      <c r="AD134" s="615"/>
      <c r="AE134" s="615"/>
      <c r="AF134" s="615"/>
      <c r="AG134" s="615"/>
      <c r="AH134" s="615"/>
      <c r="AI134" s="615"/>
      <c r="AJ134" s="615"/>
      <c r="AK134" s="615"/>
      <c r="AL134" s="615"/>
      <c r="AM134" s="615"/>
      <c r="AN134" s="615"/>
      <c r="AO134" s="615"/>
      <c r="AP134" s="615"/>
      <c r="AQ134" s="615"/>
      <c r="AR134" s="615"/>
      <c r="AS134" s="615"/>
    </row>
    <row r="135" spans="12:45">
      <c r="L135" s="615"/>
      <c r="M135" s="615"/>
      <c r="AB135" s="615"/>
      <c r="AC135" s="615"/>
      <c r="AD135" s="615"/>
      <c r="AE135" s="615"/>
      <c r="AF135" s="615"/>
      <c r="AG135" s="615"/>
      <c r="AH135" s="615"/>
      <c r="AI135" s="615"/>
      <c r="AJ135" s="615"/>
      <c r="AK135" s="615"/>
      <c r="AL135" s="615"/>
      <c r="AM135" s="615"/>
      <c r="AN135" s="615"/>
      <c r="AO135" s="615"/>
      <c r="AP135" s="615"/>
      <c r="AQ135" s="615"/>
      <c r="AR135" s="615"/>
      <c r="AS135" s="615"/>
    </row>
    <row r="136" spans="12:45">
      <c r="L136" s="615"/>
      <c r="M136" s="615"/>
      <c r="AB136" s="615"/>
      <c r="AC136" s="615"/>
      <c r="AD136" s="615"/>
      <c r="AE136" s="615"/>
      <c r="AF136" s="615"/>
      <c r="AG136" s="615"/>
      <c r="AH136" s="615"/>
      <c r="AI136" s="615"/>
      <c r="AJ136" s="615"/>
      <c r="AK136" s="615"/>
      <c r="AL136" s="615"/>
      <c r="AM136" s="615"/>
      <c r="AN136" s="615"/>
      <c r="AO136" s="615"/>
      <c r="AP136" s="615"/>
      <c r="AQ136" s="615"/>
      <c r="AR136" s="615"/>
      <c r="AS136" s="615"/>
    </row>
    <row r="137" spans="12:45">
      <c r="L137" s="615"/>
      <c r="M137" s="615"/>
      <c r="AB137" s="615"/>
      <c r="AC137" s="615"/>
      <c r="AD137" s="615"/>
      <c r="AE137" s="615"/>
      <c r="AF137" s="615"/>
      <c r="AG137" s="615"/>
      <c r="AH137" s="615"/>
      <c r="AI137" s="615"/>
      <c r="AJ137" s="615"/>
      <c r="AK137" s="615"/>
      <c r="AL137" s="615"/>
      <c r="AM137" s="615"/>
      <c r="AN137" s="615"/>
      <c r="AO137" s="615"/>
      <c r="AP137" s="615"/>
      <c r="AQ137" s="615"/>
      <c r="AR137" s="615"/>
      <c r="AS137" s="615"/>
    </row>
    <row r="138" spans="12:45">
      <c r="L138" s="615"/>
      <c r="M138" s="615"/>
      <c r="AB138" s="615"/>
      <c r="AC138" s="615"/>
      <c r="AD138" s="615"/>
      <c r="AE138" s="615"/>
      <c r="AF138" s="615"/>
      <c r="AG138" s="615"/>
      <c r="AH138" s="615"/>
      <c r="AI138" s="615"/>
      <c r="AJ138" s="615"/>
      <c r="AK138" s="615"/>
      <c r="AL138" s="615"/>
      <c r="AM138" s="615"/>
      <c r="AN138" s="615"/>
      <c r="AO138" s="615"/>
      <c r="AP138" s="615"/>
      <c r="AQ138" s="615"/>
      <c r="AR138" s="615"/>
      <c r="AS138" s="615"/>
    </row>
    <row r="139" spans="12:45">
      <c r="L139" s="615"/>
      <c r="M139" s="615"/>
      <c r="AB139" s="615"/>
      <c r="AC139" s="615"/>
      <c r="AD139" s="615"/>
      <c r="AE139" s="615"/>
      <c r="AF139" s="615"/>
      <c r="AG139" s="615"/>
      <c r="AH139" s="615"/>
      <c r="AI139" s="615"/>
      <c r="AJ139" s="615"/>
      <c r="AK139" s="615"/>
      <c r="AL139" s="615"/>
      <c r="AM139" s="615"/>
      <c r="AN139" s="615"/>
      <c r="AO139" s="615"/>
      <c r="AP139" s="615"/>
      <c r="AQ139" s="615"/>
      <c r="AR139" s="615"/>
      <c r="AS139" s="615"/>
    </row>
    <row r="140" spans="12:45">
      <c r="L140" s="615"/>
      <c r="M140" s="615"/>
      <c r="AB140" s="615"/>
      <c r="AC140" s="615"/>
      <c r="AD140" s="615"/>
      <c r="AE140" s="615"/>
      <c r="AF140" s="615"/>
      <c r="AG140" s="615"/>
      <c r="AH140" s="615"/>
      <c r="AI140" s="615"/>
      <c r="AJ140" s="615"/>
      <c r="AK140" s="615"/>
      <c r="AL140" s="615"/>
      <c r="AM140" s="615"/>
      <c r="AN140" s="615"/>
      <c r="AO140" s="615"/>
      <c r="AP140" s="615"/>
      <c r="AQ140" s="615"/>
      <c r="AR140" s="615"/>
      <c r="AS140" s="615"/>
    </row>
    <row r="141" spans="12:45">
      <c r="L141" s="615"/>
      <c r="M141" s="615"/>
      <c r="AB141" s="615"/>
      <c r="AC141" s="615"/>
      <c r="AD141" s="615"/>
      <c r="AE141" s="615"/>
      <c r="AF141" s="615"/>
      <c r="AG141" s="615"/>
      <c r="AH141" s="615"/>
      <c r="AI141" s="615"/>
      <c r="AJ141" s="615"/>
      <c r="AK141" s="615"/>
      <c r="AL141" s="615"/>
      <c r="AM141" s="615"/>
      <c r="AN141" s="615"/>
      <c r="AO141" s="615"/>
      <c r="AP141" s="615"/>
      <c r="AQ141" s="615"/>
      <c r="AR141" s="615"/>
      <c r="AS141" s="615"/>
    </row>
    <row r="142" spans="12:45">
      <c r="L142" s="615"/>
      <c r="M142" s="615"/>
      <c r="AB142" s="615"/>
      <c r="AC142" s="615"/>
      <c r="AD142" s="615"/>
      <c r="AE142" s="615"/>
      <c r="AF142" s="615"/>
      <c r="AG142" s="615"/>
      <c r="AH142" s="615"/>
      <c r="AI142" s="615"/>
      <c r="AJ142" s="615"/>
      <c r="AK142" s="615"/>
      <c r="AL142" s="615"/>
      <c r="AM142" s="615"/>
      <c r="AN142" s="615"/>
      <c r="AO142" s="615"/>
      <c r="AP142" s="615"/>
      <c r="AQ142" s="615"/>
      <c r="AR142" s="615"/>
      <c r="AS142" s="615"/>
    </row>
    <row r="143" spans="12:45">
      <c r="L143" s="615"/>
      <c r="M143" s="615"/>
      <c r="AB143" s="615"/>
      <c r="AC143" s="615"/>
      <c r="AD143" s="615"/>
      <c r="AE143" s="615"/>
      <c r="AF143" s="615"/>
      <c r="AG143" s="615"/>
      <c r="AH143" s="615"/>
      <c r="AI143" s="615"/>
      <c r="AJ143" s="615"/>
      <c r="AK143" s="615"/>
      <c r="AL143" s="615"/>
      <c r="AM143" s="615"/>
      <c r="AN143" s="615"/>
      <c r="AO143" s="615"/>
      <c r="AP143" s="615"/>
      <c r="AQ143" s="615"/>
      <c r="AR143" s="615"/>
      <c r="AS143" s="615"/>
    </row>
    <row r="144" spans="12:45">
      <c r="L144" s="615"/>
      <c r="M144" s="615"/>
      <c r="AB144" s="615"/>
      <c r="AC144" s="615"/>
      <c r="AD144" s="615"/>
      <c r="AE144" s="615"/>
      <c r="AF144" s="615"/>
      <c r="AG144" s="615"/>
      <c r="AH144" s="615"/>
      <c r="AI144" s="615"/>
      <c r="AJ144" s="615"/>
      <c r="AK144" s="615"/>
      <c r="AL144" s="615"/>
      <c r="AM144" s="615"/>
      <c r="AN144" s="615"/>
      <c r="AO144" s="615"/>
      <c r="AP144" s="615"/>
      <c r="AQ144" s="615"/>
      <c r="AR144" s="615"/>
      <c r="AS144" s="615"/>
    </row>
    <row r="145" spans="12:45">
      <c r="L145" s="615"/>
      <c r="M145" s="615"/>
      <c r="AB145" s="615"/>
      <c r="AC145" s="615"/>
      <c r="AD145" s="615"/>
      <c r="AE145" s="615"/>
      <c r="AF145" s="615"/>
      <c r="AG145" s="615"/>
      <c r="AH145" s="615"/>
      <c r="AI145" s="615"/>
      <c r="AJ145" s="615"/>
      <c r="AK145" s="615"/>
      <c r="AL145" s="615"/>
      <c r="AM145" s="615"/>
      <c r="AN145" s="615"/>
      <c r="AO145" s="615"/>
      <c r="AP145" s="615"/>
      <c r="AQ145" s="615"/>
      <c r="AR145" s="615"/>
      <c r="AS145" s="615"/>
    </row>
    <row r="146" spans="12:45">
      <c r="L146" s="615"/>
      <c r="M146" s="615"/>
      <c r="AB146" s="615"/>
      <c r="AC146" s="615"/>
      <c r="AD146" s="615"/>
      <c r="AE146" s="615"/>
      <c r="AF146" s="615"/>
      <c r="AG146" s="615"/>
      <c r="AH146" s="615"/>
      <c r="AI146" s="615"/>
      <c r="AJ146" s="615"/>
      <c r="AK146" s="615"/>
      <c r="AL146" s="615"/>
      <c r="AM146" s="615"/>
      <c r="AN146" s="615"/>
      <c r="AO146" s="615"/>
      <c r="AP146" s="615"/>
      <c r="AQ146" s="615"/>
      <c r="AR146" s="615"/>
      <c r="AS146" s="615"/>
    </row>
    <row r="147" spans="12:45">
      <c r="L147" s="615"/>
      <c r="M147" s="615"/>
      <c r="AB147" s="615"/>
      <c r="AC147" s="615"/>
      <c r="AD147" s="615"/>
      <c r="AE147" s="615"/>
      <c r="AF147" s="615"/>
      <c r="AG147" s="615"/>
      <c r="AH147" s="615"/>
      <c r="AI147" s="615"/>
      <c r="AJ147" s="615"/>
      <c r="AK147" s="615"/>
      <c r="AL147" s="615"/>
      <c r="AM147" s="615"/>
      <c r="AN147" s="615"/>
      <c r="AO147" s="615"/>
      <c r="AP147" s="615"/>
      <c r="AQ147" s="615"/>
      <c r="AR147" s="615"/>
      <c r="AS147" s="615"/>
    </row>
    <row r="148" spans="12:45">
      <c r="L148" s="615"/>
      <c r="M148" s="615"/>
      <c r="AB148" s="615"/>
      <c r="AC148" s="615"/>
      <c r="AD148" s="615"/>
      <c r="AE148" s="615"/>
      <c r="AF148" s="615"/>
      <c r="AG148" s="615"/>
      <c r="AH148" s="615"/>
      <c r="AI148" s="615"/>
      <c r="AJ148" s="615"/>
      <c r="AK148" s="615"/>
      <c r="AL148" s="615"/>
      <c r="AM148" s="615"/>
      <c r="AN148" s="615"/>
      <c r="AO148" s="615"/>
      <c r="AP148" s="615"/>
      <c r="AQ148" s="615"/>
      <c r="AR148" s="615"/>
      <c r="AS148" s="615"/>
    </row>
    <row r="149" spans="12:45">
      <c r="L149" s="615"/>
      <c r="M149" s="615"/>
      <c r="AB149" s="615"/>
      <c r="AC149" s="615"/>
      <c r="AD149" s="615"/>
      <c r="AE149" s="615"/>
      <c r="AF149" s="615"/>
      <c r="AG149" s="615"/>
      <c r="AH149" s="615"/>
      <c r="AI149" s="615"/>
      <c r="AJ149" s="615"/>
      <c r="AK149" s="615"/>
      <c r="AL149" s="615"/>
      <c r="AM149" s="615"/>
      <c r="AN149" s="615"/>
      <c r="AO149" s="615"/>
      <c r="AP149" s="615"/>
      <c r="AQ149" s="615"/>
      <c r="AR149" s="615"/>
      <c r="AS149" s="615"/>
    </row>
    <row r="150" spans="12:45">
      <c r="L150" s="615"/>
      <c r="M150" s="615"/>
      <c r="AB150" s="615"/>
      <c r="AC150" s="615"/>
      <c r="AD150" s="615"/>
      <c r="AE150" s="615"/>
      <c r="AF150" s="615"/>
      <c r="AG150" s="615"/>
      <c r="AH150" s="615"/>
      <c r="AI150" s="615"/>
      <c r="AJ150" s="615"/>
      <c r="AK150" s="615"/>
      <c r="AL150" s="615"/>
      <c r="AM150" s="615"/>
      <c r="AN150" s="615"/>
      <c r="AO150" s="615"/>
      <c r="AP150" s="615"/>
      <c r="AQ150" s="615"/>
      <c r="AR150" s="615"/>
      <c r="AS150" s="615"/>
    </row>
    <row r="151" spans="12:45">
      <c r="L151" s="615"/>
      <c r="M151" s="615"/>
      <c r="AB151" s="615"/>
      <c r="AC151" s="615"/>
      <c r="AD151" s="615"/>
      <c r="AE151" s="615"/>
      <c r="AF151" s="615"/>
      <c r="AG151" s="615"/>
      <c r="AH151" s="615"/>
      <c r="AI151" s="615"/>
      <c r="AJ151" s="615"/>
      <c r="AK151" s="615"/>
      <c r="AL151" s="615"/>
      <c r="AM151" s="615"/>
      <c r="AN151" s="615"/>
      <c r="AO151" s="615"/>
      <c r="AP151" s="615"/>
      <c r="AQ151" s="615"/>
      <c r="AR151" s="615"/>
      <c r="AS151" s="615"/>
    </row>
    <row r="152" spans="12:45">
      <c r="L152" s="615"/>
      <c r="M152" s="615"/>
      <c r="AB152" s="615"/>
      <c r="AC152" s="615"/>
      <c r="AD152" s="615"/>
      <c r="AE152" s="615"/>
      <c r="AF152" s="615"/>
      <c r="AG152" s="615"/>
      <c r="AH152" s="615"/>
      <c r="AI152" s="615"/>
      <c r="AJ152" s="615"/>
      <c r="AK152" s="615"/>
      <c r="AL152" s="615"/>
      <c r="AM152" s="615"/>
      <c r="AN152" s="615"/>
      <c r="AO152" s="615"/>
      <c r="AP152" s="615"/>
      <c r="AQ152" s="615"/>
      <c r="AR152" s="615"/>
      <c r="AS152" s="615"/>
    </row>
    <row r="153" spans="12:45">
      <c r="L153" s="615"/>
      <c r="M153" s="615"/>
      <c r="AB153" s="615"/>
      <c r="AC153" s="615"/>
      <c r="AD153" s="615"/>
      <c r="AE153" s="615"/>
      <c r="AF153" s="615"/>
      <c r="AG153" s="615"/>
      <c r="AH153" s="615"/>
      <c r="AI153" s="615"/>
      <c r="AJ153" s="615"/>
      <c r="AK153" s="615"/>
      <c r="AL153" s="615"/>
      <c r="AM153" s="615"/>
      <c r="AN153" s="615"/>
      <c r="AO153" s="615"/>
      <c r="AP153" s="615"/>
      <c r="AQ153" s="615"/>
      <c r="AR153" s="615"/>
      <c r="AS153" s="615"/>
    </row>
    <row r="154" spans="12:45">
      <c r="L154" s="615"/>
      <c r="M154" s="615"/>
      <c r="AB154" s="615"/>
      <c r="AC154" s="615"/>
      <c r="AD154" s="615"/>
      <c r="AE154" s="615"/>
      <c r="AF154" s="615"/>
      <c r="AG154" s="615"/>
      <c r="AH154" s="615"/>
      <c r="AI154" s="615"/>
      <c r="AJ154" s="615"/>
      <c r="AK154" s="615"/>
      <c r="AL154" s="615"/>
      <c r="AM154" s="615"/>
      <c r="AN154" s="615"/>
      <c r="AO154" s="615"/>
      <c r="AP154" s="615"/>
      <c r="AQ154" s="615"/>
      <c r="AR154" s="615"/>
      <c r="AS154" s="615"/>
    </row>
    <row r="155" spans="12:45">
      <c r="L155" s="615"/>
      <c r="M155" s="615"/>
      <c r="AB155" s="615"/>
      <c r="AC155" s="615"/>
      <c r="AD155" s="615"/>
      <c r="AE155" s="615"/>
      <c r="AF155" s="615"/>
      <c r="AG155" s="615"/>
      <c r="AH155" s="615"/>
      <c r="AI155" s="615"/>
      <c r="AJ155" s="615"/>
      <c r="AK155" s="615"/>
      <c r="AL155" s="615"/>
      <c r="AM155" s="615"/>
      <c r="AN155" s="615"/>
      <c r="AO155" s="615"/>
      <c r="AP155" s="615"/>
      <c r="AQ155" s="615"/>
      <c r="AR155" s="615"/>
      <c r="AS155" s="615"/>
    </row>
    <row r="156" spans="12:45">
      <c r="L156" s="615"/>
      <c r="M156" s="615"/>
      <c r="AB156" s="615"/>
      <c r="AC156" s="615"/>
      <c r="AD156" s="615"/>
      <c r="AE156" s="615"/>
      <c r="AF156" s="615"/>
      <c r="AG156" s="615"/>
      <c r="AH156" s="615"/>
      <c r="AI156" s="615"/>
      <c r="AJ156" s="615"/>
      <c r="AK156" s="615"/>
      <c r="AL156" s="615"/>
      <c r="AM156" s="615"/>
      <c r="AN156" s="615"/>
      <c r="AO156" s="615"/>
      <c r="AP156" s="615"/>
      <c r="AQ156" s="615"/>
      <c r="AR156" s="615"/>
      <c r="AS156" s="615"/>
    </row>
    <row r="157" spans="12:45">
      <c r="L157" s="615"/>
      <c r="M157" s="615"/>
      <c r="AB157" s="615"/>
      <c r="AC157" s="615"/>
      <c r="AD157" s="615"/>
      <c r="AE157" s="615"/>
      <c r="AF157" s="615"/>
      <c r="AG157" s="615"/>
      <c r="AH157" s="615"/>
      <c r="AI157" s="615"/>
      <c r="AJ157" s="615"/>
      <c r="AK157" s="615"/>
      <c r="AL157" s="615"/>
      <c r="AM157" s="615"/>
      <c r="AN157" s="615"/>
      <c r="AO157" s="615"/>
      <c r="AP157" s="615"/>
      <c r="AQ157" s="615"/>
      <c r="AR157" s="615"/>
      <c r="AS157" s="615"/>
    </row>
    <row r="158" spans="12:45">
      <c r="L158" s="615"/>
      <c r="M158" s="615"/>
      <c r="AB158" s="615"/>
      <c r="AC158" s="615"/>
      <c r="AD158" s="615"/>
      <c r="AE158" s="615"/>
      <c r="AF158" s="615"/>
      <c r="AG158" s="615"/>
      <c r="AH158" s="615"/>
      <c r="AI158" s="615"/>
      <c r="AJ158" s="615"/>
      <c r="AK158" s="615"/>
      <c r="AL158" s="615"/>
      <c r="AM158" s="615"/>
      <c r="AN158" s="615"/>
      <c r="AO158" s="615"/>
      <c r="AP158" s="615"/>
      <c r="AQ158" s="615"/>
      <c r="AR158" s="615"/>
      <c r="AS158" s="615"/>
    </row>
    <row r="159" spans="12:45">
      <c r="L159" s="615"/>
      <c r="M159" s="615"/>
      <c r="AB159" s="615"/>
      <c r="AC159" s="615"/>
      <c r="AD159" s="615"/>
      <c r="AE159" s="615"/>
      <c r="AF159" s="615"/>
      <c r="AG159" s="615"/>
      <c r="AH159" s="615"/>
      <c r="AI159" s="615"/>
      <c r="AJ159" s="615"/>
      <c r="AK159" s="615"/>
      <c r="AL159" s="615"/>
      <c r="AM159" s="615"/>
      <c r="AN159" s="615"/>
      <c r="AO159" s="615"/>
      <c r="AP159" s="615"/>
      <c r="AQ159" s="615"/>
      <c r="AR159" s="615"/>
      <c r="AS159" s="615"/>
    </row>
    <row r="160" spans="12:45">
      <c r="L160" s="615"/>
      <c r="M160" s="615"/>
      <c r="AB160" s="615"/>
      <c r="AC160" s="615"/>
      <c r="AD160" s="615"/>
      <c r="AE160" s="615"/>
      <c r="AF160" s="615"/>
      <c r="AG160" s="615"/>
      <c r="AH160" s="615"/>
      <c r="AI160" s="615"/>
      <c r="AJ160" s="615"/>
      <c r="AK160" s="615"/>
      <c r="AL160" s="615"/>
      <c r="AM160" s="615"/>
      <c r="AN160" s="615"/>
      <c r="AO160" s="615"/>
      <c r="AP160" s="615"/>
      <c r="AQ160" s="615"/>
      <c r="AR160" s="615"/>
      <c r="AS160" s="615"/>
    </row>
    <row r="161" spans="12:45">
      <c r="L161" s="615"/>
      <c r="M161" s="615"/>
      <c r="AB161" s="615"/>
      <c r="AC161" s="615"/>
      <c r="AD161" s="615"/>
      <c r="AE161" s="615"/>
      <c r="AF161" s="615"/>
      <c r="AG161" s="615"/>
      <c r="AH161" s="615"/>
      <c r="AI161" s="615"/>
      <c r="AJ161" s="615"/>
      <c r="AK161" s="615"/>
      <c r="AL161" s="615"/>
      <c r="AM161" s="615"/>
      <c r="AN161" s="615"/>
      <c r="AO161" s="615"/>
      <c r="AP161" s="615"/>
      <c r="AQ161" s="615"/>
      <c r="AR161" s="615"/>
      <c r="AS161" s="615"/>
    </row>
    <row r="162" spans="12:45">
      <c r="L162" s="615"/>
      <c r="M162" s="615"/>
      <c r="AB162" s="615"/>
      <c r="AC162" s="615"/>
      <c r="AD162" s="615"/>
      <c r="AE162" s="615"/>
      <c r="AF162" s="615"/>
      <c r="AG162" s="615"/>
      <c r="AH162" s="615"/>
      <c r="AI162" s="615"/>
      <c r="AJ162" s="615"/>
      <c r="AK162" s="615"/>
      <c r="AL162" s="615"/>
      <c r="AM162" s="615"/>
      <c r="AN162" s="615"/>
      <c r="AO162" s="615"/>
      <c r="AP162" s="615"/>
      <c r="AQ162" s="615"/>
      <c r="AR162" s="615"/>
      <c r="AS162" s="615"/>
    </row>
    <row r="163" spans="12:45">
      <c r="L163" s="615"/>
      <c r="M163" s="615"/>
      <c r="AB163" s="615"/>
      <c r="AC163" s="615"/>
      <c r="AD163" s="615"/>
      <c r="AE163" s="615"/>
      <c r="AF163" s="615"/>
      <c r="AG163" s="615"/>
      <c r="AH163" s="615"/>
      <c r="AI163" s="615"/>
      <c r="AJ163" s="615"/>
      <c r="AK163" s="615"/>
      <c r="AL163" s="615"/>
      <c r="AM163" s="615"/>
      <c r="AN163" s="615"/>
      <c r="AO163" s="615"/>
      <c r="AP163" s="615"/>
      <c r="AQ163" s="615"/>
      <c r="AR163" s="615"/>
      <c r="AS163" s="615"/>
    </row>
    <row r="164" spans="12:45">
      <c r="L164" s="615"/>
      <c r="M164" s="615"/>
      <c r="AB164" s="615"/>
      <c r="AC164" s="615"/>
      <c r="AD164" s="615"/>
      <c r="AE164" s="615"/>
      <c r="AF164" s="615"/>
      <c r="AG164" s="615"/>
      <c r="AH164" s="615"/>
      <c r="AI164" s="615"/>
      <c r="AJ164" s="615"/>
      <c r="AK164" s="615"/>
      <c r="AL164" s="615"/>
      <c r="AM164" s="615"/>
      <c r="AN164" s="615"/>
      <c r="AO164" s="615"/>
      <c r="AP164" s="615"/>
      <c r="AQ164" s="615"/>
      <c r="AR164" s="615"/>
      <c r="AS164" s="615"/>
    </row>
    <row r="165" spans="12:45">
      <c r="L165" s="615"/>
      <c r="M165" s="615"/>
      <c r="AB165" s="615"/>
      <c r="AC165" s="615"/>
      <c r="AD165" s="615"/>
      <c r="AE165" s="615"/>
      <c r="AF165" s="615"/>
      <c r="AG165" s="615"/>
      <c r="AH165" s="615"/>
      <c r="AI165" s="615"/>
      <c r="AJ165" s="615"/>
      <c r="AK165" s="615"/>
      <c r="AL165" s="615"/>
      <c r="AM165" s="615"/>
      <c r="AN165" s="615"/>
      <c r="AO165" s="615"/>
      <c r="AP165" s="615"/>
      <c r="AQ165" s="615"/>
      <c r="AR165" s="615"/>
      <c r="AS165" s="615"/>
    </row>
    <row r="166" spans="12:45">
      <c r="L166" s="615"/>
      <c r="M166" s="615"/>
      <c r="AB166" s="615"/>
      <c r="AC166" s="615"/>
      <c r="AD166" s="615"/>
      <c r="AE166" s="615"/>
      <c r="AF166" s="615"/>
      <c r="AG166" s="615"/>
      <c r="AH166" s="615"/>
      <c r="AI166" s="615"/>
      <c r="AJ166" s="615"/>
      <c r="AK166" s="615"/>
      <c r="AL166" s="615"/>
      <c r="AM166" s="615"/>
      <c r="AN166" s="615"/>
      <c r="AO166" s="615"/>
      <c r="AP166" s="615"/>
      <c r="AQ166" s="615"/>
      <c r="AR166" s="615"/>
      <c r="AS166" s="615"/>
    </row>
    <row r="167" spans="12:45">
      <c r="L167" s="615"/>
      <c r="M167" s="615"/>
      <c r="AB167" s="615"/>
      <c r="AC167" s="615"/>
      <c r="AD167" s="615"/>
      <c r="AE167" s="615"/>
      <c r="AF167" s="615"/>
      <c r="AG167" s="615"/>
      <c r="AH167" s="615"/>
      <c r="AI167" s="615"/>
      <c r="AJ167" s="615"/>
      <c r="AK167" s="615"/>
      <c r="AL167" s="615"/>
      <c r="AM167" s="615"/>
      <c r="AN167" s="615"/>
      <c r="AO167" s="615"/>
      <c r="AP167" s="615"/>
      <c r="AQ167" s="615"/>
      <c r="AR167" s="615"/>
      <c r="AS167" s="615"/>
    </row>
    <row r="168" spans="12:45">
      <c r="L168" s="615"/>
      <c r="M168" s="615"/>
      <c r="AB168" s="615"/>
      <c r="AC168" s="615"/>
      <c r="AD168" s="615"/>
      <c r="AE168" s="615"/>
      <c r="AF168" s="615"/>
      <c r="AG168" s="615"/>
      <c r="AH168" s="615"/>
      <c r="AI168" s="615"/>
      <c r="AJ168" s="615"/>
      <c r="AK168" s="615"/>
      <c r="AL168" s="615"/>
      <c r="AM168" s="615"/>
      <c r="AN168" s="615"/>
      <c r="AO168" s="615"/>
      <c r="AP168" s="615"/>
      <c r="AQ168" s="615"/>
      <c r="AR168" s="615"/>
      <c r="AS168" s="615"/>
    </row>
    <row r="169" spans="12:45">
      <c r="L169" s="615"/>
      <c r="M169" s="615"/>
      <c r="AB169" s="615"/>
      <c r="AC169" s="615"/>
      <c r="AD169" s="615"/>
      <c r="AE169" s="615"/>
      <c r="AF169" s="615"/>
      <c r="AG169" s="615"/>
      <c r="AH169" s="615"/>
      <c r="AI169" s="615"/>
      <c r="AJ169" s="615"/>
      <c r="AK169" s="615"/>
      <c r="AL169" s="615"/>
      <c r="AM169" s="615"/>
      <c r="AN169" s="615"/>
      <c r="AO169" s="615"/>
      <c r="AP169" s="615"/>
      <c r="AQ169" s="615"/>
      <c r="AR169" s="615"/>
      <c r="AS169" s="615"/>
    </row>
    <row r="170" spans="12:45">
      <c r="L170" s="615"/>
      <c r="M170" s="615"/>
      <c r="AB170" s="615"/>
      <c r="AC170" s="615"/>
      <c r="AD170" s="615"/>
      <c r="AE170" s="615"/>
      <c r="AF170" s="615"/>
      <c r="AG170" s="615"/>
      <c r="AH170" s="615"/>
      <c r="AI170" s="615"/>
      <c r="AJ170" s="615"/>
      <c r="AK170" s="615"/>
      <c r="AL170" s="615"/>
      <c r="AM170" s="615"/>
      <c r="AN170" s="615"/>
      <c r="AO170" s="615"/>
      <c r="AP170" s="615"/>
      <c r="AQ170" s="615"/>
      <c r="AR170" s="615"/>
      <c r="AS170" s="615"/>
    </row>
    <row r="171" spans="12:45">
      <c r="L171" s="615"/>
      <c r="M171" s="615"/>
      <c r="AB171" s="615"/>
      <c r="AC171" s="615"/>
      <c r="AD171" s="615"/>
      <c r="AE171" s="615"/>
      <c r="AF171" s="615"/>
      <c r="AG171" s="615"/>
      <c r="AH171" s="615"/>
      <c r="AI171" s="615"/>
      <c r="AJ171" s="615"/>
      <c r="AK171" s="615"/>
      <c r="AL171" s="615"/>
      <c r="AM171" s="615"/>
      <c r="AN171" s="615"/>
      <c r="AO171" s="615"/>
      <c r="AP171" s="615"/>
      <c r="AQ171" s="615"/>
      <c r="AR171" s="615"/>
      <c r="AS171" s="615"/>
    </row>
    <row r="172" spans="12:45">
      <c r="L172" s="615"/>
      <c r="M172" s="615"/>
      <c r="AB172" s="615"/>
      <c r="AC172" s="615"/>
      <c r="AD172" s="615"/>
      <c r="AE172" s="615"/>
      <c r="AF172" s="615"/>
      <c r="AG172" s="615"/>
      <c r="AH172" s="615"/>
      <c r="AI172" s="615"/>
      <c r="AJ172" s="615"/>
      <c r="AK172" s="615"/>
      <c r="AL172" s="615"/>
      <c r="AM172" s="615"/>
      <c r="AN172" s="615"/>
      <c r="AO172" s="615"/>
      <c r="AP172" s="615"/>
      <c r="AQ172" s="615"/>
      <c r="AR172" s="615"/>
      <c r="AS172" s="615"/>
    </row>
    <row r="173" spans="12:45">
      <c r="L173" s="615"/>
      <c r="M173" s="615"/>
      <c r="AB173" s="615"/>
      <c r="AC173" s="615"/>
      <c r="AD173" s="615"/>
      <c r="AE173" s="615"/>
      <c r="AF173" s="615"/>
      <c r="AG173" s="615"/>
      <c r="AH173" s="615"/>
      <c r="AI173" s="615"/>
      <c r="AJ173" s="615"/>
      <c r="AK173" s="615"/>
      <c r="AL173" s="615"/>
      <c r="AM173" s="615"/>
      <c r="AN173" s="615"/>
      <c r="AO173" s="615"/>
      <c r="AP173" s="615"/>
      <c r="AQ173" s="615"/>
      <c r="AR173" s="615"/>
      <c r="AS173" s="615"/>
    </row>
    <row r="174" spans="12:45">
      <c r="L174" s="615"/>
      <c r="M174" s="615"/>
      <c r="AB174" s="615"/>
      <c r="AC174" s="615"/>
      <c r="AD174" s="615"/>
      <c r="AE174" s="615"/>
      <c r="AF174" s="615"/>
      <c r="AG174" s="615"/>
      <c r="AH174" s="615"/>
      <c r="AI174" s="615"/>
      <c r="AJ174" s="615"/>
      <c r="AK174" s="615"/>
      <c r="AL174" s="615"/>
      <c r="AM174" s="615"/>
      <c r="AN174" s="615"/>
      <c r="AO174" s="615"/>
      <c r="AP174" s="615"/>
      <c r="AQ174" s="615"/>
      <c r="AR174" s="615"/>
      <c r="AS174" s="615"/>
    </row>
    <row r="175" spans="12:45">
      <c r="L175" s="615"/>
      <c r="M175" s="615"/>
      <c r="AB175" s="615"/>
      <c r="AC175" s="615"/>
      <c r="AD175" s="615"/>
      <c r="AE175" s="615"/>
      <c r="AF175" s="615"/>
      <c r="AG175" s="615"/>
      <c r="AH175" s="615"/>
      <c r="AI175" s="615"/>
      <c r="AJ175" s="615"/>
      <c r="AK175" s="615"/>
      <c r="AL175" s="615"/>
      <c r="AM175" s="615"/>
      <c r="AN175" s="615"/>
      <c r="AO175" s="615"/>
      <c r="AP175" s="615"/>
      <c r="AQ175" s="615"/>
      <c r="AR175" s="615"/>
      <c r="AS175" s="615"/>
    </row>
    <row r="176" spans="12:45">
      <c r="L176" s="615"/>
      <c r="M176" s="615"/>
      <c r="AB176" s="615"/>
      <c r="AC176" s="615"/>
      <c r="AD176" s="615"/>
      <c r="AE176" s="615"/>
      <c r="AF176" s="615"/>
      <c r="AG176" s="615"/>
      <c r="AH176" s="615"/>
      <c r="AI176" s="615"/>
      <c r="AJ176" s="615"/>
      <c r="AK176" s="615"/>
      <c r="AL176" s="615"/>
      <c r="AM176" s="615"/>
      <c r="AN176" s="615"/>
      <c r="AO176" s="615"/>
      <c r="AP176" s="615"/>
      <c r="AQ176" s="615"/>
      <c r="AR176" s="615"/>
      <c r="AS176" s="615"/>
    </row>
    <row r="177" spans="12:45">
      <c r="L177" s="615"/>
      <c r="M177" s="615"/>
      <c r="AB177" s="615"/>
      <c r="AC177" s="615"/>
      <c r="AD177" s="615"/>
      <c r="AE177" s="615"/>
      <c r="AF177" s="615"/>
      <c r="AG177" s="615"/>
      <c r="AH177" s="615"/>
      <c r="AI177" s="615"/>
      <c r="AJ177" s="615"/>
      <c r="AK177" s="615"/>
      <c r="AL177" s="615"/>
      <c r="AM177" s="615"/>
      <c r="AN177" s="615"/>
      <c r="AO177" s="615"/>
      <c r="AP177" s="615"/>
      <c r="AQ177" s="615"/>
      <c r="AR177" s="615"/>
      <c r="AS177" s="615"/>
    </row>
    <row r="178" spans="12:45">
      <c r="L178" s="615"/>
      <c r="M178" s="615"/>
      <c r="AB178" s="615"/>
      <c r="AC178" s="615"/>
      <c r="AD178" s="615"/>
      <c r="AE178" s="615"/>
      <c r="AF178" s="615"/>
      <c r="AG178" s="615"/>
      <c r="AH178" s="615"/>
      <c r="AI178" s="615"/>
      <c r="AJ178" s="615"/>
      <c r="AK178" s="615"/>
      <c r="AL178" s="615"/>
      <c r="AM178" s="615"/>
      <c r="AN178" s="615"/>
      <c r="AO178" s="615"/>
      <c r="AP178" s="615"/>
      <c r="AQ178" s="615"/>
      <c r="AR178" s="615"/>
      <c r="AS178" s="615"/>
    </row>
    <row r="179" spans="12:45">
      <c r="L179" s="615"/>
      <c r="M179" s="615"/>
      <c r="AB179" s="615"/>
      <c r="AC179" s="615"/>
      <c r="AD179" s="615"/>
      <c r="AE179" s="615"/>
      <c r="AF179" s="615"/>
      <c r="AG179" s="615"/>
      <c r="AH179" s="615"/>
      <c r="AI179" s="615"/>
      <c r="AJ179" s="615"/>
      <c r="AK179" s="615"/>
      <c r="AL179" s="615"/>
      <c r="AM179" s="615"/>
      <c r="AN179" s="615"/>
      <c r="AO179" s="615"/>
      <c r="AP179" s="615"/>
      <c r="AQ179" s="615"/>
      <c r="AR179" s="615"/>
      <c r="AS179" s="615"/>
    </row>
    <row r="180" spans="12:45">
      <c r="L180" s="615"/>
      <c r="M180" s="615"/>
      <c r="AB180" s="615"/>
      <c r="AC180" s="615"/>
      <c r="AD180" s="615"/>
      <c r="AE180" s="615"/>
      <c r="AF180" s="615"/>
      <c r="AG180" s="615"/>
      <c r="AH180" s="615"/>
      <c r="AI180" s="615"/>
      <c r="AJ180" s="615"/>
      <c r="AK180" s="615"/>
      <c r="AL180" s="615"/>
      <c r="AM180" s="615"/>
      <c r="AN180" s="615"/>
      <c r="AO180" s="615"/>
      <c r="AP180" s="615"/>
      <c r="AQ180" s="615"/>
      <c r="AR180" s="615"/>
      <c r="AS180" s="615"/>
    </row>
    <row r="181" spans="12:45">
      <c r="L181" s="615"/>
      <c r="M181" s="615"/>
      <c r="AB181" s="615"/>
      <c r="AC181" s="615"/>
      <c r="AD181" s="615"/>
      <c r="AE181" s="615"/>
      <c r="AF181" s="615"/>
      <c r="AG181" s="615"/>
      <c r="AH181" s="615"/>
      <c r="AI181" s="615"/>
      <c r="AJ181" s="615"/>
      <c r="AK181" s="615"/>
      <c r="AL181" s="615"/>
      <c r="AM181" s="615"/>
      <c r="AN181" s="615"/>
      <c r="AO181" s="615"/>
      <c r="AP181" s="615"/>
      <c r="AQ181" s="615"/>
      <c r="AR181" s="615"/>
      <c r="AS181" s="615"/>
    </row>
    <row r="182" spans="12:45">
      <c r="L182" s="615"/>
      <c r="M182" s="615"/>
      <c r="AB182" s="615"/>
      <c r="AC182" s="615"/>
      <c r="AD182" s="615"/>
      <c r="AE182" s="615"/>
      <c r="AF182" s="615"/>
      <c r="AG182" s="615"/>
      <c r="AH182" s="615"/>
      <c r="AI182" s="615"/>
      <c r="AJ182" s="615"/>
      <c r="AK182" s="615"/>
      <c r="AL182" s="615"/>
      <c r="AM182" s="615"/>
      <c r="AN182" s="615"/>
      <c r="AO182" s="615"/>
      <c r="AP182" s="615"/>
      <c r="AQ182" s="615"/>
      <c r="AR182" s="615"/>
      <c r="AS182" s="615"/>
    </row>
    <row r="183" spans="12:45">
      <c r="L183" s="615"/>
      <c r="M183" s="615"/>
      <c r="AB183" s="615"/>
      <c r="AC183" s="615"/>
      <c r="AD183" s="615"/>
      <c r="AE183" s="615"/>
      <c r="AF183" s="615"/>
      <c r="AG183" s="615"/>
      <c r="AH183" s="615"/>
      <c r="AI183" s="615"/>
      <c r="AJ183" s="615"/>
      <c r="AK183" s="615"/>
      <c r="AL183" s="615"/>
      <c r="AM183" s="615"/>
      <c r="AN183" s="615"/>
      <c r="AO183" s="615"/>
      <c r="AP183" s="615"/>
      <c r="AQ183" s="615"/>
      <c r="AR183" s="615"/>
      <c r="AS183" s="615"/>
    </row>
    <row r="184" spans="12:45">
      <c r="L184" s="615"/>
      <c r="M184" s="615"/>
      <c r="AB184" s="615"/>
      <c r="AC184" s="615"/>
      <c r="AD184" s="615"/>
      <c r="AE184" s="615"/>
      <c r="AF184" s="615"/>
      <c r="AG184" s="615"/>
      <c r="AH184" s="615"/>
      <c r="AI184" s="615"/>
      <c r="AJ184" s="615"/>
      <c r="AK184" s="615"/>
      <c r="AL184" s="615"/>
      <c r="AM184" s="615"/>
      <c r="AN184" s="615"/>
      <c r="AO184" s="615"/>
      <c r="AP184" s="615"/>
      <c r="AQ184" s="615"/>
      <c r="AR184" s="615"/>
      <c r="AS184" s="615"/>
    </row>
    <row r="185" spans="12:45">
      <c r="L185" s="615"/>
      <c r="M185" s="615"/>
      <c r="AB185" s="615"/>
      <c r="AC185" s="615"/>
      <c r="AD185" s="615"/>
      <c r="AE185" s="615"/>
      <c r="AF185" s="615"/>
      <c r="AG185" s="615"/>
      <c r="AH185" s="615"/>
      <c r="AI185" s="615"/>
      <c r="AJ185" s="615"/>
      <c r="AK185" s="615"/>
      <c r="AL185" s="615"/>
      <c r="AM185" s="615"/>
      <c r="AN185" s="615"/>
      <c r="AO185" s="615"/>
      <c r="AP185" s="615"/>
      <c r="AQ185" s="615"/>
      <c r="AR185" s="615"/>
      <c r="AS185" s="615"/>
    </row>
    <row r="186" spans="12:45">
      <c r="L186" s="615"/>
      <c r="M186" s="615"/>
      <c r="AB186" s="615"/>
      <c r="AC186" s="615"/>
      <c r="AD186" s="615"/>
      <c r="AE186" s="615"/>
      <c r="AF186" s="615"/>
      <c r="AG186" s="615"/>
      <c r="AH186" s="615"/>
      <c r="AI186" s="615"/>
      <c r="AJ186" s="615"/>
      <c r="AK186" s="615"/>
      <c r="AL186" s="615"/>
      <c r="AM186" s="615"/>
      <c r="AN186" s="615"/>
      <c r="AO186" s="615"/>
      <c r="AP186" s="615"/>
      <c r="AQ186" s="615"/>
      <c r="AR186" s="615"/>
      <c r="AS186" s="615"/>
    </row>
    <row r="187" spans="12:45">
      <c r="L187" s="615"/>
      <c r="M187" s="615"/>
      <c r="AB187" s="615"/>
      <c r="AC187" s="615"/>
      <c r="AD187" s="615"/>
      <c r="AE187" s="615"/>
      <c r="AF187" s="615"/>
      <c r="AG187" s="615"/>
      <c r="AH187" s="615"/>
      <c r="AI187" s="615"/>
      <c r="AJ187" s="615"/>
      <c r="AK187" s="615"/>
      <c r="AL187" s="615"/>
      <c r="AM187" s="615"/>
      <c r="AN187" s="615"/>
      <c r="AO187" s="615"/>
      <c r="AP187" s="615"/>
      <c r="AQ187" s="615"/>
      <c r="AR187" s="615"/>
      <c r="AS187" s="615"/>
    </row>
    <row r="188" spans="12:45">
      <c r="L188" s="615"/>
      <c r="M188" s="615"/>
      <c r="AB188" s="615"/>
      <c r="AC188" s="615"/>
      <c r="AD188" s="615"/>
      <c r="AE188" s="615"/>
      <c r="AF188" s="615"/>
      <c r="AG188" s="615"/>
      <c r="AH188" s="615"/>
      <c r="AI188" s="615"/>
      <c r="AJ188" s="615"/>
      <c r="AK188" s="615"/>
      <c r="AL188" s="615"/>
      <c r="AM188" s="615"/>
      <c r="AN188" s="615"/>
      <c r="AO188" s="615"/>
      <c r="AP188" s="615"/>
      <c r="AQ188" s="615"/>
      <c r="AR188" s="615"/>
      <c r="AS188" s="615"/>
    </row>
    <row r="189" spans="12:45">
      <c r="L189" s="615"/>
      <c r="M189" s="615"/>
      <c r="AB189" s="615"/>
      <c r="AC189" s="615"/>
      <c r="AD189" s="615"/>
      <c r="AE189" s="615"/>
      <c r="AF189" s="615"/>
      <c r="AG189" s="615"/>
      <c r="AH189" s="615"/>
      <c r="AI189" s="615"/>
      <c r="AJ189" s="615"/>
      <c r="AK189" s="615"/>
      <c r="AL189" s="615"/>
      <c r="AM189" s="615"/>
      <c r="AN189" s="615"/>
      <c r="AO189" s="615"/>
      <c r="AP189" s="615"/>
      <c r="AQ189" s="615"/>
      <c r="AR189" s="615"/>
      <c r="AS189" s="615"/>
    </row>
    <row r="190" spans="12:45">
      <c r="L190" s="615"/>
      <c r="M190" s="615"/>
      <c r="AB190" s="615"/>
      <c r="AC190" s="615"/>
      <c r="AD190" s="615"/>
      <c r="AE190" s="615"/>
      <c r="AF190" s="615"/>
      <c r="AG190" s="615"/>
      <c r="AH190" s="615"/>
      <c r="AI190" s="615"/>
      <c r="AJ190" s="615"/>
      <c r="AK190" s="615"/>
      <c r="AL190" s="615"/>
      <c r="AM190" s="615"/>
      <c r="AN190" s="615"/>
      <c r="AO190" s="615"/>
      <c r="AP190" s="615"/>
      <c r="AQ190" s="615"/>
      <c r="AR190" s="615"/>
      <c r="AS190" s="615"/>
    </row>
    <row r="191" spans="12:45">
      <c r="L191" s="615"/>
      <c r="M191" s="615"/>
      <c r="AB191" s="615"/>
      <c r="AC191" s="615"/>
      <c r="AD191" s="615"/>
      <c r="AE191" s="615"/>
      <c r="AF191" s="615"/>
      <c r="AG191" s="615"/>
      <c r="AH191" s="615"/>
      <c r="AI191" s="615"/>
      <c r="AJ191" s="615"/>
      <c r="AK191" s="615"/>
      <c r="AL191" s="615"/>
      <c r="AM191" s="615"/>
      <c r="AN191" s="615"/>
      <c r="AO191" s="615"/>
      <c r="AP191" s="615"/>
      <c r="AQ191" s="615"/>
      <c r="AR191" s="615"/>
      <c r="AS191" s="615"/>
    </row>
    <row r="192" spans="12:45">
      <c r="L192" s="615"/>
      <c r="M192" s="615"/>
      <c r="AB192" s="615"/>
      <c r="AC192" s="615"/>
      <c r="AD192" s="615"/>
      <c r="AE192" s="615"/>
      <c r="AF192" s="615"/>
      <c r="AG192" s="615"/>
      <c r="AH192" s="615"/>
      <c r="AI192" s="615"/>
      <c r="AJ192" s="615"/>
      <c r="AK192" s="615"/>
      <c r="AL192" s="615"/>
      <c r="AM192" s="615"/>
      <c r="AN192" s="615"/>
      <c r="AO192" s="615"/>
      <c r="AP192" s="615"/>
      <c r="AQ192" s="615"/>
      <c r="AR192" s="615"/>
      <c r="AS192" s="615"/>
    </row>
    <row r="193" spans="12:45">
      <c r="L193" s="615"/>
      <c r="M193" s="615"/>
      <c r="AB193" s="615"/>
      <c r="AC193" s="615"/>
      <c r="AD193" s="615"/>
      <c r="AE193" s="615"/>
      <c r="AF193" s="615"/>
      <c r="AG193" s="615"/>
      <c r="AH193" s="615"/>
      <c r="AI193" s="615"/>
      <c r="AJ193" s="615"/>
      <c r="AK193" s="615"/>
      <c r="AL193" s="615"/>
      <c r="AM193" s="615"/>
      <c r="AN193" s="615"/>
      <c r="AO193" s="615"/>
      <c r="AP193" s="615"/>
      <c r="AQ193" s="615"/>
      <c r="AR193" s="615"/>
      <c r="AS193" s="615"/>
    </row>
    <row r="194" spans="12:45">
      <c r="L194" s="615"/>
      <c r="M194" s="615"/>
      <c r="AB194" s="615"/>
      <c r="AC194" s="615"/>
      <c r="AD194" s="615"/>
      <c r="AE194" s="615"/>
      <c r="AF194" s="615"/>
      <c r="AG194" s="615"/>
      <c r="AH194" s="615"/>
      <c r="AI194" s="615"/>
      <c r="AJ194" s="615"/>
      <c r="AK194" s="615"/>
      <c r="AL194" s="615"/>
      <c r="AM194" s="615"/>
      <c r="AN194" s="615"/>
      <c r="AO194" s="615"/>
      <c r="AP194" s="615"/>
      <c r="AQ194" s="615"/>
      <c r="AR194" s="615"/>
      <c r="AS194" s="615"/>
    </row>
    <row r="195" spans="12:45">
      <c r="L195" s="615"/>
      <c r="M195" s="615"/>
      <c r="AB195" s="615"/>
      <c r="AC195" s="615"/>
      <c r="AD195" s="615"/>
      <c r="AE195" s="615"/>
      <c r="AF195" s="615"/>
      <c r="AG195" s="615"/>
      <c r="AH195" s="615"/>
      <c r="AI195" s="615"/>
      <c r="AJ195" s="615"/>
      <c r="AK195" s="615"/>
      <c r="AL195" s="615"/>
      <c r="AM195" s="615"/>
      <c r="AN195" s="615"/>
      <c r="AO195" s="615"/>
      <c r="AP195" s="615"/>
      <c r="AQ195" s="615"/>
      <c r="AR195" s="615"/>
      <c r="AS195" s="615"/>
    </row>
    <row r="196" spans="12:45">
      <c r="L196" s="615"/>
      <c r="M196" s="615"/>
      <c r="AB196" s="615"/>
      <c r="AC196" s="615"/>
      <c r="AD196" s="615"/>
      <c r="AE196" s="615"/>
      <c r="AF196" s="615"/>
      <c r="AG196" s="615"/>
      <c r="AH196" s="615"/>
      <c r="AI196" s="615"/>
      <c r="AJ196" s="615"/>
      <c r="AK196" s="615"/>
      <c r="AL196" s="615"/>
      <c r="AM196" s="615"/>
      <c r="AN196" s="615"/>
      <c r="AO196" s="615"/>
      <c r="AP196" s="615"/>
      <c r="AQ196" s="615"/>
      <c r="AR196" s="615"/>
      <c r="AS196" s="615"/>
    </row>
    <row r="197" spans="12:45">
      <c r="L197" s="615"/>
      <c r="M197" s="615"/>
      <c r="AB197" s="615"/>
      <c r="AC197" s="615"/>
      <c r="AD197" s="615"/>
      <c r="AE197" s="615"/>
      <c r="AF197" s="615"/>
      <c r="AG197" s="615"/>
      <c r="AH197" s="615"/>
      <c r="AI197" s="615"/>
      <c r="AJ197" s="615"/>
      <c r="AK197" s="615"/>
      <c r="AL197" s="615"/>
      <c r="AM197" s="615"/>
      <c r="AN197" s="615"/>
      <c r="AO197" s="615"/>
      <c r="AP197" s="615"/>
      <c r="AQ197" s="615"/>
      <c r="AR197" s="615"/>
      <c r="AS197" s="615"/>
    </row>
    <row r="198" spans="12:45">
      <c r="L198" s="615"/>
      <c r="M198" s="615"/>
      <c r="AB198" s="615"/>
      <c r="AC198" s="615"/>
      <c r="AD198" s="615"/>
      <c r="AE198" s="615"/>
      <c r="AF198" s="615"/>
      <c r="AG198" s="615"/>
      <c r="AH198" s="615"/>
      <c r="AI198" s="615"/>
      <c r="AJ198" s="615"/>
      <c r="AK198" s="615"/>
      <c r="AL198" s="615"/>
      <c r="AM198" s="615"/>
      <c r="AN198" s="615"/>
      <c r="AO198" s="615"/>
      <c r="AP198" s="615"/>
      <c r="AQ198" s="615"/>
      <c r="AR198" s="615"/>
      <c r="AS198" s="615"/>
    </row>
    <row r="199" spans="12:45">
      <c r="L199" s="615"/>
      <c r="M199" s="615"/>
      <c r="AB199" s="615"/>
      <c r="AC199" s="615"/>
      <c r="AD199" s="615"/>
      <c r="AE199" s="615"/>
      <c r="AF199" s="615"/>
      <c r="AG199" s="615"/>
      <c r="AH199" s="615"/>
      <c r="AI199" s="615"/>
      <c r="AJ199" s="615"/>
      <c r="AK199" s="615"/>
      <c r="AL199" s="615"/>
      <c r="AM199" s="615"/>
      <c r="AN199" s="615"/>
      <c r="AO199" s="615"/>
      <c r="AP199" s="615"/>
      <c r="AQ199" s="615"/>
      <c r="AR199" s="615"/>
      <c r="AS199" s="615"/>
    </row>
    <row r="200" spans="12:45">
      <c r="L200" s="615"/>
      <c r="M200" s="615"/>
      <c r="AB200" s="615"/>
      <c r="AC200" s="615"/>
      <c r="AD200" s="615"/>
      <c r="AE200" s="615"/>
      <c r="AF200" s="615"/>
      <c r="AG200" s="615"/>
      <c r="AH200" s="615"/>
      <c r="AI200" s="615"/>
      <c r="AJ200" s="615"/>
      <c r="AK200" s="615"/>
      <c r="AL200" s="615"/>
      <c r="AM200" s="615"/>
      <c r="AN200" s="615"/>
      <c r="AO200" s="615"/>
      <c r="AP200" s="615"/>
      <c r="AQ200" s="615"/>
      <c r="AR200" s="615"/>
      <c r="AS200" s="615"/>
    </row>
    <row r="201" spans="12:45">
      <c r="L201" s="615"/>
      <c r="M201" s="615"/>
      <c r="AB201" s="615"/>
      <c r="AC201" s="615"/>
      <c r="AD201" s="615"/>
      <c r="AE201" s="615"/>
      <c r="AF201" s="615"/>
      <c r="AG201" s="615"/>
      <c r="AH201" s="615"/>
      <c r="AI201" s="615"/>
      <c r="AJ201" s="615"/>
      <c r="AK201" s="615"/>
      <c r="AL201" s="615"/>
      <c r="AM201" s="615"/>
      <c r="AN201" s="615"/>
      <c r="AO201" s="615"/>
      <c r="AP201" s="615"/>
      <c r="AQ201" s="615"/>
      <c r="AR201" s="615"/>
      <c r="AS201" s="615"/>
    </row>
    <row r="202" spans="12:45">
      <c r="L202" s="615"/>
      <c r="M202" s="615"/>
      <c r="AB202" s="615"/>
      <c r="AC202" s="615"/>
      <c r="AD202" s="615"/>
      <c r="AE202" s="615"/>
      <c r="AF202" s="615"/>
      <c r="AG202" s="615"/>
      <c r="AH202" s="615"/>
      <c r="AI202" s="615"/>
      <c r="AJ202" s="615"/>
      <c r="AK202" s="615"/>
      <c r="AL202" s="615"/>
      <c r="AM202" s="615"/>
      <c r="AN202" s="615"/>
      <c r="AO202" s="615"/>
      <c r="AP202" s="615"/>
      <c r="AQ202" s="615"/>
      <c r="AR202" s="615"/>
      <c r="AS202" s="615"/>
    </row>
    <row r="203" spans="12:45">
      <c r="L203" s="615"/>
      <c r="M203" s="615"/>
      <c r="AB203" s="615"/>
      <c r="AC203" s="615"/>
      <c r="AD203" s="615"/>
      <c r="AE203" s="615"/>
      <c r="AF203" s="615"/>
      <c r="AG203" s="615"/>
      <c r="AH203" s="615"/>
      <c r="AI203" s="615"/>
      <c r="AJ203" s="615"/>
      <c r="AK203" s="615"/>
      <c r="AL203" s="615"/>
      <c r="AM203" s="615"/>
      <c r="AN203" s="615"/>
      <c r="AO203" s="615"/>
      <c r="AP203" s="615"/>
      <c r="AQ203" s="615"/>
      <c r="AR203" s="615"/>
      <c r="AS203" s="615"/>
    </row>
    <row r="204" spans="12:45">
      <c r="L204" s="615"/>
      <c r="M204" s="615"/>
      <c r="AB204" s="615"/>
      <c r="AC204" s="615"/>
      <c r="AD204" s="615"/>
      <c r="AE204" s="615"/>
      <c r="AF204" s="615"/>
      <c r="AG204" s="615"/>
      <c r="AH204" s="615"/>
      <c r="AI204" s="615"/>
      <c r="AJ204" s="615"/>
      <c r="AK204" s="615"/>
      <c r="AL204" s="615"/>
      <c r="AM204" s="615"/>
      <c r="AN204" s="615"/>
      <c r="AO204" s="615"/>
      <c r="AP204" s="615"/>
      <c r="AQ204" s="615"/>
      <c r="AR204" s="615"/>
      <c r="AS204" s="615"/>
    </row>
    <row r="205" spans="12:45">
      <c r="L205" s="615"/>
      <c r="M205" s="615"/>
      <c r="AB205" s="615"/>
      <c r="AC205" s="615"/>
      <c r="AD205" s="615"/>
      <c r="AE205" s="615"/>
      <c r="AF205" s="615"/>
      <c r="AG205" s="615"/>
      <c r="AH205" s="615"/>
      <c r="AI205" s="615"/>
      <c r="AJ205" s="615"/>
      <c r="AK205" s="615"/>
      <c r="AL205" s="615"/>
      <c r="AM205" s="615"/>
      <c r="AN205" s="615"/>
      <c r="AO205" s="615"/>
      <c r="AP205" s="615"/>
      <c r="AQ205" s="615"/>
      <c r="AR205" s="615"/>
      <c r="AS205" s="615"/>
    </row>
    <row r="206" spans="12:45">
      <c r="L206" s="615"/>
      <c r="M206" s="615"/>
      <c r="AB206" s="615"/>
      <c r="AC206" s="615"/>
      <c r="AD206" s="615"/>
      <c r="AE206" s="615"/>
      <c r="AF206" s="615"/>
      <c r="AG206" s="615"/>
      <c r="AH206" s="615"/>
      <c r="AI206" s="615"/>
      <c r="AJ206" s="615"/>
      <c r="AK206" s="615"/>
      <c r="AL206" s="615"/>
      <c r="AM206" s="615"/>
      <c r="AN206" s="615"/>
      <c r="AO206" s="615"/>
      <c r="AP206" s="615"/>
      <c r="AQ206" s="615"/>
      <c r="AR206" s="615"/>
      <c r="AS206" s="615"/>
    </row>
    <row r="207" spans="12:45">
      <c r="L207" s="615"/>
      <c r="M207" s="615"/>
      <c r="AB207" s="615"/>
      <c r="AC207" s="615"/>
      <c r="AD207" s="615"/>
      <c r="AE207" s="615"/>
      <c r="AF207" s="615"/>
      <c r="AG207" s="615"/>
      <c r="AH207" s="615"/>
      <c r="AI207" s="615"/>
      <c r="AJ207" s="615"/>
      <c r="AK207" s="615"/>
      <c r="AL207" s="615"/>
      <c r="AM207" s="615"/>
      <c r="AN207" s="615"/>
      <c r="AO207" s="615"/>
      <c r="AP207" s="615"/>
      <c r="AQ207" s="615"/>
      <c r="AR207" s="615"/>
      <c r="AS207" s="615"/>
    </row>
    <row r="208" spans="12:45">
      <c r="L208" s="615"/>
      <c r="M208" s="615"/>
      <c r="AB208" s="615"/>
      <c r="AC208" s="615"/>
      <c r="AD208" s="615"/>
      <c r="AE208" s="615"/>
      <c r="AF208" s="615"/>
      <c r="AG208" s="615"/>
      <c r="AH208" s="615"/>
      <c r="AI208" s="615"/>
      <c r="AJ208" s="615"/>
      <c r="AK208" s="615"/>
      <c r="AL208" s="615"/>
      <c r="AM208" s="615"/>
      <c r="AN208" s="615"/>
      <c r="AO208" s="615"/>
      <c r="AP208" s="615"/>
      <c r="AQ208" s="615"/>
      <c r="AR208" s="615"/>
      <c r="AS208" s="615"/>
    </row>
    <row r="209" spans="12:45">
      <c r="L209" s="615"/>
      <c r="M209" s="615"/>
      <c r="AB209" s="615"/>
      <c r="AC209" s="615"/>
      <c r="AD209" s="615"/>
      <c r="AE209" s="615"/>
      <c r="AF209" s="615"/>
      <c r="AG209" s="615"/>
      <c r="AH209" s="615"/>
      <c r="AI209" s="615"/>
      <c r="AJ209" s="615"/>
      <c r="AK209" s="615"/>
      <c r="AL209" s="615"/>
      <c r="AM209" s="615"/>
      <c r="AN209" s="615"/>
      <c r="AO209" s="615"/>
      <c r="AP209" s="615"/>
      <c r="AQ209" s="615"/>
      <c r="AR209" s="615"/>
      <c r="AS209" s="615"/>
    </row>
    <row r="210" spans="12:45">
      <c r="L210" s="615"/>
      <c r="M210" s="615"/>
      <c r="AB210" s="615"/>
      <c r="AC210" s="615"/>
      <c r="AD210" s="615"/>
      <c r="AE210" s="615"/>
      <c r="AF210" s="615"/>
      <c r="AG210" s="615"/>
      <c r="AH210" s="615"/>
      <c r="AI210" s="615"/>
      <c r="AJ210" s="615"/>
      <c r="AK210" s="615"/>
      <c r="AL210" s="615"/>
      <c r="AM210" s="615"/>
      <c r="AN210" s="615"/>
      <c r="AO210" s="615"/>
      <c r="AP210" s="615"/>
      <c r="AQ210" s="615"/>
      <c r="AR210" s="615"/>
      <c r="AS210" s="615"/>
    </row>
    <row r="211" spans="12:45">
      <c r="L211" s="615"/>
      <c r="M211" s="615"/>
      <c r="AB211" s="615"/>
      <c r="AC211" s="615"/>
      <c r="AD211" s="615"/>
      <c r="AE211" s="615"/>
      <c r="AF211" s="615"/>
      <c r="AG211" s="615"/>
      <c r="AH211" s="615"/>
      <c r="AI211" s="615"/>
      <c r="AJ211" s="615"/>
      <c r="AK211" s="615"/>
      <c r="AL211" s="615"/>
      <c r="AM211" s="615"/>
      <c r="AN211" s="615"/>
      <c r="AO211" s="615"/>
      <c r="AP211" s="615"/>
      <c r="AQ211" s="615"/>
      <c r="AR211" s="615"/>
      <c r="AS211" s="615"/>
    </row>
    <row r="212" spans="12:45">
      <c r="L212" s="615"/>
      <c r="M212" s="615"/>
      <c r="AB212" s="615"/>
      <c r="AC212" s="615"/>
      <c r="AD212" s="615"/>
      <c r="AE212" s="615"/>
      <c r="AF212" s="615"/>
      <c r="AG212" s="615"/>
      <c r="AH212" s="615"/>
      <c r="AI212" s="615"/>
      <c r="AJ212" s="615"/>
      <c r="AK212" s="615"/>
      <c r="AL212" s="615"/>
      <c r="AM212" s="615"/>
      <c r="AN212" s="615"/>
      <c r="AO212" s="615"/>
      <c r="AP212" s="615"/>
      <c r="AQ212" s="615"/>
      <c r="AR212" s="615"/>
      <c r="AS212" s="615"/>
    </row>
    <row r="213" spans="12:45">
      <c r="L213" s="615"/>
      <c r="M213" s="615"/>
      <c r="AB213" s="615"/>
      <c r="AC213" s="615"/>
      <c r="AD213" s="615"/>
      <c r="AE213" s="615"/>
      <c r="AF213" s="615"/>
      <c r="AG213" s="615"/>
      <c r="AH213" s="615"/>
      <c r="AI213" s="615"/>
      <c r="AJ213" s="615"/>
      <c r="AK213" s="615"/>
      <c r="AL213" s="615"/>
      <c r="AM213" s="615"/>
      <c r="AN213" s="615"/>
      <c r="AO213" s="615"/>
      <c r="AP213" s="615"/>
      <c r="AQ213" s="615"/>
      <c r="AR213" s="615"/>
      <c r="AS213" s="615"/>
    </row>
    <row r="214" spans="12:45">
      <c r="L214" s="615"/>
      <c r="M214" s="615"/>
      <c r="AB214" s="615"/>
      <c r="AC214" s="615"/>
      <c r="AD214" s="615"/>
      <c r="AE214" s="615"/>
      <c r="AF214" s="615"/>
      <c r="AG214" s="615"/>
      <c r="AH214" s="615"/>
      <c r="AI214" s="615"/>
      <c r="AJ214" s="615"/>
      <c r="AK214" s="615"/>
      <c r="AL214" s="615"/>
      <c r="AM214" s="615"/>
      <c r="AN214" s="615"/>
      <c r="AO214" s="615"/>
      <c r="AP214" s="615"/>
      <c r="AQ214" s="615"/>
      <c r="AR214" s="615"/>
      <c r="AS214" s="615"/>
    </row>
    <row r="215" spans="12:45">
      <c r="L215" s="615"/>
      <c r="M215" s="615"/>
      <c r="AB215" s="615"/>
      <c r="AC215" s="615"/>
      <c r="AD215" s="615"/>
      <c r="AE215" s="615"/>
      <c r="AF215" s="615"/>
      <c r="AG215" s="615"/>
      <c r="AH215" s="615"/>
      <c r="AI215" s="615"/>
      <c r="AJ215" s="615"/>
      <c r="AK215" s="615"/>
      <c r="AL215" s="615"/>
      <c r="AM215" s="615"/>
      <c r="AN215" s="615"/>
      <c r="AO215" s="615"/>
      <c r="AP215" s="615"/>
      <c r="AQ215" s="615"/>
      <c r="AR215" s="615"/>
      <c r="AS215" s="615"/>
    </row>
    <row r="216" spans="12:45">
      <c r="L216" s="615"/>
      <c r="M216" s="615"/>
      <c r="AB216" s="615"/>
      <c r="AC216" s="615"/>
      <c r="AD216" s="615"/>
      <c r="AE216" s="615"/>
      <c r="AF216" s="615"/>
      <c r="AG216" s="615"/>
      <c r="AH216" s="615"/>
      <c r="AI216" s="615"/>
      <c r="AJ216" s="615"/>
      <c r="AK216" s="615"/>
      <c r="AL216" s="615"/>
      <c r="AM216" s="615"/>
      <c r="AN216" s="615"/>
      <c r="AO216" s="615"/>
      <c r="AP216" s="615"/>
      <c r="AQ216" s="615"/>
      <c r="AR216" s="615"/>
      <c r="AS216" s="615"/>
    </row>
    <row r="217" spans="12:45">
      <c r="L217" s="615"/>
      <c r="M217" s="615"/>
      <c r="AB217" s="615"/>
      <c r="AC217" s="615"/>
      <c r="AD217" s="615"/>
      <c r="AE217" s="615"/>
      <c r="AF217" s="615"/>
      <c r="AG217" s="615"/>
      <c r="AH217" s="615"/>
      <c r="AI217" s="615"/>
      <c r="AJ217" s="615"/>
      <c r="AK217" s="615"/>
      <c r="AL217" s="615"/>
      <c r="AM217" s="615"/>
      <c r="AN217" s="615"/>
      <c r="AO217" s="615"/>
      <c r="AP217" s="615"/>
      <c r="AQ217" s="615"/>
      <c r="AR217" s="615"/>
      <c r="AS217" s="615"/>
    </row>
    <row r="218" spans="12:45">
      <c r="L218" s="615"/>
      <c r="M218" s="615"/>
      <c r="AB218" s="615"/>
      <c r="AC218" s="615"/>
      <c r="AD218" s="615"/>
      <c r="AE218" s="615"/>
      <c r="AF218" s="615"/>
      <c r="AG218" s="615"/>
      <c r="AH218" s="615"/>
      <c r="AI218" s="615"/>
      <c r="AJ218" s="615"/>
      <c r="AK218" s="615"/>
      <c r="AL218" s="615"/>
      <c r="AM218" s="615"/>
      <c r="AN218" s="615"/>
      <c r="AO218" s="615"/>
      <c r="AP218" s="615"/>
      <c r="AQ218" s="615"/>
      <c r="AR218" s="615"/>
      <c r="AS218" s="615"/>
    </row>
    <row r="219" spans="12:45">
      <c r="L219" s="615"/>
      <c r="M219" s="615"/>
      <c r="AB219" s="615"/>
      <c r="AC219" s="615"/>
      <c r="AD219" s="615"/>
      <c r="AE219" s="615"/>
      <c r="AF219" s="615"/>
      <c r="AG219" s="615"/>
      <c r="AH219" s="615"/>
      <c r="AI219" s="615"/>
      <c r="AJ219" s="615"/>
      <c r="AK219" s="615"/>
      <c r="AL219" s="615"/>
      <c r="AM219" s="615"/>
      <c r="AN219" s="615"/>
      <c r="AO219" s="615"/>
      <c r="AP219" s="615"/>
      <c r="AQ219" s="615"/>
      <c r="AR219" s="615"/>
      <c r="AS219" s="615"/>
    </row>
    <row r="220" spans="12:45">
      <c r="L220" s="615"/>
      <c r="M220" s="615"/>
      <c r="AB220" s="615"/>
      <c r="AC220" s="615"/>
      <c r="AD220" s="615"/>
      <c r="AE220" s="615"/>
      <c r="AF220" s="615"/>
      <c r="AG220" s="615"/>
      <c r="AH220" s="615"/>
      <c r="AI220" s="615"/>
      <c r="AJ220" s="615"/>
      <c r="AK220" s="615"/>
      <c r="AL220" s="615"/>
      <c r="AM220" s="615"/>
      <c r="AN220" s="615"/>
      <c r="AO220" s="615"/>
      <c r="AP220" s="615"/>
      <c r="AQ220" s="615"/>
      <c r="AR220" s="615"/>
      <c r="AS220" s="615"/>
    </row>
    <row r="221" spans="12:45">
      <c r="L221" s="615"/>
      <c r="M221" s="615"/>
      <c r="AB221" s="615"/>
      <c r="AC221" s="615"/>
      <c r="AD221" s="615"/>
      <c r="AE221" s="615"/>
      <c r="AF221" s="615"/>
      <c r="AG221" s="615"/>
      <c r="AH221" s="615"/>
      <c r="AI221" s="615"/>
      <c r="AJ221" s="615"/>
      <c r="AK221" s="615"/>
      <c r="AL221" s="615"/>
      <c r="AM221" s="615"/>
      <c r="AN221" s="615"/>
      <c r="AO221" s="615"/>
      <c r="AP221" s="615"/>
      <c r="AQ221" s="615"/>
      <c r="AR221" s="615"/>
      <c r="AS221" s="615"/>
    </row>
    <row r="222" spans="12:45">
      <c r="L222" s="615"/>
      <c r="M222" s="615"/>
      <c r="AB222" s="615"/>
      <c r="AC222" s="615"/>
      <c r="AD222" s="615"/>
      <c r="AE222" s="615"/>
      <c r="AF222" s="615"/>
      <c r="AG222" s="615"/>
      <c r="AH222" s="615"/>
      <c r="AI222" s="615"/>
      <c r="AJ222" s="615"/>
      <c r="AK222" s="615"/>
      <c r="AL222" s="615"/>
      <c r="AM222" s="615"/>
      <c r="AN222" s="615"/>
      <c r="AO222" s="615"/>
      <c r="AP222" s="615"/>
      <c r="AQ222" s="615"/>
      <c r="AR222" s="615"/>
      <c r="AS222" s="615"/>
    </row>
    <row r="223" spans="12:45">
      <c r="L223" s="615"/>
      <c r="M223" s="615"/>
      <c r="AB223" s="615"/>
      <c r="AC223" s="615"/>
      <c r="AD223" s="615"/>
      <c r="AE223" s="615"/>
      <c r="AF223" s="615"/>
      <c r="AG223" s="615"/>
      <c r="AH223" s="615"/>
      <c r="AI223" s="615"/>
      <c r="AJ223" s="615"/>
      <c r="AK223" s="615"/>
      <c r="AL223" s="615"/>
      <c r="AM223" s="615"/>
      <c r="AN223" s="615"/>
      <c r="AO223" s="615"/>
      <c r="AP223" s="615"/>
      <c r="AQ223" s="615"/>
      <c r="AR223" s="615"/>
      <c r="AS223" s="615"/>
    </row>
    <row r="224" spans="12:45">
      <c r="L224" s="615"/>
      <c r="M224" s="615"/>
      <c r="AB224" s="615"/>
      <c r="AC224" s="615"/>
      <c r="AD224" s="615"/>
      <c r="AE224" s="615"/>
      <c r="AF224" s="615"/>
      <c r="AG224" s="615"/>
      <c r="AH224" s="615"/>
      <c r="AI224" s="615"/>
      <c r="AJ224" s="615"/>
      <c r="AK224" s="615"/>
      <c r="AL224" s="615"/>
      <c r="AM224" s="615"/>
      <c r="AN224" s="615"/>
      <c r="AO224" s="615"/>
      <c r="AP224" s="615"/>
      <c r="AQ224" s="615"/>
      <c r="AR224" s="615"/>
      <c r="AS224" s="615"/>
    </row>
    <row r="225" spans="12:45">
      <c r="L225" s="615"/>
      <c r="M225" s="615"/>
      <c r="AB225" s="615"/>
      <c r="AC225" s="615"/>
      <c r="AD225" s="615"/>
      <c r="AE225" s="615"/>
      <c r="AF225" s="615"/>
      <c r="AG225" s="615"/>
      <c r="AH225" s="615"/>
      <c r="AI225" s="615"/>
      <c r="AJ225" s="615"/>
      <c r="AK225" s="615"/>
      <c r="AL225" s="615"/>
      <c r="AM225" s="615"/>
      <c r="AN225" s="615"/>
      <c r="AO225" s="615"/>
      <c r="AP225" s="615"/>
      <c r="AQ225" s="615"/>
      <c r="AR225" s="615"/>
      <c r="AS225" s="615"/>
    </row>
    <row r="226" spans="12:45">
      <c r="L226" s="615"/>
      <c r="M226" s="615"/>
      <c r="AB226" s="615"/>
      <c r="AC226" s="615"/>
      <c r="AD226" s="615"/>
      <c r="AE226" s="615"/>
      <c r="AF226" s="615"/>
      <c r="AG226" s="615"/>
      <c r="AH226" s="615"/>
      <c r="AI226" s="615"/>
      <c r="AJ226" s="615"/>
      <c r="AK226" s="615"/>
      <c r="AL226" s="615"/>
      <c r="AM226" s="615"/>
      <c r="AN226" s="615"/>
      <c r="AO226" s="615"/>
      <c r="AP226" s="615"/>
      <c r="AQ226" s="615"/>
      <c r="AR226" s="615"/>
      <c r="AS226" s="615"/>
    </row>
    <row r="227" spans="12:45">
      <c r="L227" s="615"/>
      <c r="M227" s="615"/>
      <c r="AB227" s="615"/>
      <c r="AC227" s="615"/>
      <c r="AD227" s="615"/>
      <c r="AE227" s="615"/>
      <c r="AF227" s="615"/>
      <c r="AG227" s="615"/>
      <c r="AH227" s="615"/>
      <c r="AI227" s="615"/>
      <c r="AJ227" s="615"/>
      <c r="AK227" s="615"/>
      <c r="AL227" s="615"/>
      <c r="AM227" s="615"/>
      <c r="AN227" s="615"/>
      <c r="AO227" s="615"/>
      <c r="AP227" s="615"/>
      <c r="AQ227" s="615"/>
      <c r="AR227" s="615"/>
      <c r="AS227" s="615"/>
    </row>
    <row r="228" spans="12:45">
      <c r="L228" s="615"/>
      <c r="M228" s="615"/>
      <c r="AB228" s="615"/>
      <c r="AC228" s="615"/>
      <c r="AD228" s="615"/>
      <c r="AE228" s="615"/>
      <c r="AF228" s="615"/>
      <c r="AG228" s="615"/>
      <c r="AH228" s="615"/>
      <c r="AI228" s="615"/>
      <c r="AJ228" s="615"/>
      <c r="AK228" s="615"/>
      <c r="AL228" s="615"/>
      <c r="AM228" s="615"/>
      <c r="AN228" s="615"/>
      <c r="AO228" s="615"/>
      <c r="AP228" s="615"/>
      <c r="AQ228" s="615"/>
      <c r="AR228" s="615"/>
      <c r="AS228" s="615"/>
    </row>
    <row r="229" spans="12:45">
      <c r="L229" s="615"/>
      <c r="M229" s="615"/>
      <c r="AB229" s="615"/>
      <c r="AC229" s="615"/>
      <c r="AD229" s="615"/>
      <c r="AE229" s="615"/>
      <c r="AF229" s="615"/>
      <c r="AG229" s="615"/>
      <c r="AH229" s="615"/>
      <c r="AI229" s="615"/>
      <c r="AJ229" s="615"/>
      <c r="AK229" s="615"/>
      <c r="AL229" s="615"/>
      <c r="AM229" s="615"/>
      <c r="AN229" s="615"/>
      <c r="AO229" s="615"/>
      <c r="AP229" s="615"/>
      <c r="AQ229" s="615"/>
      <c r="AR229" s="615"/>
      <c r="AS229" s="615"/>
    </row>
    <row r="230" spans="12:45">
      <c r="L230" s="615"/>
      <c r="M230" s="615"/>
      <c r="AB230" s="615"/>
      <c r="AC230" s="615"/>
      <c r="AD230" s="615"/>
      <c r="AE230" s="615"/>
      <c r="AF230" s="615"/>
      <c r="AG230" s="615"/>
      <c r="AH230" s="615"/>
      <c r="AI230" s="615"/>
      <c r="AJ230" s="615"/>
      <c r="AK230" s="615"/>
      <c r="AL230" s="615"/>
      <c r="AM230" s="615"/>
      <c r="AN230" s="615"/>
      <c r="AO230" s="615"/>
      <c r="AP230" s="615"/>
      <c r="AQ230" s="615"/>
      <c r="AR230" s="615"/>
      <c r="AS230" s="615"/>
    </row>
    <row r="231" spans="12:45">
      <c r="L231" s="615"/>
      <c r="M231" s="615"/>
      <c r="AB231" s="615"/>
      <c r="AC231" s="615"/>
      <c r="AD231" s="615"/>
      <c r="AE231" s="615"/>
      <c r="AF231" s="615"/>
      <c r="AG231" s="615"/>
      <c r="AH231" s="615"/>
      <c r="AI231" s="615"/>
      <c r="AJ231" s="615"/>
      <c r="AK231" s="615"/>
      <c r="AL231" s="615"/>
      <c r="AM231" s="615"/>
      <c r="AN231" s="615"/>
      <c r="AO231" s="615"/>
      <c r="AP231" s="615"/>
      <c r="AQ231" s="615"/>
      <c r="AR231" s="615"/>
      <c r="AS231" s="615"/>
    </row>
    <row r="232" spans="12:45">
      <c r="L232" s="615"/>
      <c r="M232" s="615"/>
      <c r="AB232" s="615"/>
      <c r="AC232" s="615"/>
      <c r="AD232" s="615"/>
      <c r="AE232" s="615"/>
      <c r="AF232" s="615"/>
      <c r="AG232" s="615"/>
      <c r="AH232" s="615"/>
      <c r="AI232" s="615"/>
      <c r="AJ232" s="615"/>
      <c r="AK232" s="615"/>
      <c r="AL232" s="615"/>
      <c r="AM232" s="615"/>
      <c r="AN232" s="615"/>
      <c r="AO232" s="615"/>
      <c r="AP232" s="615"/>
      <c r="AQ232" s="615"/>
      <c r="AR232" s="615"/>
      <c r="AS232" s="615"/>
    </row>
    <row r="233" spans="12:45">
      <c r="L233" s="615"/>
      <c r="M233" s="615"/>
      <c r="AB233" s="615"/>
      <c r="AC233" s="615"/>
      <c r="AD233" s="615"/>
      <c r="AE233" s="615"/>
      <c r="AF233" s="615"/>
      <c r="AG233" s="615"/>
      <c r="AH233" s="615"/>
      <c r="AI233" s="615"/>
      <c r="AJ233" s="615"/>
      <c r="AK233" s="615"/>
      <c r="AL233" s="615"/>
      <c r="AM233" s="615"/>
      <c r="AN233" s="615"/>
      <c r="AO233" s="615"/>
      <c r="AP233" s="615"/>
      <c r="AQ233" s="615"/>
      <c r="AR233" s="615"/>
      <c r="AS233" s="615"/>
    </row>
    <row r="234" spans="12:45">
      <c r="L234" s="615"/>
      <c r="M234" s="615"/>
      <c r="AB234" s="615"/>
      <c r="AC234" s="615"/>
      <c r="AD234" s="615"/>
      <c r="AE234" s="615"/>
      <c r="AF234" s="615"/>
      <c r="AG234" s="615"/>
      <c r="AH234" s="615"/>
      <c r="AI234" s="615"/>
      <c r="AJ234" s="615"/>
      <c r="AK234" s="615"/>
      <c r="AL234" s="615"/>
      <c r="AM234" s="615"/>
      <c r="AN234" s="615"/>
      <c r="AO234" s="615"/>
      <c r="AP234" s="615"/>
      <c r="AQ234" s="615"/>
      <c r="AR234" s="615"/>
      <c r="AS234" s="615"/>
    </row>
    <row r="235" spans="12:45">
      <c r="L235" s="615"/>
      <c r="M235" s="615"/>
      <c r="AB235" s="615"/>
      <c r="AC235" s="615"/>
      <c r="AD235" s="615"/>
      <c r="AE235" s="615"/>
      <c r="AF235" s="615"/>
      <c r="AG235" s="615"/>
      <c r="AH235" s="615"/>
      <c r="AI235" s="615"/>
      <c r="AJ235" s="615"/>
      <c r="AK235" s="615"/>
      <c r="AL235" s="615"/>
      <c r="AM235" s="615"/>
      <c r="AN235" s="615"/>
      <c r="AO235" s="615"/>
      <c r="AP235" s="615"/>
      <c r="AQ235" s="615"/>
      <c r="AR235" s="615"/>
      <c r="AS235" s="615"/>
    </row>
    <row r="236" spans="12:45">
      <c r="L236" s="615"/>
      <c r="M236" s="615"/>
      <c r="AB236" s="615"/>
      <c r="AC236" s="615"/>
      <c r="AD236" s="615"/>
      <c r="AE236" s="615"/>
      <c r="AF236" s="615"/>
      <c r="AG236" s="615"/>
      <c r="AH236" s="615"/>
      <c r="AI236" s="615"/>
      <c r="AJ236" s="615"/>
      <c r="AK236" s="615"/>
      <c r="AL236" s="615"/>
      <c r="AM236" s="615"/>
      <c r="AN236" s="615"/>
      <c r="AO236" s="615"/>
      <c r="AP236" s="615"/>
      <c r="AQ236" s="615"/>
      <c r="AR236" s="615"/>
      <c r="AS236" s="615"/>
    </row>
    <row r="237" spans="12:45">
      <c r="L237" s="615"/>
      <c r="M237" s="615"/>
      <c r="AB237" s="615"/>
      <c r="AC237" s="615"/>
      <c r="AD237" s="615"/>
      <c r="AE237" s="615"/>
      <c r="AF237" s="615"/>
      <c r="AG237" s="615"/>
      <c r="AH237" s="615"/>
      <c r="AI237" s="615"/>
      <c r="AJ237" s="615"/>
      <c r="AK237" s="615"/>
      <c r="AL237" s="615"/>
      <c r="AM237" s="615"/>
      <c r="AN237" s="615"/>
      <c r="AO237" s="615"/>
      <c r="AP237" s="615"/>
      <c r="AQ237" s="615"/>
      <c r="AR237" s="615"/>
      <c r="AS237" s="615"/>
    </row>
    <row r="238" spans="12:45">
      <c r="L238" s="615"/>
      <c r="M238" s="615"/>
      <c r="AB238" s="615"/>
      <c r="AC238" s="615"/>
      <c r="AD238" s="615"/>
      <c r="AE238" s="615"/>
      <c r="AF238" s="615"/>
      <c r="AG238" s="615"/>
      <c r="AH238" s="615"/>
      <c r="AI238" s="615"/>
      <c r="AJ238" s="615"/>
      <c r="AK238" s="615"/>
      <c r="AL238" s="615"/>
      <c r="AM238" s="615"/>
      <c r="AN238" s="615"/>
      <c r="AO238" s="615"/>
      <c r="AP238" s="615"/>
      <c r="AQ238" s="615"/>
      <c r="AR238" s="615"/>
      <c r="AS238" s="615"/>
    </row>
    <row r="239" spans="12:45">
      <c r="L239" s="615"/>
      <c r="M239" s="615"/>
      <c r="AB239" s="615"/>
      <c r="AC239" s="615"/>
      <c r="AD239" s="615"/>
      <c r="AE239" s="615"/>
      <c r="AF239" s="615"/>
      <c r="AG239" s="615"/>
      <c r="AH239" s="615"/>
      <c r="AI239" s="615"/>
      <c r="AJ239" s="615"/>
      <c r="AK239" s="615"/>
      <c r="AL239" s="615"/>
      <c r="AM239" s="615"/>
      <c r="AN239" s="615"/>
      <c r="AO239" s="615"/>
      <c r="AP239" s="615"/>
      <c r="AQ239" s="615"/>
      <c r="AR239" s="615"/>
      <c r="AS239" s="615"/>
    </row>
    <row r="240" spans="12:45">
      <c r="L240" s="615"/>
      <c r="M240" s="615"/>
      <c r="AB240" s="615"/>
      <c r="AC240" s="615"/>
      <c r="AD240" s="615"/>
      <c r="AE240" s="615"/>
      <c r="AF240" s="615"/>
      <c r="AG240" s="615"/>
      <c r="AH240" s="615"/>
      <c r="AI240" s="615"/>
      <c r="AJ240" s="615"/>
      <c r="AK240" s="615"/>
      <c r="AL240" s="615"/>
      <c r="AM240" s="615"/>
      <c r="AN240" s="615"/>
      <c r="AO240" s="615"/>
      <c r="AP240" s="615"/>
      <c r="AQ240" s="615"/>
      <c r="AR240" s="615"/>
      <c r="AS240" s="615"/>
    </row>
    <row r="241" spans="12:45">
      <c r="L241" s="615"/>
      <c r="M241" s="615"/>
      <c r="AB241" s="615"/>
      <c r="AC241" s="615"/>
      <c r="AD241" s="615"/>
      <c r="AE241" s="615"/>
      <c r="AF241" s="615"/>
      <c r="AG241" s="615"/>
      <c r="AH241" s="615"/>
      <c r="AI241" s="615"/>
      <c r="AJ241" s="615"/>
      <c r="AK241" s="615"/>
      <c r="AL241" s="615"/>
      <c r="AM241" s="615"/>
      <c r="AN241" s="615"/>
      <c r="AO241" s="615"/>
      <c r="AP241" s="615"/>
      <c r="AQ241" s="615"/>
      <c r="AR241" s="615"/>
      <c r="AS241" s="615"/>
    </row>
    <row r="242" spans="12:45">
      <c r="L242" s="615"/>
      <c r="M242" s="615"/>
      <c r="AB242" s="615"/>
      <c r="AC242" s="615"/>
      <c r="AD242" s="615"/>
      <c r="AE242" s="615"/>
      <c r="AF242" s="615"/>
      <c r="AG242" s="615"/>
      <c r="AH242" s="615"/>
      <c r="AI242" s="615"/>
      <c r="AJ242" s="615"/>
      <c r="AK242" s="615"/>
      <c r="AL242" s="615"/>
      <c r="AM242" s="615"/>
      <c r="AN242" s="615"/>
      <c r="AO242" s="615"/>
      <c r="AP242" s="615"/>
      <c r="AQ242" s="615"/>
      <c r="AR242" s="615"/>
      <c r="AS242" s="615"/>
    </row>
    <row r="243" spans="12:45">
      <c r="L243" s="615"/>
      <c r="M243" s="615"/>
      <c r="AB243" s="615"/>
      <c r="AC243" s="615"/>
      <c r="AD243" s="615"/>
      <c r="AE243" s="615"/>
      <c r="AF243" s="615"/>
      <c r="AG243" s="615"/>
      <c r="AH243" s="615"/>
      <c r="AI243" s="615"/>
      <c r="AJ243" s="615"/>
      <c r="AK243" s="615"/>
      <c r="AL243" s="615"/>
      <c r="AM243" s="615"/>
      <c r="AN243" s="615"/>
      <c r="AO243" s="615"/>
      <c r="AP243" s="615"/>
      <c r="AQ243" s="615"/>
      <c r="AR243" s="615"/>
      <c r="AS243" s="615"/>
    </row>
    <row r="244" spans="12:45">
      <c r="L244" s="615"/>
      <c r="M244" s="615"/>
      <c r="AB244" s="615"/>
      <c r="AC244" s="615"/>
      <c r="AD244" s="615"/>
      <c r="AE244" s="615"/>
      <c r="AF244" s="615"/>
      <c r="AG244" s="615"/>
      <c r="AH244" s="615"/>
      <c r="AI244" s="615"/>
      <c r="AJ244" s="615"/>
      <c r="AK244" s="615"/>
      <c r="AL244" s="615"/>
      <c r="AM244" s="615"/>
      <c r="AN244" s="615"/>
      <c r="AO244" s="615"/>
      <c r="AP244" s="615"/>
      <c r="AQ244" s="615"/>
      <c r="AR244" s="615"/>
      <c r="AS244" s="615"/>
    </row>
    <row r="245" spans="12:45">
      <c r="L245" s="615"/>
      <c r="M245" s="615"/>
      <c r="AB245" s="615"/>
      <c r="AC245" s="615"/>
      <c r="AD245" s="615"/>
      <c r="AE245" s="615"/>
      <c r="AF245" s="615"/>
      <c r="AG245" s="615"/>
      <c r="AH245" s="615"/>
      <c r="AI245" s="615"/>
      <c r="AJ245" s="615"/>
      <c r="AK245" s="615"/>
      <c r="AL245" s="615"/>
      <c r="AM245" s="615"/>
      <c r="AN245" s="615"/>
      <c r="AO245" s="615"/>
      <c r="AP245" s="615"/>
      <c r="AQ245" s="615"/>
      <c r="AR245" s="615"/>
      <c r="AS245" s="615"/>
    </row>
    <row r="246" spans="12:45">
      <c r="L246" s="615"/>
      <c r="M246" s="615"/>
      <c r="AB246" s="615"/>
      <c r="AC246" s="615"/>
      <c r="AD246" s="615"/>
      <c r="AE246" s="615"/>
      <c r="AF246" s="615"/>
      <c r="AG246" s="615"/>
      <c r="AH246" s="615"/>
      <c r="AI246" s="615"/>
      <c r="AJ246" s="615"/>
      <c r="AK246" s="615"/>
      <c r="AL246" s="615"/>
      <c r="AM246" s="615"/>
      <c r="AN246" s="615"/>
      <c r="AO246" s="615"/>
      <c r="AP246" s="615"/>
      <c r="AQ246" s="615"/>
      <c r="AR246" s="615"/>
      <c r="AS246" s="615"/>
    </row>
    <row r="247" spans="12:45">
      <c r="L247" s="615"/>
      <c r="M247" s="615"/>
      <c r="AB247" s="615"/>
      <c r="AC247" s="615"/>
      <c r="AD247" s="615"/>
      <c r="AE247" s="615"/>
      <c r="AF247" s="615"/>
      <c r="AG247" s="615"/>
      <c r="AH247" s="615"/>
      <c r="AI247" s="615"/>
      <c r="AJ247" s="615"/>
      <c r="AK247" s="615"/>
      <c r="AL247" s="615"/>
      <c r="AM247" s="615"/>
      <c r="AN247" s="615"/>
      <c r="AO247" s="615"/>
      <c r="AP247" s="615"/>
      <c r="AQ247" s="615"/>
      <c r="AR247" s="615"/>
      <c r="AS247" s="615"/>
    </row>
    <row r="248" spans="12:45">
      <c r="L248" s="615"/>
      <c r="M248" s="615"/>
      <c r="AB248" s="615"/>
      <c r="AC248" s="615"/>
      <c r="AD248" s="615"/>
      <c r="AE248" s="615"/>
      <c r="AF248" s="615"/>
      <c r="AG248" s="615"/>
      <c r="AH248" s="615"/>
      <c r="AI248" s="615"/>
      <c r="AJ248" s="615"/>
      <c r="AK248" s="615"/>
      <c r="AL248" s="615"/>
      <c r="AM248" s="615"/>
      <c r="AN248" s="615"/>
      <c r="AO248" s="615"/>
      <c r="AP248" s="615"/>
      <c r="AQ248" s="615"/>
      <c r="AR248" s="615"/>
      <c r="AS248" s="615"/>
    </row>
    <row r="249" spans="12:45">
      <c r="L249" s="615"/>
      <c r="M249" s="615"/>
      <c r="AB249" s="615"/>
      <c r="AC249" s="615"/>
      <c r="AD249" s="615"/>
      <c r="AE249" s="615"/>
      <c r="AF249" s="615"/>
      <c r="AG249" s="615"/>
      <c r="AH249" s="615"/>
      <c r="AI249" s="615"/>
      <c r="AJ249" s="615"/>
      <c r="AK249" s="615"/>
      <c r="AL249" s="615"/>
      <c r="AM249" s="615"/>
      <c r="AN249" s="615"/>
      <c r="AO249" s="615"/>
      <c r="AP249" s="615"/>
      <c r="AQ249" s="615"/>
      <c r="AR249" s="615"/>
      <c r="AS249" s="615"/>
    </row>
    <row r="250" spans="12:45">
      <c r="L250" s="615"/>
      <c r="M250" s="615"/>
      <c r="AB250" s="615"/>
      <c r="AC250" s="615"/>
      <c r="AD250" s="615"/>
      <c r="AE250" s="615"/>
      <c r="AF250" s="615"/>
      <c r="AG250" s="615"/>
      <c r="AH250" s="615"/>
      <c r="AI250" s="615"/>
      <c r="AJ250" s="615"/>
      <c r="AK250" s="615"/>
      <c r="AL250" s="615"/>
      <c r="AM250" s="615"/>
      <c r="AN250" s="615"/>
      <c r="AO250" s="615"/>
      <c r="AP250" s="615"/>
      <c r="AQ250" s="615"/>
      <c r="AR250" s="615"/>
      <c r="AS250" s="615"/>
    </row>
    <row r="251" spans="12:45">
      <c r="L251" s="615"/>
      <c r="M251" s="615"/>
      <c r="AB251" s="615"/>
      <c r="AC251" s="615"/>
      <c r="AD251" s="615"/>
      <c r="AE251" s="615"/>
      <c r="AF251" s="615"/>
      <c r="AG251" s="615"/>
      <c r="AH251" s="615"/>
      <c r="AI251" s="615"/>
      <c r="AJ251" s="615"/>
      <c r="AK251" s="615"/>
      <c r="AL251" s="615"/>
      <c r="AM251" s="615"/>
      <c r="AN251" s="615"/>
      <c r="AO251" s="615"/>
      <c r="AP251" s="615"/>
      <c r="AQ251" s="615"/>
      <c r="AR251" s="615"/>
      <c r="AS251" s="615"/>
    </row>
    <row r="252" spans="12:45">
      <c r="L252" s="615"/>
      <c r="M252" s="615"/>
      <c r="AB252" s="615"/>
      <c r="AC252" s="615"/>
      <c r="AD252" s="615"/>
      <c r="AE252" s="615"/>
      <c r="AF252" s="615"/>
      <c r="AG252" s="615"/>
      <c r="AH252" s="615"/>
      <c r="AI252" s="615"/>
      <c r="AJ252" s="615"/>
      <c r="AK252" s="615"/>
      <c r="AL252" s="615"/>
      <c r="AM252" s="615"/>
      <c r="AN252" s="615"/>
      <c r="AO252" s="615"/>
      <c r="AP252" s="615"/>
      <c r="AQ252" s="615"/>
      <c r="AR252" s="615"/>
      <c r="AS252" s="615"/>
    </row>
    <row r="253" spans="12:45">
      <c r="L253" s="615"/>
      <c r="M253" s="615"/>
      <c r="AB253" s="615"/>
      <c r="AC253" s="615"/>
      <c r="AD253" s="615"/>
      <c r="AE253" s="615"/>
      <c r="AF253" s="615"/>
      <c r="AG253" s="615"/>
      <c r="AH253" s="615"/>
      <c r="AI253" s="615"/>
      <c r="AJ253" s="615"/>
      <c r="AK253" s="615"/>
      <c r="AL253" s="615"/>
      <c r="AM253" s="615"/>
      <c r="AN253" s="615"/>
      <c r="AO253" s="615"/>
      <c r="AP253" s="615"/>
      <c r="AQ253" s="615"/>
      <c r="AR253" s="615"/>
      <c r="AS253" s="615"/>
    </row>
    <row r="254" spans="12:45">
      <c r="L254" s="615"/>
      <c r="M254" s="615"/>
      <c r="AB254" s="615"/>
      <c r="AC254" s="615"/>
      <c r="AD254" s="615"/>
      <c r="AE254" s="615"/>
      <c r="AF254" s="615"/>
      <c r="AG254" s="615"/>
      <c r="AH254" s="615"/>
      <c r="AI254" s="615"/>
      <c r="AJ254" s="615"/>
      <c r="AK254" s="615"/>
      <c r="AL254" s="615"/>
      <c r="AM254" s="615"/>
      <c r="AN254" s="615"/>
      <c r="AO254" s="615"/>
      <c r="AP254" s="615"/>
      <c r="AQ254" s="615"/>
      <c r="AR254" s="615"/>
      <c r="AS254" s="615"/>
    </row>
    <row r="255" spans="12:45">
      <c r="L255" s="615"/>
      <c r="M255" s="615"/>
      <c r="AB255" s="615"/>
      <c r="AC255" s="615"/>
      <c r="AD255" s="615"/>
      <c r="AE255" s="615"/>
      <c r="AF255" s="615"/>
      <c r="AG255" s="615"/>
      <c r="AH255" s="615"/>
      <c r="AI255" s="615"/>
      <c r="AJ255" s="615"/>
      <c r="AK255" s="615"/>
      <c r="AL255" s="615"/>
      <c r="AM255" s="615"/>
      <c r="AN255" s="615"/>
      <c r="AO255" s="615"/>
      <c r="AP255" s="615"/>
      <c r="AQ255" s="615"/>
      <c r="AR255" s="615"/>
      <c r="AS255" s="615"/>
    </row>
    <row r="256" spans="12:45">
      <c r="L256" s="615"/>
      <c r="M256" s="615"/>
      <c r="AB256" s="615"/>
      <c r="AC256" s="615"/>
      <c r="AD256" s="615"/>
      <c r="AE256" s="615"/>
      <c r="AF256" s="615"/>
      <c r="AG256" s="615"/>
      <c r="AH256" s="615"/>
      <c r="AI256" s="615"/>
      <c r="AJ256" s="615"/>
      <c r="AK256" s="615"/>
      <c r="AL256" s="615"/>
      <c r="AM256" s="615"/>
      <c r="AN256" s="615"/>
      <c r="AO256" s="615"/>
      <c r="AP256" s="615"/>
      <c r="AQ256" s="615"/>
      <c r="AR256" s="615"/>
      <c r="AS256" s="615"/>
    </row>
    <row r="257" spans="12:45">
      <c r="L257" s="615"/>
      <c r="M257" s="615"/>
      <c r="AB257" s="615"/>
      <c r="AC257" s="615"/>
      <c r="AD257" s="615"/>
      <c r="AE257" s="615"/>
      <c r="AF257" s="615"/>
      <c r="AG257" s="615"/>
      <c r="AH257" s="615"/>
      <c r="AI257" s="615"/>
      <c r="AJ257" s="615"/>
      <c r="AK257" s="615"/>
      <c r="AL257" s="615"/>
      <c r="AM257" s="615"/>
      <c r="AN257" s="615"/>
      <c r="AO257" s="615"/>
      <c r="AP257" s="615"/>
      <c r="AQ257" s="615"/>
      <c r="AR257" s="615"/>
      <c r="AS257" s="615"/>
    </row>
    <row r="258" spans="12:45">
      <c r="L258" s="615"/>
      <c r="M258" s="615"/>
      <c r="AB258" s="615"/>
      <c r="AC258" s="615"/>
      <c r="AD258" s="615"/>
      <c r="AE258" s="615"/>
      <c r="AF258" s="615"/>
      <c r="AG258" s="615"/>
      <c r="AH258" s="615"/>
      <c r="AI258" s="615"/>
      <c r="AJ258" s="615"/>
      <c r="AK258" s="615"/>
      <c r="AL258" s="615"/>
      <c r="AM258" s="615"/>
      <c r="AN258" s="615"/>
      <c r="AO258" s="615"/>
      <c r="AP258" s="615"/>
      <c r="AQ258" s="615"/>
      <c r="AR258" s="615"/>
      <c r="AS258" s="615"/>
    </row>
    <row r="259" spans="12:45">
      <c r="L259" s="615"/>
      <c r="M259" s="615"/>
      <c r="AB259" s="615"/>
      <c r="AC259" s="615"/>
      <c r="AD259" s="615"/>
      <c r="AE259" s="615"/>
      <c r="AF259" s="615"/>
      <c r="AG259" s="615"/>
      <c r="AH259" s="615"/>
      <c r="AI259" s="615"/>
      <c r="AJ259" s="615"/>
      <c r="AK259" s="615"/>
      <c r="AL259" s="615"/>
      <c r="AM259" s="615"/>
      <c r="AN259" s="615"/>
      <c r="AO259" s="615"/>
      <c r="AP259" s="615"/>
      <c r="AQ259" s="615"/>
      <c r="AR259" s="615"/>
      <c r="AS259" s="615"/>
    </row>
    <row r="260" spans="12:45">
      <c r="L260" s="615"/>
      <c r="M260" s="615"/>
      <c r="AB260" s="615"/>
      <c r="AC260" s="615"/>
      <c r="AD260" s="615"/>
      <c r="AE260" s="615"/>
      <c r="AF260" s="615"/>
      <c r="AG260" s="615"/>
      <c r="AH260" s="615"/>
      <c r="AI260" s="615"/>
      <c r="AJ260" s="615"/>
      <c r="AK260" s="615"/>
      <c r="AL260" s="615"/>
      <c r="AM260" s="615"/>
      <c r="AN260" s="615"/>
      <c r="AO260" s="615"/>
      <c r="AP260" s="615"/>
      <c r="AQ260" s="615"/>
      <c r="AR260" s="615"/>
      <c r="AS260" s="615"/>
    </row>
    <row r="261" spans="12:45">
      <c r="L261" s="615"/>
      <c r="M261" s="615"/>
      <c r="AB261" s="615"/>
      <c r="AC261" s="615"/>
      <c r="AD261" s="615"/>
      <c r="AE261" s="615"/>
      <c r="AF261" s="615"/>
      <c r="AG261" s="615"/>
      <c r="AH261" s="615"/>
      <c r="AI261" s="615"/>
      <c r="AJ261" s="615"/>
      <c r="AK261" s="615"/>
      <c r="AL261" s="615"/>
      <c r="AM261" s="615"/>
      <c r="AN261" s="615"/>
      <c r="AO261" s="615"/>
      <c r="AP261" s="615"/>
      <c r="AQ261" s="615"/>
      <c r="AR261" s="615"/>
      <c r="AS261" s="615"/>
    </row>
    <row r="262" spans="12:45">
      <c r="L262" s="615"/>
      <c r="M262" s="615"/>
      <c r="AB262" s="615"/>
      <c r="AC262" s="615"/>
      <c r="AD262" s="615"/>
      <c r="AE262" s="615"/>
      <c r="AF262" s="615"/>
      <c r="AG262" s="615"/>
      <c r="AH262" s="615"/>
      <c r="AI262" s="615"/>
      <c r="AJ262" s="615"/>
      <c r="AK262" s="615"/>
      <c r="AL262" s="615"/>
      <c r="AM262" s="615"/>
      <c r="AN262" s="615"/>
      <c r="AO262" s="615"/>
      <c r="AP262" s="615"/>
      <c r="AQ262" s="615"/>
      <c r="AR262" s="615"/>
      <c r="AS262" s="615"/>
    </row>
    <row r="263" spans="12:45">
      <c r="L263" s="615"/>
      <c r="M263" s="615"/>
      <c r="AB263" s="615"/>
      <c r="AC263" s="615"/>
      <c r="AD263" s="615"/>
      <c r="AE263" s="615"/>
      <c r="AF263" s="615"/>
      <c r="AG263" s="615"/>
      <c r="AH263" s="615"/>
      <c r="AI263" s="615"/>
      <c r="AJ263" s="615"/>
      <c r="AK263" s="615"/>
      <c r="AL263" s="615"/>
      <c r="AM263" s="615"/>
      <c r="AN263" s="615"/>
      <c r="AO263" s="615"/>
      <c r="AP263" s="615"/>
      <c r="AQ263" s="615"/>
      <c r="AR263" s="615"/>
      <c r="AS263" s="615"/>
    </row>
    <row r="264" spans="12:45">
      <c r="L264" s="615"/>
      <c r="M264" s="615"/>
      <c r="AB264" s="615"/>
      <c r="AC264" s="615"/>
      <c r="AD264" s="615"/>
      <c r="AE264" s="615"/>
      <c r="AF264" s="615"/>
      <c r="AG264" s="615"/>
      <c r="AH264" s="615"/>
      <c r="AI264" s="615"/>
      <c r="AJ264" s="615"/>
      <c r="AK264" s="615"/>
      <c r="AL264" s="615"/>
      <c r="AM264" s="615"/>
      <c r="AN264" s="615"/>
      <c r="AO264" s="615"/>
      <c r="AP264" s="615"/>
      <c r="AQ264" s="615"/>
      <c r="AR264" s="615"/>
      <c r="AS264" s="615"/>
    </row>
    <row r="265" spans="12:45">
      <c r="L265" s="615"/>
      <c r="M265" s="615"/>
      <c r="AB265" s="615"/>
      <c r="AC265" s="615"/>
      <c r="AD265" s="615"/>
      <c r="AE265" s="615"/>
      <c r="AF265" s="615"/>
      <c r="AG265" s="615"/>
      <c r="AH265" s="615"/>
      <c r="AI265" s="615"/>
      <c r="AJ265" s="615"/>
      <c r="AK265" s="615"/>
      <c r="AL265" s="615"/>
      <c r="AM265" s="615"/>
      <c r="AN265" s="615"/>
      <c r="AO265" s="615"/>
      <c r="AP265" s="615"/>
      <c r="AQ265" s="615"/>
      <c r="AR265" s="615"/>
      <c r="AS265" s="615"/>
    </row>
    <row r="266" spans="12:45">
      <c r="L266" s="615"/>
      <c r="M266" s="615"/>
      <c r="AB266" s="615"/>
      <c r="AC266" s="615"/>
      <c r="AD266" s="615"/>
      <c r="AE266" s="615"/>
      <c r="AF266" s="615"/>
      <c r="AG266" s="615"/>
      <c r="AH266" s="615"/>
      <c r="AI266" s="615"/>
      <c r="AJ266" s="615"/>
      <c r="AK266" s="615"/>
      <c r="AL266" s="615"/>
      <c r="AM266" s="615"/>
      <c r="AN266" s="615"/>
      <c r="AO266" s="615"/>
      <c r="AP266" s="615"/>
      <c r="AQ266" s="615"/>
      <c r="AR266" s="615"/>
      <c r="AS266" s="615"/>
    </row>
    <row r="267" spans="12:45">
      <c r="L267" s="615"/>
      <c r="M267" s="615"/>
      <c r="AB267" s="615"/>
      <c r="AC267" s="615"/>
      <c r="AD267" s="615"/>
      <c r="AE267" s="615"/>
      <c r="AF267" s="615"/>
      <c r="AG267" s="615"/>
      <c r="AH267" s="615"/>
      <c r="AI267" s="615"/>
      <c r="AJ267" s="615"/>
      <c r="AK267" s="615"/>
      <c r="AL267" s="615"/>
      <c r="AM267" s="615"/>
      <c r="AN267" s="615"/>
      <c r="AO267" s="615"/>
      <c r="AP267" s="615"/>
      <c r="AQ267" s="615"/>
      <c r="AR267" s="615"/>
      <c r="AS267" s="615"/>
    </row>
    <row r="268" spans="12:45">
      <c r="L268" s="615"/>
      <c r="M268" s="615"/>
      <c r="AB268" s="615"/>
      <c r="AC268" s="615"/>
      <c r="AD268" s="615"/>
      <c r="AE268" s="615"/>
      <c r="AF268" s="615"/>
      <c r="AG268" s="615"/>
      <c r="AH268" s="615"/>
      <c r="AI268" s="615"/>
      <c r="AJ268" s="615"/>
      <c r="AK268" s="615"/>
      <c r="AL268" s="615"/>
      <c r="AM268" s="615"/>
      <c r="AN268" s="615"/>
      <c r="AO268" s="615"/>
      <c r="AP268" s="615"/>
      <c r="AQ268" s="615"/>
      <c r="AR268" s="615"/>
      <c r="AS268" s="615"/>
    </row>
    <row r="269" spans="12:45">
      <c r="L269" s="615"/>
      <c r="M269" s="615"/>
      <c r="AB269" s="615"/>
      <c r="AC269" s="615"/>
      <c r="AD269" s="615"/>
      <c r="AE269" s="615"/>
      <c r="AF269" s="615"/>
      <c r="AG269" s="615"/>
      <c r="AH269" s="615"/>
      <c r="AI269" s="615"/>
      <c r="AJ269" s="615"/>
      <c r="AK269" s="615"/>
      <c r="AL269" s="615"/>
      <c r="AM269" s="615"/>
      <c r="AN269" s="615"/>
      <c r="AO269" s="615"/>
      <c r="AP269" s="615"/>
      <c r="AQ269" s="615"/>
      <c r="AR269" s="615"/>
      <c r="AS269" s="615"/>
    </row>
    <row r="270" spans="12:45">
      <c r="L270" s="615"/>
      <c r="M270" s="615"/>
      <c r="AB270" s="615"/>
      <c r="AC270" s="615"/>
      <c r="AD270" s="615"/>
      <c r="AE270" s="615"/>
      <c r="AF270" s="615"/>
      <c r="AG270" s="615"/>
      <c r="AH270" s="615"/>
      <c r="AI270" s="615"/>
      <c r="AJ270" s="615"/>
      <c r="AK270" s="615"/>
      <c r="AL270" s="615"/>
      <c r="AM270" s="615"/>
      <c r="AN270" s="615"/>
      <c r="AO270" s="615"/>
      <c r="AP270" s="615"/>
      <c r="AQ270" s="615"/>
      <c r="AR270" s="615"/>
      <c r="AS270" s="615"/>
    </row>
    <row r="271" spans="12:45">
      <c r="L271" s="615"/>
      <c r="M271" s="615"/>
      <c r="AB271" s="615"/>
      <c r="AC271" s="615"/>
      <c r="AD271" s="615"/>
      <c r="AE271" s="615"/>
      <c r="AF271" s="615"/>
      <c r="AG271" s="615"/>
      <c r="AH271" s="615"/>
      <c r="AI271" s="615"/>
      <c r="AJ271" s="615"/>
      <c r="AK271" s="615"/>
      <c r="AL271" s="615"/>
      <c r="AM271" s="615"/>
      <c r="AN271" s="615"/>
      <c r="AO271" s="615"/>
      <c r="AP271" s="615"/>
      <c r="AQ271" s="615"/>
      <c r="AR271" s="615"/>
      <c r="AS271" s="615"/>
    </row>
    <row r="272" spans="12:45">
      <c r="L272" s="615"/>
      <c r="M272" s="615"/>
      <c r="AB272" s="615"/>
      <c r="AC272" s="615"/>
      <c r="AD272" s="615"/>
      <c r="AE272" s="615"/>
      <c r="AF272" s="615"/>
      <c r="AG272" s="615"/>
      <c r="AH272" s="615"/>
      <c r="AI272" s="615"/>
      <c r="AJ272" s="615"/>
      <c r="AK272" s="615"/>
      <c r="AL272" s="615"/>
      <c r="AM272" s="615"/>
      <c r="AN272" s="615"/>
      <c r="AO272" s="615"/>
      <c r="AP272" s="615"/>
      <c r="AQ272" s="615"/>
      <c r="AR272" s="615"/>
      <c r="AS272" s="615"/>
    </row>
    <row r="273" spans="12:45">
      <c r="L273" s="615"/>
      <c r="M273" s="615"/>
      <c r="AB273" s="615"/>
      <c r="AC273" s="615"/>
      <c r="AD273" s="615"/>
      <c r="AE273" s="615"/>
      <c r="AF273" s="615"/>
      <c r="AG273" s="615"/>
      <c r="AH273" s="615"/>
      <c r="AI273" s="615"/>
      <c r="AJ273" s="615"/>
      <c r="AK273" s="615"/>
      <c r="AL273" s="615"/>
      <c r="AM273" s="615"/>
      <c r="AN273" s="615"/>
      <c r="AO273" s="615"/>
      <c r="AP273" s="615"/>
      <c r="AQ273" s="615"/>
      <c r="AR273" s="615"/>
      <c r="AS273" s="615"/>
    </row>
    <row r="274" spans="12:45">
      <c r="L274" s="615"/>
      <c r="M274" s="615"/>
      <c r="AB274" s="615"/>
      <c r="AC274" s="615"/>
      <c r="AD274" s="615"/>
      <c r="AE274" s="615"/>
      <c r="AF274" s="615"/>
      <c r="AG274" s="615"/>
      <c r="AH274" s="615"/>
      <c r="AI274" s="615"/>
      <c r="AJ274" s="615"/>
      <c r="AK274" s="615"/>
      <c r="AL274" s="615"/>
      <c r="AM274" s="615"/>
      <c r="AN274" s="615"/>
      <c r="AO274" s="615"/>
      <c r="AP274" s="615"/>
      <c r="AQ274" s="615"/>
      <c r="AR274" s="615"/>
      <c r="AS274" s="615"/>
    </row>
    <row r="275" spans="12:45">
      <c r="L275" s="615"/>
      <c r="M275" s="615"/>
      <c r="AB275" s="615"/>
      <c r="AC275" s="615"/>
      <c r="AD275" s="615"/>
      <c r="AE275" s="615"/>
      <c r="AF275" s="615"/>
      <c r="AG275" s="615"/>
      <c r="AH275" s="615"/>
      <c r="AI275" s="615"/>
      <c r="AJ275" s="615"/>
      <c r="AK275" s="615"/>
      <c r="AL275" s="615"/>
      <c r="AM275" s="615"/>
      <c r="AN275" s="615"/>
      <c r="AO275" s="615"/>
      <c r="AP275" s="615"/>
      <c r="AQ275" s="615"/>
      <c r="AR275" s="615"/>
      <c r="AS275" s="615"/>
    </row>
    <row r="276" spans="12:45">
      <c r="L276" s="615"/>
      <c r="M276" s="615"/>
      <c r="AB276" s="615"/>
      <c r="AC276" s="615"/>
      <c r="AD276" s="615"/>
      <c r="AE276" s="615"/>
      <c r="AF276" s="615"/>
      <c r="AG276" s="615"/>
      <c r="AH276" s="615"/>
      <c r="AI276" s="615"/>
      <c r="AJ276" s="615"/>
      <c r="AK276" s="615"/>
      <c r="AL276" s="615"/>
      <c r="AM276" s="615"/>
      <c r="AN276" s="615"/>
      <c r="AO276" s="615"/>
      <c r="AP276" s="615"/>
      <c r="AQ276" s="615"/>
      <c r="AR276" s="615"/>
      <c r="AS276" s="615"/>
    </row>
    <row r="277" spans="12:45">
      <c r="L277" s="615"/>
      <c r="M277" s="615"/>
      <c r="AB277" s="615"/>
      <c r="AC277" s="615"/>
      <c r="AD277" s="615"/>
      <c r="AE277" s="615"/>
      <c r="AF277" s="615"/>
      <c r="AG277" s="615"/>
      <c r="AH277" s="615"/>
      <c r="AI277" s="615"/>
      <c r="AJ277" s="615"/>
      <c r="AK277" s="615"/>
      <c r="AL277" s="615"/>
      <c r="AM277" s="615"/>
      <c r="AN277" s="615"/>
      <c r="AO277" s="615"/>
      <c r="AP277" s="615"/>
      <c r="AQ277" s="615"/>
      <c r="AR277" s="615"/>
      <c r="AS277" s="615"/>
    </row>
    <row r="278" spans="12:45">
      <c r="L278" s="615"/>
      <c r="M278" s="615"/>
      <c r="AB278" s="615"/>
      <c r="AC278" s="615"/>
      <c r="AD278" s="615"/>
      <c r="AE278" s="615"/>
      <c r="AF278" s="615"/>
      <c r="AG278" s="615"/>
      <c r="AH278" s="615"/>
      <c r="AI278" s="615"/>
      <c r="AJ278" s="615"/>
      <c r="AK278" s="615"/>
      <c r="AL278" s="615"/>
      <c r="AM278" s="615"/>
      <c r="AN278" s="615"/>
      <c r="AO278" s="615"/>
      <c r="AP278" s="615"/>
      <c r="AQ278" s="615"/>
      <c r="AR278" s="615"/>
      <c r="AS278" s="615"/>
    </row>
    <row r="279" spans="12:45">
      <c r="L279" s="615"/>
      <c r="M279" s="615"/>
      <c r="AB279" s="615"/>
      <c r="AC279" s="615"/>
      <c r="AD279" s="615"/>
      <c r="AE279" s="615"/>
      <c r="AF279" s="615"/>
      <c r="AG279" s="615"/>
      <c r="AH279" s="615"/>
      <c r="AI279" s="615"/>
      <c r="AJ279" s="615"/>
      <c r="AK279" s="615"/>
      <c r="AL279" s="615"/>
      <c r="AM279" s="615"/>
      <c r="AN279" s="615"/>
      <c r="AO279" s="615"/>
      <c r="AP279" s="615"/>
      <c r="AQ279" s="615"/>
      <c r="AR279" s="615"/>
      <c r="AS279" s="615"/>
    </row>
    <row r="280" spans="12:45">
      <c r="L280" s="615"/>
      <c r="M280" s="615"/>
      <c r="AB280" s="615"/>
      <c r="AC280" s="615"/>
      <c r="AD280" s="615"/>
      <c r="AE280" s="615"/>
      <c r="AF280" s="615"/>
      <c r="AG280" s="615"/>
      <c r="AH280" s="615"/>
      <c r="AI280" s="615"/>
      <c r="AJ280" s="615"/>
      <c r="AK280" s="615"/>
      <c r="AL280" s="615"/>
      <c r="AM280" s="615"/>
      <c r="AN280" s="615"/>
      <c r="AO280" s="615"/>
      <c r="AP280" s="615"/>
      <c r="AQ280" s="615"/>
      <c r="AR280" s="615"/>
      <c r="AS280" s="615"/>
    </row>
    <row r="281" spans="12:45">
      <c r="L281" s="615"/>
      <c r="M281" s="615"/>
      <c r="AB281" s="615"/>
      <c r="AC281" s="615"/>
      <c r="AD281" s="615"/>
      <c r="AE281" s="615"/>
      <c r="AF281" s="615"/>
      <c r="AG281" s="615"/>
      <c r="AH281" s="615"/>
      <c r="AI281" s="615"/>
      <c r="AJ281" s="615"/>
      <c r="AK281" s="615"/>
      <c r="AL281" s="615"/>
      <c r="AM281" s="615"/>
      <c r="AN281" s="615"/>
      <c r="AO281" s="615"/>
      <c r="AP281" s="615"/>
      <c r="AQ281" s="615"/>
      <c r="AR281" s="615"/>
      <c r="AS281" s="615"/>
    </row>
    <row r="282" spans="12:45">
      <c r="L282" s="615"/>
      <c r="M282" s="615"/>
      <c r="AB282" s="615"/>
      <c r="AC282" s="615"/>
      <c r="AD282" s="615"/>
      <c r="AE282" s="615"/>
      <c r="AF282" s="615"/>
      <c r="AG282" s="615"/>
      <c r="AH282" s="615"/>
      <c r="AI282" s="615"/>
      <c r="AJ282" s="615"/>
      <c r="AK282" s="615"/>
      <c r="AL282" s="615"/>
      <c r="AM282" s="615"/>
      <c r="AN282" s="615"/>
      <c r="AO282" s="615"/>
      <c r="AP282" s="615"/>
      <c r="AQ282" s="615"/>
      <c r="AR282" s="615"/>
      <c r="AS282" s="615"/>
    </row>
    <row r="283" spans="12:45">
      <c r="L283" s="615"/>
      <c r="M283" s="615"/>
      <c r="AB283" s="615"/>
      <c r="AC283" s="615"/>
      <c r="AD283" s="615"/>
      <c r="AE283" s="615"/>
      <c r="AF283" s="615"/>
      <c r="AG283" s="615"/>
      <c r="AH283" s="615"/>
      <c r="AI283" s="615"/>
      <c r="AJ283" s="615"/>
      <c r="AK283" s="615"/>
      <c r="AL283" s="615"/>
      <c r="AM283" s="615"/>
      <c r="AN283" s="615"/>
      <c r="AO283" s="615"/>
      <c r="AP283" s="615"/>
      <c r="AQ283" s="615"/>
      <c r="AR283" s="615"/>
      <c r="AS283" s="615"/>
    </row>
    <row r="284" spans="12:45">
      <c r="L284" s="615"/>
      <c r="M284" s="615"/>
      <c r="AB284" s="615"/>
      <c r="AC284" s="615"/>
      <c r="AD284" s="615"/>
      <c r="AE284" s="615"/>
      <c r="AF284" s="615"/>
      <c r="AG284" s="615"/>
      <c r="AH284" s="615"/>
      <c r="AI284" s="615"/>
      <c r="AJ284" s="615"/>
      <c r="AK284" s="615"/>
      <c r="AL284" s="615"/>
      <c r="AM284" s="615"/>
      <c r="AN284" s="615"/>
      <c r="AO284" s="615"/>
      <c r="AP284" s="615"/>
      <c r="AQ284" s="615"/>
      <c r="AR284" s="615"/>
      <c r="AS284" s="615"/>
    </row>
    <row r="285" spans="12:45">
      <c r="L285" s="615"/>
      <c r="M285" s="615"/>
      <c r="AB285" s="615"/>
      <c r="AC285" s="615"/>
      <c r="AD285" s="615"/>
      <c r="AE285" s="615"/>
      <c r="AF285" s="615"/>
      <c r="AG285" s="615"/>
      <c r="AH285" s="615"/>
      <c r="AI285" s="615"/>
      <c r="AJ285" s="615"/>
      <c r="AK285" s="615"/>
      <c r="AL285" s="615"/>
      <c r="AM285" s="615"/>
      <c r="AN285" s="615"/>
      <c r="AO285" s="615"/>
      <c r="AP285" s="615"/>
      <c r="AQ285" s="615"/>
      <c r="AR285" s="615"/>
      <c r="AS285" s="615"/>
    </row>
    <row r="286" spans="12:45">
      <c r="L286" s="615"/>
      <c r="M286" s="615"/>
      <c r="AB286" s="615"/>
      <c r="AC286" s="615"/>
      <c r="AD286" s="615"/>
      <c r="AE286" s="615"/>
      <c r="AF286" s="615"/>
      <c r="AG286" s="615"/>
      <c r="AH286" s="615"/>
      <c r="AI286" s="615"/>
      <c r="AJ286" s="615"/>
      <c r="AK286" s="615"/>
      <c r="AL286" s="615"/>
      <c r="AM286" s="615"/>
      <c r="AN286" s="615"/>
      <c r="AO286" s="615"/>
      <c r="AP286" s="615"/>
      <c r="AQ286" s="615"/>
      <c r="AR286" s="615"/>
      <c r="AS286" s="615"/>
    </row>
    <row r="287" spans="12:45">
      <c r="L287" s="615"/>
      <c r="M287" s="615"/>
      <c r="AB287" s="615"/>
      <c r="AC287" s="615"/>
      <c r="AD287" s="615"/>
      <c r="AE287" s="615"/>
      <c r="AF287" s="615"/>
      <c r="AG287" s="615"/>
      <c r="AH287" s="615"/>
      <c r="AI287" s="615"/>
      <c r="AJ287" s="615"/>
      <c r="AK287" s="615"/>
      <c r="AL287" s="615"/>
      <c r="AM287" s="615"/>
      <c r="AN287" s="615"/>
      <c r="AO287" s="615"/>
      <c r="AP287" s="615"/>
      <c r="AQ287" s="615"/>
      <c r="AR287" s="615"/>
      <c r="AS287" s="615"/>
    </row>
    <row r="288" spans="12:45">
      <c r="L288" s="615"/>
      <c r="M288" s="615"/>
      <c r="AB288" s="615"/>
      <c r="AC288" s="615"/>
      <c r="AD288" s="615"/>
      <c r="AE288" s="615"/>
      <c r="AF288" s="615"/>
      <c r="AG288" s="615"/>
      <c r="AH288" s="615"/>
      <c r="AI288" s="615"/>
      <c r="AJ288" s="615"/>
      <c r="AK288" s="615"/>
      <c r="AL288" s="615"/>
      <c r="AM288" s="615"/>
      <c r="AN288" s="615"/>
      <c r="AO288" s="615"/>
      <c r="AP288" s="615"/>
      <c r="AQ288" s="615"/>
      <c r="AR288" s="615"/>
      <c r="AS288" s="615"/>
    </row>
    <row r="289" spans="12:45">
      <c r="L289" s="615"/>
      <c r="M289" s="615"/>
      <c r="AB289" s="615"/>
      <c r="AC289" s="615"/>
      <c r="AD289" s="615"/>
      <c r="AE289" s="615"/>
      <c r="AF289" s="615"/>
      <c r="AG289" s="615"/>
      <c r="AH289" s="615"/>
      <c r="AI289" s="615"/>
      <c r="AJ289" s="615"/>
      <c r="AK289" s="615"/>
      <c r="AL289" s="615"/>
      <c r="AM289" s="615"/>
      <c r="AN289" s="615"/>
      <c r="AO289" s="615"/>
      <c r="AP289" s="615"/>
      <c r="AQ289" s="615"/>
      <c r="AR289" s="615"/>
      <c r="AS289" s="615"/>
    </row>
    <row r="290" spans="12:45">
      <c r="L290" s="615"/>
      <c r="M290" s="615"/>
      <c r="AB290" s="615"/>
      <c r="AC290" s="615"/>
      <c r="AD290" s="615"/>
      <c r="AE290" s="615"/>
      <c r="AF290" s="615"/>
      <c r="AG290" s="615"/>
      <c r="AH290" s="615"/>
      <c r="AI290" s="615"/>
      <c r="AJ290" s="615"/>
      <c r="AK290" s="615"/>
      <c r="AL290" s="615"/>
      <c r="AM290" s="615"/>
      <c r="AN290" s="615"/>
      <c r="AO290" s="615"/>
      <c r="AP290" s="615"/>
      <c r="AQ290" s="615"/>
      <c r="AR290" s="615"/>
      <c r="AS290" s="615"/>
    </row>
    <row r="291" spans="12:45">
      <c r="L291" s="615"/>
      <c r="M291" s="615"/>
      <c r="AB291" s="615"/>
      <c r="AC291" s="615"/>
      <c r="AD291" s="615"/>
      <c r="AE291" s="615"/>
      <c r="AF291" s="615"/>
      <c r="AG291" s="615"/>
      <c r="AH291" s="615"/>
      <c r="AI291" s="615"/>
      <c r="AJ291" s="615"/>
      <c r="AK291" s="615"/>
      <c r="AL291" s="615"/>
      <c r="AM291" s="615"/>
      <c r="AN291" s="615"/>
      <c r="AO291" s="615"/>
      <c r="AP291" s="615"/>
      <c r="AQ291" s="615"/>
      <c r="AR291" s="615"/>
      <c r="AS291" s="615"/>
    </row>
    <row r="292" spans="12:45">
      <c r="L292" s="615"/>
      <c r="M292" s="615"/>
      <c r="AB292" s="615"/>
      <c r="AC292" s="615"/>
      <c r="AD292" s="615"/>
      <c r="AE292" s="615"/>
      <c r="AF292" s="615"/>
      <c r="AG292" s="615"/>
      <c r="AH292" s="615"/>
      <c r="AI292" s="615"/>
      <c r="AJ292" s="615"/>
      <c r="AK292" s="615"/>
      <c r="AL292" s="615"/>
      <c r="AM292" s="615"/>
      <c r="AN292" s="615"/>
      <c r="AO292" s="615"/>
      <c r="AP292" s="615"/>
      <c r="AQ292" s="615"/>
      <c r="AR292" s="615"/>
      <c r="AS292" s="615"/>
    </row>
    <row r="293" spans="12:45">
      <c r="L293" s="615"/>
      <c r="M293" s="615"/>
      <c r="AB293" s="615"/>
      <c r="AC293" s="615"/>
      <c r="AD293" s="615"/>
      <c r="AE293" s="615"/>
      <c r="AF293" s="615"/>
      <c r="AG293" s="615"/>
      <c r="AH293" s="615"/>
      <c r="AI293" s="615"/>
      <c r="AJ293" s="615"/>
      <c r="AK293" s="615"/>
      <c r="AL293" s="615"/>
      <c r="AM293" s="615"/>
      <c r="AN293" s="615"/>
      <c r="AO293" s="615"/>
      <c r="AP293" s="615"/>
      <c r="AQ293" s="615"/>
      <c r="AR293" s="615"/>
      <c r="AS293" s="615"/>
    </row>
    <row r="294" spans="12:45">
      <c r="L294" s="615"/>
      <c r="M294" s="615"/>
      <c r="AB294" s="615"/>
      <c r="AC294" s="615"/>
      <c r="AD294" s="615"/>
      <c r="AE294" s="615"/>
      <c r="AF294" s="615"/>
      <c r="AG294" s="615"/>
      <c r="AH294" s="615"/>
      <c r="AI294" s="615"/>
      <c r="AJ294" s="615"/>
      <c r="AK294" s="615"/>
      <c r="AL294" s="615"/>
      <c r="AM294" s="615"/>
      <c r="AN294" s="615"/>
      <c r="AO294" s="615"/>
      <c r="AP294" s="615"/>
      <c r="AQ294" s="615"/>
      <c r="AR294" s="615"/>
      <c r="AS294" s="615"/>
    </row>
    <row r="295" spans="12:45">
      <c r="L295" s="615"/>
      <c r="M295" s="615"/>
      <c r="AB295" s="615"/>
      <c r="AC295" s="615"/>
      <c r="AD295" s="615"/>
      <c r="AE295" s="615"/>
      <c r="AF295" s="615"/>
      <c r="AG295" s="615"/>
      <c r="AH295" s="615"/>
      <c r="AI295" s="615"/>
      <c r="AJ295" s="615"/>
      <c r="AK295" s="615"/>
      <c r="AL295" s="615"/>
      <c r="AM295" s="615"/>
      <c r="AN295" s="615"/>
      <c r="AO295" s="615"/>
      <c r="AP295" s="615"/>
      <c r="AQ295" s="615"/>
      <c r="AR295" s="615"/>
      <c r="AS295" s="615"/>
    </row>
    <row r="296" spans="12:45">
      <c r="L296" s="615"/>
      <c r="M296" s="615"/>
      <c r="AB296" s="615"/>
      <c r="AC296" s="615"/>
      <c r="AD296" s="615"/>
      <c r="AE296" s="615"/>
      <c r="AF296" s="615"/>
      <c r="AG296" s="615"/>
      <c r="AH296" s="615"/>
      <c r="AI296" s="615"/>
      <c r="AJ296" s="615"/>
      <c r="AK296" s="615"/>
      <c r="AL296" s="615"/>
      <c r="AM296" s="615"/>
      <c r="AN296" s="615"/>
      <c r="AO296" s="615"/>
      <c r="AP296" s="615"/>
      <c r="AQ296" s="615"/>
      <c r="AR296" s="615"/>
      <c r="AS296" s="615"/>
    </row>
    <row r="297" spans="12:45">
      <c r="L297" s="615"/>
      <c r="M297" s="615"/>
      <c r="AB297" s="615"/>
      <c r="AC297" s="615"/>
      <c r="AD297" s="615"/>
      <c r="AE297" s="615"/>
      <c r="AF297" s="615"/>
      <c r="AG297" s="615"/>
      <c r="AH297" s="615"/>
      <c r="AI297" s="615"/>
      <c r="AJ297" s="615"/>
      <c r="AK297" s="615"/>
      <c r="AL297" s="615"/>
      <c r="AM297" s="615"/>
      <c r="AN297" s="615"/>
      <c r="AO297" s="615"/>
      <c r="AP297" s="615"/>
      <c r="AQ297" s="615"/>
      <c r="AR297" s="615"/>
      <c r="AS297" s="615"/>
    </row>
    <row r="298" spans="12:45">
      <c r="L298" s="615"/>
      <c r="M298" s="615"/>
      <c r="AB298" s="615"/>
      <c r="AC298" s="615"/>
      <c r="AD298" s="615"/>
      <c r="AE298" s="615"/>
      <c r="AF298" s="615"/>
      <c r="AG298" s="615"/>
      <c r="AH298" s="615"/>
      <c r="AI298" s="615"/>
      <c r="AJ298" s="615"/>
      <c r="AK298" s="615"/>
      <c r="AL298" s="615"/>
      <c r="AM298" s="615"/>
      <c r="AN298" s="615"/>
      <c r="AO298" s="615"/>
      <c r="AP298" s="615"/>
      <c r="AQ298" s="615"/>
      <c r="AR298" s="615"/>
      <c r="AS298" s="615"/>
    </row>
    <row r="299" spans="12:45">
      <c r="L299" s="615"/>
      <c r="M299" s="615"/>
      <c r="AB299" s="615"/>
      <c r="AC299" s="615"/>
      <c r="AD299" s="615"/>
      <c r="AE299" s="615"/>
      <c r="AF299" s="615"/>
      <c r="AG299" s="615"/>
      <c r="AH299" s="615"/>
      <c r="AI299" s="615"/>
      <c r="AJ299" s="615"/>
      <c r="AK299" s="615"/>
      <c r="AL299" s="615"/>
      <c r="AM299" s="615"/>
      <c r="AN299" s="615"/>
      <c r="AO299" s="615"/>
      <c r="AP299" s="615"/>
      <c r="AQ299" s="615"/>
      <c r="AR299" s="615"/>
      <c r="AS299" s="615"/>
    </row>
    <row r="300" spans="12:45">
      <c r="L300" s="615"/>
      <c r="M300" s="615"/>
      <c r="AB300" s="615"/>
      <c r="AC300" s="615"/>
      <c r="AD300" s="615"/>
      <c r="AE300" s="615"/>
      <c r="AF300" s="615"/>
      <c r="AG300" s="615"/>
      <c r="AH300" s="615"/>
      <c r="AI300" s="615"/>
      <c r="AJ300" s="615"/>
      <c r="AK300" s="615"/>
      <c r="AL300" s="615"/>
      <c r="AM300" s="615"/>
      <c r="AN300" s="615"/>
      <c r="AO300" s="615"/>
      <c r="AP300" s="615"/>
      <c r="AQ300" s="615"/>
      <c r="AR300" s="615"/>
      <c r="AS300" s="615"/>
    </row>
    <row r="301" spans="12:45">
      <c r="L301" s="615"/>
      <c r="M301" s="615"/>
      <c r="AB301" s="615"/>
      <c r="AC301" s="615"/>
      <c r="AD301" s="615"/>
      <c r="AE301" s="615"/>
      <c r="AF301" s="615"/>
      <c r="AG301" s="615"/>
      <c r="AH301" s="615"/>
      <c r="AI301" s="615"/>
      <c r="AJ301" s="615"/>
      <c r="AK301" s="615"/>
      <c r="AL301" s="615"/>
      <c r="AM301" s="615"/>
      <c r="AN301" s="615"/>
      <c r="AO301" s="615"/>
      <c r="AP301" s="615"/>
      <c r="AQ301" s="615"/>
      <c r="AR301" s="615"/>
      <c r="AS301" s="615"/>
    </row>
    <row r="302" spans="12:45">
      <c r="L302" s="615"/>
      <c r="M302" s="615"/>
      <c r="AB302" s="615"/>
      <c r="AC302" s="615"/>
      <c r="AD302" s="615"/>
      <c r="AE302" s="615"/>
      <c r="AF302" s="615"/>
      <c r="AG302" s="615"/>
      <c r="AH302" s="615"/>
      <c r="AI302" s="615"/>
      <c r="AJ302" s="615"/>
      <c r="AK302" s="615"/>
      <c r="AL302" s="615"/>
      <c r="AM302" s="615"/>
      <c r="AN302" s="615"/>
      <c r="AO302" s="615"/>
      <c r="AP302" s="615"/>
      <c r="AQ302" s="615"/>
      <c r="AR302" s="615"/>
      <c r="AS302" s="615"/>
    </row>
    <row r="303" spans="12:45">
      <c r="L303" s="615"/>
      <c r="M303" s="615"/>
      <c r="AB303" s="615"/>
      <c r="AC303" s="615"/>
      <c r="AD303" s="615"/>
      <c r="AE303" s="615"/>
      <c r="AF303" s="615"/>
      <c r="AG303" s="615"/>
      <c r="AH303" s="615"/>
      <c r="AI303" s="615"/>
      <c r="AJ303" s="615"/>
      <c r="AK303" s="615"/>
      <c r="AL303" s="615"/>
      <c r="AM303" s="615"/>
      <c r="AN303" s="615"/>
      <c r="AO303" s="615"/>
      <c r="AP303" s="615"/>
      <c r="AQ303" s="615"/>
      <c r="AR303" s="615"/>
      <c r="AS303" s="615"/>
    </row>
    <row r="304" spans="12:45">
      <c r="L304" s="615"/>
      <c r="M304" s="615"/>
      <c r="AB304" s="615"/>
      <c r="AC304" s="615"/>
      <c r="AD304" s="615"/>
      <c r="AE304" s="615"/>
      <c r="AF304" s="615"/>
      <c r="AG304" s="615"/>
      <c r="AH304" s="615"/>
      <c r="AI304" s="615"/>
      <c r="AJ304" s="615"/>
      <c r="AK304" s="615"/>
      <c r="AL304" s="615"/>
      <c r="AM304" s="615"/>
      <c r="AN304" s="615"/>
      <c r="AO304" s="615"/>
      <c r="AP304" s="615"/>
      <c r="AQ304" s="615"/>
      <c r="AR304" s="615"/>
      <c r="AS304" s="615"/>
    </row>
    <row r="305" spans="12:45">
      <c r="L305" s="615"/>
      <c r="M305" s="615"/>
      <c r="AB305" s="615"/>
      <c r="AC305" s="615"/>
      <c r="AD305" s="615"/>
      <c r="AE305" s="615"/>
      <c r="AF305" s="615"/>
      <c r="AG305" s="615"/>
      <c r="AH305" s="615"/>
      <c r="AI305" s="615"/>
      <c r="AJ305" s="615"/>
      <c r="AK305" s="615"/>
      <c r="AL305" s="615"/>
      <c r="AM305" s="615"/>
      <c r="AN305" s="615"/>
      <c r="AO305" s="615"/>
      <c r="AP305" s="615"/>
      <c r="AQ305" s="615"/>
      <c r="AR305" s="615"/>
      <c r="AS305" s="615"/>
    </row>
    <row r="306" spans="12:45">
      <c r="L306" s="615"/>
      <c r="M306" s="615"/>
      <c r="AB306" s="615"/>
      <c r="AC306" s="615"/>
      <c r="AD306" s="615"/>
      <c r="AE306" s="615"/>
      <c r="AF306" s="615"/>
      <c r="AG306" s="615"/>
      <c r="AH306" s="615"/>
      <c r="AI306" s="615"/>
      <c r="AJ306" s="615"/>
      <c r="AK306" s="615"/>
      <c r="AL306" s="615"/>
      <c r="AM306" s="615"/>
      <c r="AN306" s="615"/>
      <c r="AO306" s="615"/>
      <c r="AP306" s="615"/>
      <c r="AQ306" s="615"/>
      <c r="AR306" s="615"/>
      <c r="AS306" s="615"/>
    </row>
    <row r="307" spans="12:45">
      <c r="L307" s="615"/>
      <c r="M307" s="615"/>
      <c r="AB307" s="615"/>
      <c r="AC307" s="615"/>
      <c r="AD307" s="615"/>
      <c r="AE307" s="615"/>
      <c r="AF307" s="615"/>
      <c r="AG307" s="615"/>
      <c r="AH307" s="615"/>
      <c r="AI307" s="615"/>
      <c r="AJ307" s="615"/>
      <c r="AK307" s="615"/>
      <c r="AL307" s="615"/>
      <c r="AM307" s="615"/>
      <c r="AN307" s="615"/>
      <c r="AO307" s="615"/>
      <c r="AP307" s="615"/>
      <c r="AQ307" s="615"/>
      <c r="AR307" s="615"/>
      <c r="AS307" s="615"/>
    </row>
    <row r="308" spans="12:45">
      <c r="L308" s="615"/>
      <c r="M308" s="615"/>
      <c r="AB308" s="615"/>
      <c r="AC308" s="615"/>
      <c r="AD308" s="615"/>
      <c r="AE308" s="615"/>
      <c r="AF308" s="615"/>
      <c r="AG308" s="615"/>
      <c r="AH308" s="615"/>
      <c r="AI308" s="615"/>
      <c r="AJ308" s="615"/>
      <c r="AK308" s="615"/>
      <c r="AL308" s="615"/>
      <c r="AM308" s="615"/>
      <c r="AN308" s="615"/>
      <c r="AO308" s="615"/>
      <c r="AP308" s="615"/>
      <c r="AQ308" s="615"/>
      <c r="AR308" s="615"/>
      <c r="AS308" s="615"/>
    </row>
    <row r="309" spans="12:45">
      <c r="L309" s="615"/>
      <c r="M309" s="615"/>
      <c r="AB309" s="615"/>
      <c r="AC309" s="615"/>
      <c r="AD309" s="615"/>
      <c r="AE309" s="615"/>
      <c r="AF309" s="615"/>
      <c r="AG309" s="615"/>
      <c r="AH309" s="615"/>
      <c r="AI309" s="615"/>
      <c r="AJ309" s="615"/>
      <c r="AK309" s="615"/>
      <c r="AL309" s="615"/>
      <c r="AM309" s="615"/>
      <c r="AN309" s="615"/>
      <c r="AO309" s="615"/>
      <c r="AP309" s="615"/>
      <c r="AQ309" s="615"/>
      <c r="AR309" s="615"/>
      <c r="AS309" s="615"/>
    </row>
    <row r="310" spans="12:45">
      <c r="L310" s="615"/>
      <c r="M310" s="615"/>
      <c r="AB310" s="615"/>
      <c r="AC310" s="615"/>
      <c r="AD310" s="615"/>
      <c r="AE310" s="615"/>
      <c r="AF310" s="615"/>
      <c r="AG310" s="615"/>
      <c r="AH310" s="615"/>
      <c r="AI310" s="615"/>
      <c r="AJ310" s="615"/>
      <c r="AK310" s="615"/>
      <c r="AL310" s="615"/>
      <c r="AM310" s="615"/>
      <c r="AN310" s="615"/>
      <c r="AO310" s="615"/>
      <c r="AP310" s="615"/>
      <c r="AQ310" s="615"/>
      <c r="AR310" s="615"/>
      <c r="AS310" s="615"/>
    </row>
    <row r="311" spans="12:45">
      <c r="L311" s="615"/>
      <c r="M311" s="615"/>
      <c r="AB311" s="615"/>
      <c r="AC311" s="615"/>
      <c r="AD311" s="615"/>
      <c r="AE311" s="615"/>
      <c r="AF311" s="615"/>
      <c r="AG311" s="615"/>
      <c r="AH311" s="615"/>
      <c r="AI311" s="615"/>
      <c r="AJ311" s="615"/>
      <c r="AK311" s="615"/>
      <c r="AL311" s="615"/>
      <c r="AM311" s="615"/>
      <c r="AN311" s="615"/>
      <c r="AO311" s="615"/>
      <c r="AP311" s="615"/>
      <c r="AQ311" s="615"/>
      <c r="AR311" s="615"/>
      <c r="AS311" s="615"/>
    </row>
    <row r="312" spans="12:45">
      <c r="L312" s="615"/>
      <c r="M312" s="615"/>
      <c r="AB312" s="615"/>
      <c r="AC312" s="615"/>
      <c r="AD312" s="615"/>
      <c r="AE312" s="615"/>
      <c r="AF312" s="615"/>
      <c r="AG312" s="615"/>
      <c r="AH312" s="615"/>
      <c r="AI312" s="615"/>
      <c r="AJ312" s="615"/>
      <c r="AK312" s="615"/>
      <c r="AL312" s="615"/>
      <c r="AM312" s="615"/>
      <c r="AN312" s="615"/>
      <c r="AO312" s="615"/>
      <c r="AP312" s="615"/>
      <c r="AQ312" s="615"/>
      <c r="AR312" s="615"/>
      <c r="AS312" s="615"/>
    </row>
    <row r="313" spans="12:45">
      <c r="L313" s="615"/>
      <c r="M313" s="615"/>
      <c r="AD313" s="615"/>
      <c r="AE313" s="615"/>
      <c r="AF313" s="615"/>
      <c r="AG313" s="615"/>
      <c r="AH313" s="615"/>
      <c r="AI313" s="615"/>
      <c r="AJ313" s="615"/>
      <c r="AK313" s="615"/>
      <c r="AL313" s="615"/>
      <c r="AM313" s="615"/>
      <c r="AN313" s="615"/>
      <c r="AO313" s="615"/>
      <c r="AP313" s="615"/>
      <c r="AQ313" s="615"/>
      <c r="AR313" s="615"/>
      <c r="AS313" s="615"/>
    </row>
    <row r="314" spans="12:45">
      <c r="L314" s="615"/>
      <c r="M314" s="615"/>
      <c r="AD314" s="615"/>
      <c r="AE314" s="615"/>
      <c r="AF314" s="615"/>
      <c r="AG314" s="615"/>
      <c r="AH314" s="615"/>
      <c r="AI314" s="615"/>
      <c r="AJ314" s="615"/>
      <c r="AK314" s="615"/>
      <c r="AL314" s="615"/>
      <c r="AM314" s="615"/>
      <c r="AN314" s="615"/>
      <c r="AO314" s="615"/>
      <c r="AP314" s="615"/>
      <c r="AQ314" s="615"/>
      <c r="AR314" s="615"/>
      <c r="AS314" s="615"/>
    </row>
  </sheetData>
  <sheetProtection sheet="1" objects="1" scenarios="1"/>
  <mergeCells count="132">
    <mergeCell ref="O34:Q34"/>
    <mergeCell ref="S30:AA31"/>
    <mergeCell ref="A31:C31"/>
    <mergeCell ref="E31:H31"/>
    <mergeCell ref="L31:M31"/>
    <mergeCell ref="O32:Q32"/>
    <mergeCell ref="S32:AA33"/>
    <mergeCell ref="O33:Q33"/>
    <mergeCell ref="A29:M29"/>
    <mergeCell ref="O29:Q29"/>
    <mergeCell ref="A30:C30"/>
    <mergeCell ref="E30:H30"/>
    <mergeCell ref="L30:M30"/>
    <mergeCell ref="O30:Q30"/>
    <mergeCell ref="L22:M23"/>
    <mergeCell ref="O22:Q22"/>
    <mergeCell ref="O23:Q24"/>
    <mergeCell ref="A27:C27"/>
    <mergeCell ref="E27:H27"/>
    <mergeCell ref="L27:M27"/>
    <mergeCell ref="Q27:Q28"/>
    <mergeCell ref="S27:Y28"/>
    <mergeCell ref="A28:C28"/>
    <mergeCell ref="E28:H28"/>
    <mergeCell ref="L28:M28"/>
    <mergeCell ref="S23:AA25"/>
    <mergeCell ref="A24:A25"/>
    <mergeCell ref="B24:M25"/>
    <mergeCell ref="O25:Q25"/>
    <mergeCell ref="O26:Q26"/>
    <mergeCell ref="S26:AA26"/>
    <mergeCell ref="O17:Q17"/>
    <mergeCell ref="S17:AA19"/>
    <mergeCell ref="O18:Q18"/>
    <mergeCell ref="O19:Q19"/>
    <mergeCell ref="A20:A21"/>
    <mergeCell ref="B20:B21"/>
    <mergeCell ref="C20:C21"/>
    <mergeCell ref="J20:J21"/>
    <mergeCell ref="K20:K21"/>
    <mergeCell ref="L20:M21"/>
    <mergeCell ref="O20:Q20"/>
    <mergeCell ref="A18:A19"/>
    <mergeCell ref="B18:B19"/>
    <mergeCell ref="C18:C19"/>
    <mergeCell ref="J18:J19"/>
    <mergeCell ref="K18:K19"/>
    <mergeCell ref="L18:M19"/>
    <mergeCell ref="S20:AA22"/>
    <mergeCell ref="O21:Q21"/>
    <mergeCell ref="A22:A23"/>
    <mergeCell ref="B22:B23"/>
    <mergeCell ref="C22:C23"/>
    <mergeCell ref="J22:J23"/>
    <mergeCell ref="K22:K23"/>
    <mergeCell ref="O13:R13"/>
    <mergeCell ref="S13:U13"/>
    <mergeCell ref="W13:AA13"/>
    <mergeCell ref="A14:A15"/>
    <mergeCell ref="B14:B15"/>
    <mergeCell ref="C14:C15"/>
    <mergeCell ref="J14:J15"/>
    <mergeCell ref="K14:K15"/>
    <mergeCell ref="L14:M15"/>
    <mergeCell ref="O15:Q15"/>
    <mergeCell ref="A12:A13"/>
    <mergeCell ref="B12:B13"/>
    <mergeCell ref="C12:C13"/>
    <mergeCell ref="J12:J13"/>
    <mergeCell ref="K12:K13"/>
    <mergeCell ref="L12:M13"/>
    <mergeCell ref="S15:AA16"/>
    <mergeCell ref="A16:A17"/>
    <mergeCell ref="B16:B17"/>
    <mergeCell ref="C16:C17"/>
    <mergeCell ref="J16:J17"/>
    <mergeCell ref="K16:K17"/>
    <mergeCell ref="L16:M17"/>
    <mergeCell ref="O16:Q16"/>
    <mergeCell ref="O10:R10"/>
    <mergeCell ref="S10:U10"/>
    <mergeCell ref="W10:AA10"/>
    <mergeCell ref="O11:R11"/>
    <mergeCell ref="S11:U12"/>
    <mergeCell ref="W11:AA12"/>
    <mergeCell ref="O12:R12"/>
    <mergeCell ref="A10:A11"/>
    <mergeCell ref="B10:B11"/>
    <mergeCell ref="C10:C11"/>
    <mergeCell ref="J10:J11"/>
    <mergeCell ref="K10:K11"/>
    <mergeCell ref="L10:M11"/>
    <mergeCell ref="I8:I9"/>
    <mergeCell ref="J8:M8"/>
    <mergeCell ref="O8:R8"/>
    <mergeCell ref="S8:U8"/>
    <mergeCell ref="W8:AA8"/>
    <mergeCell ref="L9:M9"/>
    <mergeCell ref="O9:R9"/>
    <mergeCell ref="S9:U9"/>
    <mergeCell ref="W9:AA9"/>
    <mergeCell ref="A8:A9"/>
    <mergeCell ref="B8:B9"/>
    <mergeCell ref="C8:C9"/>
    <mergeCell ref="D8:E9"/>
    <mergeCell ref="F8:G9"/>
    <mergeCell ref="H8:H9"/>
    <mergeCell ref="A6:D6"/>
    <mergeCell ref="E6:F6"/>
    <mergeCell ref="G6:H6"/>
    <mergeCell ref="O2:T2"/>
    <mergeCell ref="A4:B4"/>
    <mergeCell ref="C4:E4"/>
    <mergeCell ref="I4:J4"/>
    <mergeCell ref="K4:L4"/>
    <mergeCell ref="B5:D5"/>
    <mergeCell ref="E5:G5"/>
    <mergeCell ref="H5:I5"/>
    <mergeCell ref="J5:L5"/>
    <mergeCell ref="C1:H1"/>
    <mergeCell ref="J1:K1"/>
    <mergeCell ref="L1:M1"/>
    <mergeCell ref="B2:G2"/>
    <mergeCell ref="H2:I2"/>
    <mergeCell ref="J2:M2"/>
    <mergeCell ref="I6:J6"/>
    <mergeCell ref="K6:L6"/>
    <mergeCell ref="A7:C7"/>
    <mergeCell ref="D7:E7"/>
    <mergeCell ref="F7:G7"/>
    <mergeCell ref="H7:J7"/>
    <mergeCell ref="K7:L7"/>
  </mergeCells>
  <dataValidations count="15">
    <dataValidation type="list" allowBlank="1" showInputMessage="1" prompt="If Mottle Color is entered, Redox Kind(s) needs to be completed." sqref="F10:F23" xr:uid="{1C7A9A6A-3923-4F23-A2B9-503EF4E98662}">
      <formula1>Hue</formula1>
    </dataValidation>
    <dataValidation errorStyle="information" allowBlank="1" showInputMessage="1" showErrorMessage="1" error="Check type before proceeding" prompt="Depth of standing water if encountered" sqref="M7" xr:uid="{A6BB7542-0C05-40C3-8BAC-F7B661D844DB}"/>
    <dataValidation type="decimal" errorStyle="information" showDropDown="1" showInputMessage="1" showErrorMessage="1" errorTitle="Slope" error="Check slope value" prompt="Land Slope" sqref="G4" xr:uid="{92293C7E-33F1-4E27-8BCF-C1F912DFC2F2}">
      <formula1>0</formula1>
      <formula2>25</formula2>
    </dataValidation>
    <dataValidation type="list" allowBlank="1" sqref="I4" xr:uid="{1150AA3D-856C-4379-8C63-44E81FAB175F}">
      <formula1>SlopeShape</formula1>
    </dataValidation>
    <dataValidation type="list" allowBlank="1" showInputMessage="1" prompt="Choose from the list or add your own description with texture" sqref="B22 B18 B10 B12 B14 B16 B20" xr:uid="{6CBBA592-C4A6-47AD-93C2-1D74546A4DC3}">
      <formula1>SoilTexture7080</formula1>
    </dataValidation>
    <dataValidation type="list" allowBlank="1" sqref="L22 L20 L12 L14 L16 L18 L10:M11" xr:uid="{3888445C-7882-43E4-A8AE-296099C916B2}">
      <formula1>StructureConsistence</formula1>
    </dataValidation>
    <dataValidation type="list" allowBlank="1" sqref="K22 K18 K10 K12 K14 K16 K20" xr:uid="{94BCD1D9-B175-44A2-B4B1-D2A62CD257A2}">
      <formula1>StructureGrade</formula1>
    </dataValidation>
    <dataValidation type="list" allowBlank="1" sqref="J22 J18 J10 J12 J14 J16 J20" xr:uid="{30BB8D47-08BD-442E-B588-83EFBDC00783}">
      <formula1>StructureShape</formula1>
    </dataValidation>
    <dataValidation type="list" allowBlank="1" sqref="G10:G23 E10:E23" xr:uid="{C9F99B87-0470-4062-976D-2BAECC191872}">
      <formula1>ValueChroma</formula1>
    </dataValidation>
    <dataValidation type="list" allowBlank="1" sqref="D10:D23" xr:uid="{167376F0-6C69-48D6-BB14-D2A12869F4EE}">
      <formula1>Hue</formula1>
    </dataValidation>
    <dataValidation type="list" allowBlank="1" showInputMessage="1" showErrorMessage="1" sqref="M4" xr:uid="{92A58003-9260-47CF-9FF0-6546EE7EC4CC}">
      <formula1>YN</formula1>
    </dataValidation>
    <dataValidation allowBlank="1" showInputMessage="1" showErrorMessage="1" prompt="From Prelim Page" sqref="B2:G2 J2:M2 H5:I5" xr:uid="{5912EA68-D7D4-48F0-A646-86678B4732CB}"/>
    <dataValidation allowBlank="1" showInputMessage="1" showErrorMessage="1" prompt="Observation #" sqref="D7:E7" xr:uid="{8FAC59B4-75E2-4275-A75F-676EF202E2D0}"/>
    <dataValidation allowBlank="1" showInputMessage="1" showErrorMessage="1" prompt="Location of observation" sqref="H7:J7" xr:uid="{2F16AFEA-3999-4012-931F-8FEB63BA65DB}"/>
    <dataValidation type="whole" errorStyle="information" allowBlank="1" showInputMessage="1" showErrorMessage="1" error="Enter Number not Range._x000a__x000a_If &gt;50% Rock Considered Bedrock - Zero Treatment Credit" promptTitle="Rock Fragment Percentage" prompt="Enter percentage number not a range._x000a_Reminder:_x000a_0-35% Rock = 100% Credit_x000a_35-50% Rock in Sand = 50% Credit_x000a_50+% Rock = 0% Credit" sqref="C10:C23" xr:uid="{1995CE63-B580-4D2C-AAAA-5DB333FC0E08}">
      <formula1>0</formula1>
      <formula2>50</formula2>
    </dataValidation>
  </dataValidations>
  <printOptions horizontalCentered="1" verticalCentered="1"/>
  <pageMargins left="0.25" right="0.25" top="0.25" bottom="0.25" header="0" footer="0"/>
  <pageSetup fitToHeight="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551105" r:id="rId4" name="Check Box 1">
              <controlPr defaultSize="0" autoFill="0" autoLine="0" autoPict="0">
                <anchor moveWithCells="1" sizeWithCells="1">
                  <from>
                    <xdr:col>4</xdr:col>
                    <xdr:colOff>123825</xdr:colOff>
                    <xdr:row>2</xdr:row>
                    <xdr:rowOff>28575</xdr:rowOff>
                  </from>
                  <to>
                    <xdr:col>6</xdr:col>
                    <xdr:colOff>114300</xdr:colOff>
                    <xdr:row>2</xdr:row>
                    <xdr:rowOff>238125</xdr:rowOff>
                  </to>
                </anchor>
              </controlPr>
            </control>
          </mc:Choice>
        </mc:AlternateContent>
        <mc:AlternateContent xmlns:mc="http://schemas.openxmlformats.org/markup-compatibility/2006">
          <mc:Choice Requires="x14">
            <control shapeId="5551106" r:id="rId5" name="Check Box 2">
              <controlPr defaultSize="0" autoFill="0" autoLine="0" autoPict="0">
                <anchor moveWithCells="1" sizeWithCells="1">
                  <from>
                    <xdr:col>5</xdr:col>
                    <xdr:colOff>266700</xdr:colOff>
                    <xdr:row>2</xdr:row>
                    <xdr:rowOff>28575</xdr:rowOff>
                  </from>
                  <to>
                    <xdr:col>7</xdr:col>
                    <xdr:colOff>257175</xdr:colOff>
                    <xdr:row>2</xdr:row>
                    <xdr:rowOff>238125</xdr:rowOff>
                  </to>
                </anchor>
              </controlPr>
            </control>
          </mc:Choice>
        </mc:AlternateContent>
        <mc:AlternateContent xmlns:mc="http://schemas.openxmlformats.org/markup-compatibility/2006">
          <mc:Choice Requires="x14">
            <control shapeId="5551107" r:id="rId6" name="Check Box 3">
              <controlPr defaultSize="0" autoFill="0" autoLine="0" autoPict="0">
                <anchor moveWithCells="1" sizeWithCells="1">
                  <from>
                    <xdr:col>6</xdr:col>
                    <xdr:colOff>447675</xdr:colOff>
                    <xdr:row>2</xdr:row>
                    <xdr:rowOff>28575</xdr:rowOff>
                  </from>
                  <to>
                    <xdr:col>7</xdr:col>
                    <xdr:colOff>952500</xdr:colOff>
                    <xdr:row>2</xdr:row>
                    <xdr:rowOff>238125</xdr:rowOff>
                  </to>
                </anchor>
              </controlPr>
            </control>
          </mc:Choice>
        </mc:AlternateContent>
        <mc:AlternateContent xmlns:mc="http://schemas.openxmlformats.org/markup-compatibility/2006">
          <mc:Choice Requires="x14">
            <control shapeId="5551108" r:id="rId7" name="Check Box 4">
              <controlPr defaultSize="0" autoFill="0" autoLine="0" autoPict="0">
                <anchor moveWithCells="1" sizeWithCells="1">
                  <from>
                    <xdr:col>7</xdr:col>
                    <xdr:colOff>428625</xdr:colOff>
                    <xdr:row>2</xdr:row>
                    <xdr:rowOff>28575</xdr:rowOff>
                  </from>
                  <to>
                    <xdr:col>8</xdr:col>
                    <xdr:colOff>485775</xdr:colOff>
                    <xdr:row>2</xdr:row>
                    <xdr:rowOff>238125</xdr:rowOff>
                  </to>
                </anchor>
              </controlPr>
            </control>
          </mc:Choice>
        </mc:AlternateContent>
        <mc:AlternateContent xmlns:mc="http://schemas.openxmlformats.org/markup-compatibility/2006">
          <mc:Choice Requires="x14">
            <control shapeId="5551109" r:id="rId8" name="Check Box 5">
              <controlPr defaultSize="0" autoFill="0" autoLine="0" autoPict="0">
                <anchor moveWithCells="1" sizeWithCells="1">
                  <from>
                    <xdr:col>7</xdr:col>
                    <xdr:colOff>819150</xdr:colOff>
                    <xdr:row>2</xdr:row>
                    <xdr:rowOff>28575</xdr:rowOff>
                  </from>
                  <to>
                    <xdr:col>9</xdr:col>
                    <xdr:colOff>114300</xdr:colOff>
                    <xdr:row>2</xdr:row>
                    <xdr:rowOff>238125</xdr:rowOff>
                  </to>
                </anchor>
              </controlPr>
            </control>
          </mc:Choice>
        </mc:AlternateContent>
        <mc:AlternateContent xmlns:mc="http://schemas.openxmlformats.org/markup-compatibility/2006">
          <mc:Choice Requires="x14">
            <control shapeId="5551110" r:id="rId9" name="Check Box 6">
              <controlPr defaultSize="0" autoFill="0" autoLine="0" autoPict="0">
                <anchor moveWithCells="1" sizeWithCells="1">
                  <from>
                    <xdr:col>8</xdr:col>
                    <xdr:colOff>485775</xdr:colOff>
                    <xdr:row>2</xdr:row>
                    <xdr:rowOff>28575</xdr:rowOff>
                  </from>
                  <to>
                    <xdr:col>9</xdr:col>
                    <xdr:colOff>733425</xdr:colOff>
                    <xdr:row>2</xdr:row>
                    <xdr:rowOff>238125</xdr:rowOff>
                  </to>
                </anchor>
              </controlPr>
            </control>
          </mc:Choice>
        </mc:AlternateContent>
        <mc:AlternateContent xmlns:mc="http://schemas.openxmlformats.org/markup-compatibility/2006">
          <mc:Choice Requires="x14">
            <control shapeId="5551111" r:id="rId10" name="Check Box 7">
              <controlPr defaultSize="0" autoFill="0" autoLine="0" autoPict="0">
                <anchor moveWithCells="1" sizeWithCells="1">
                  <from>
                    <xdr:col>9</xdr:col>
                    <xdr:colOff>352425</xdr:colOff>
                    <xdr:row>2</xdr:row>
                    <xdr:rowOff>28575</xdr:rowOff>
                  </from>
                  <to>
                    <xdr:col>10</xdr:col>
                    <xdr:colOff>600075</xdr:colOff>
                    <xdr:row>2</xdr:row>
                    <xdr:rowOff>238125</xdr:rowOff>
                  </to>
                </anchor>
              </controlPr>
            </control>
          </mc:Choice>
        </mc:AlternateContent>
        <mc:AlternateContent xmlns:mc="http://schemas.openxmlformats.org/markup-compatibility/2006">
          <mc:Choice Requires="x14">
            <control shapeId="5551112" r:id="rId11" name="Check Box 8">
              <controlPr defaultSize="0" autoFill="0" autoLine="0" autoPict="0">
                <anchor moveWithCells="1">
                  <from>
                    <xdr:col>10</xdr:col>
                    <xdr:colOff>523875</xdr:colOff>
                    <xdr:row>2</xdr:row>
                    <xdr:rowOff>28575</xdr:rowOff>
                  </from>
                  <to>
                    <xdr:col>11</xdr:col>
                    <xdr:colOff>400050</xdr:colOff>
                    <xdr:row>2</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prompt="If Redox Kind(s) are entered, Type of Indicator needs to be completed" xr:uid="{B9A1ACE1-7228-48A9-B628-E47E632D5F75}">
          <x14:formula1>
            <xm:f>'Drop-Down Lists'!$L$2:$L$5</xm:f>
          </x14:formula1>
          <xm:sqref>H10:H23</xm:sqref>
        </x14:dataValidation>
        <x14:dataValidation type="list" allowBlank="1" showInputMessage="1" prompt="Indicator definitions are found on soil chart." xr:uid="{C6EE5694-54CF-4562-8267-DBC75B9C65EA}">
          <x14:formula1>
            <xm:f>'Drop-Down Lists'!$M$2:$M$34</xm:f>
          </x14:formula1>
          <xm:sqref>I10:I23</xm:sqref>
        </x14:dataValidation>
        <x14:dataValidation type="list" allowBlank="1" showInputMessage="1" prompt="Choose from the list or add your own description" xr:uid="{C26B3530-1512-4766-BD10-834292180203}">
          <x14:formula1>
            <xm:f>'Drop-Down Lists'!$U$2:$U$9</xm:f>
          </x14:formula1>
          <xm:sqref>B5:D5</xm:sqref>
        </x14:dataValidation>
        <x14:dataValidation type="list" allowBlank="1" showInputMessage="1" prompt="Choose from the list or add your own description" xr:uid="{217C5441-E1C3-4895-9197-651349AB772E}">
          <x14:formula1>
            <xm:f>'Drop-Down Lists'!$T$2:$T$10</xm:f>
          </x14:formula1>
          <xm:sqref>C4:E4</xm:sqref>
        </x14:dataValidation>
        <x14:dataValidation type="list" allowBlank="1" showInputMessage="1" prompt="Observation Type" xr:uid="{6DC43FD8-2D0D-4B48-9EEB-A6FACC799105}">
          <x14:formula1>
            <xm:f>'Drop-Down Lists'!$V$2:$V$5</xm:f>
          </x14:formula1>
          <xm:sqref>F7:G7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2441B-9F85-4660-AF64-C03D5CBD1D53}">
  <sheetPr>
    <tabColor rgb="FFFF6600"/>
    <pageSetUpPr fitToPage="1"/>
  </sheetPr>
  <dimension ref="A1:AS314"/>
  <sheetViews>
    <sheetView view="pageBreakPreview" zoomScaleNormal="100" zoomScaleSheetLayoutView="100" workbookViewId="0">
      <selection activeCell="C4" sqref="C4:E4"/>
    </sheetView>
  </sheetViews>
  <sheetFormatPr defaultColWidth="9.140625" defaultRowHeight="15"/>
  <cols>
    <col min="1" max="1" width="10.42578125" style="613" customWidth="1"/>
    <col min="2" max="2" width="11.42578125" style="613" customWidth="1"/>
    <col min="3" max="3" width="7.85546875" style="613" customWidth="1"/>
    <col min="4" max="7" width="7.42578125" style="613" customWidth="1"/>
    <col min="8" max="8" width="14" style="613" customWidth="1"/>
    <col min="9" max="9" width="11.140625" style="613" customWidth="1"/>
    <col min="10" max="10" width="11.42578125" style="613" customWidth="1"/>
    <col min="11" max="11" width="14.7109375" style="613" customWidth="1"/>
    <col min="12" max="12" width="12.7109375" style="613" customWidth="1"/>
    <col min="13" max="13" width="9.140625" style="613"/>
    <col min="14" max="14" width="13.140625" style="614" customWidth="1"/>
    <col min="15" max="15" width="7.85546875" style="614" customWidth="1"/>
    <col min="16" max="27" width="9.140625" style="614"/>
    <col min="28" max="16384" width="9.140625" style="613"/>
  </cols>
  <sheetData>
    <row r="1" spans="1:45" ht="45.75" customHeight="1" thickBot="1">
      <c r="B1" s="1623"/>
      <c r="C1" s="2503" t="s">
        <v>682</v>
      </c>
      <c r="D1" s="2503"/>
      <c r="E1" s="2503"/>
      <c r="F1" s="2503"/>
      <c r="G1" s="2503"/>
      <c r="H1" s="2503"/>
      <c r="I1" s="1139" t="s">
        <v>551</v>
      </c>
      <c r="J1" s="2504" t="str">
        <f>IF(ISBLANK(Prelim!S5)," ",Prelim!S5)</f>
        <v xml:space="preserve"> </v>
      </c>
      <c r="K1" s="2504"/>
      <c r="L1" s="2504" t="str">
        <f>'Drop-Down Lists'!A2</f>
        <v>v 05.01.2026</v>
      </c>
      <c r="M1" s="2504"/>
      <c r="AB1" s="615"/>
      <c r="AC1" s="615"/>
      <c r="AD1" s="615"/>
      <c r="AE1" s="615"/>
      <c r="AF1" s="615"/>
      <c r="AG1" s="615"/>
      <c r="AH1" s="615"/>
      <c r="AI1" s="615"/>
      <c r="AJ1" s="615"/>
      <c r="AK1" s="615"/>
      <c r="AL1" s="615"/>
      <c r="AM1" s="615"/>
      <c r="AN1" s="615"/>
      <c r="AO1" s="615"/>
      <c r="AP1" s="615"/>
      <c r="AQ1" s="615"/>
      <c r="AR1" s="615"/>
      <c r="AS1" s="615"/>
    </row>
    <row r="2" spans="1:45" ht="18" customHeight="1">
      <c r="A2" s="1188" t="s">
        <v>683</v>
      </c>
      <c r="B2" s="2617" t="str">
        <f>IF(ISBLANK(Prelim!G3),"  ", Prelim!G3)</f>
        <v xml:space="preserve">  </v>
      </c>
      <c r="C2" s="2617"/>
      <c r="D2" s="2617"/>
      <c r="E2" s="2617"/>
      <c r="F2" s="2617"/>
      <c r="G2" s="2617"/>
      <c r="H2" s="2506" t="s">
        <v>684</v>
      </c>
      <c r="I2" s="2507"/>
      <c r="J2" s="2618" t="str">
        <f>IF(ISBLANK(Prelim!G5), " ", Prelim!G5)</f>
        <v xml:space="preserve"> </v>
      </c>
      <c r="K2" s="2618"/>
      <c r="L2" s="2618"/>
      <c r="M2" s="2619"/>
      <c r="O2" s="2556" t="s">
        <v>707</v>
      </c>
      <c r="P2" s="2557"/>
      <c r="Q2" s="2557"/>
      <c r="R2" s="2557"/>
      <c r="S2" s="2557"/>
      <c r="T2" s="2557"/>
      <c r="U2" s="1471"/>
      <c r="V2" s="1471"/>
      <c r="W2" s="1472"/>
      <c r="AB2" s="615"/>
      <c r="AC2" s="615"/>
      <c r="AD2" s="615"/>
      <c r="AE2" s="615"/>
      <c r="AF2" s="615"/>
      <c r="AG2" s="615"/>
      <c r="AH2" s="615"/>
      <c r="AI2" s="615"/>
      <c r="AJ2" s="615"/>
      <c r="AK2" s="615"/>
      <c r="AL2" s="615"/>
      <c r="AM2" s="615"/>
      <c r="AN2" s="615"/>
      <c r="AO2" s="615"/>
      <c r="AP2" s="615"/>
      <c r="AQ2" s="615"/>
      <c r="AR2" s="615"/>
      <c r="AS2" s="615"/>
    </row>
    <row r="3" spans="1:45" ht="20.100000000000001" customHeight="1">
      <c r="A3" s="1140" t="s">
        <v>685</v>
      </c>
      <c r="M3" s="1141"/>
      <c r="O3" s="627" t="s">
        <v>708</v>
      </c>
      <c r="P3" s="1226"/>
      <c r="Q3" s="1226"/>
      <c r="R3" s="1238"/>
      <c r="S3" s="1238"/>
      <c r="T3" s="1238"/>
      <c r="W3" s="1473"/>
      <c r="AB3" s="615"/>
      <c r="AC3" s="615"/>
      <c r="AD3" s="615"/>
      <c r="AE3" s="615"/>
      <c r="AF3" s="615"/>
      <c r="AG3" s="615"/>
      <c r="AH3" s="615"/>
      <c r="AI3" s="615"/>
      <c r="AJ3" s="615"/>
      <c r="AK3" s="615"/>
      <c r="AL3" s="615"/>
      <c r="AM3" s="615"/>
      <c r="AN3" s="615"/>
      <c r="AO3" s="615"/>
      <c r="AP3" s="615"/>
      <c r="AQ3" s="615"/>
      <c r="AR3" s="615"/>
      <c r="AS3" s="615"/>
    </row>
    <row r="4" spans="1:45" ht="19.5" customHeight="1">
      <c r="A4" s="2517" t="s">
        <v>686</v>
      </c>
      <c r="B4" s="2518"/>
      <c r="C4" s="2519"/>
      <c r="D4" s="2519"/>
      <c r="E4" s="2520"/>
      <c r="F4" s="1142" t="s">
        <v>687</v>
      </c>
      <c r="G4" s="1143"/>
      <c r="H4" s="1624" t="s">
        <v>650</v>
      </c>
      <c r="I4" s="2510"/>
      <c r="J4" s="2511"/>
      <c r="K4" s="2612" t="s">
        <v>688</v>
      </c>
      <c r="L4" s="2612"/>
      <c r="M4" s="1219"/>
      <c r="O4" s="627" t="s">
        <v>709</v>
      </c>
      <c r="P4" s="1226"/>
      <c r="Q4" s="1226"/>
      <c r="R4" s="1238"/>
      <c r="S4" s="1238"/>
      <c r="T4" s="1238"/>
      <c r="W4" s="1473"/>
      <c r="AB4" s="615"/>
      <c r="AC4" s="615"/>
      <c r="AD4" s="615"/>
      <c r="AE4" s="615"/>
      <c r="AF4" s="615"/>
      <c r="AG4" s="615"/>
      <c r="AH4" s="615"/>
      <c r="AI4" s="615"/>
      <c r="AJ4" s="615"/>
      <c r="AK4" s="615"/>
      <c r="AL4" s="615"/>
      <c r="AM4" s="615"/>
      <c r="AN4" s="615"/>
      <c r="AO4" s="615"/>
      <c r="AP4" s="615"/>
      <c r="AQ4" s="615"/>
      <c r="AR4" s="615"/>
      <c r="AS4" s="615"/>
    </row>
    <row r="5" spans="1:45" ht="19.5" customHeight="1">
      <c r="A5" s="1218" t="s">
        <v>689</v>
      </c>
      <c r="B5" s="2510"/>
      <c r="C5" s="2510"/>
      <c r="D5" s="2511"/>
      <c r="E5" s="2512" t="s">
        <v>690</v>
      </c>
      <c r="F5" s="2513"/>
      <c r="G5" s="2513"/>
      <c r="H5" s="2615" t="str">
        <f>IF(ISBLANK(Prelim!G84)," ",Prelim!G84)</f>
        <v xml:space="preserve"> </v>
      </c>
      <c r="I5" s="2616"/>
      <c r="J5" s="2613" t="s">
        <v>691</v>
      </c>
      <c r="K5" s="2614"/>
      <c r="L5" s="2614"/>
      <c r="M5" s="2210"/>
      <c r="O5" s="627" t="s">
        <v>710</v>
      </c>
      <c r="P5" s="1226"/>
      <c r="Q5" s="1226"/>
      <c r="R5" s="1238"/>
      <c r="S5" s="1238"/>
      <c r="T5" s="1238"/>
      <c r="W5" s="1473"/>
      <c r="Y5" s="615"/>
      <c r="Z5" s="615"/>
      <c r="AA5" s="615"/>
      <c r="AB5" s="615"/>
      <c r="AC5" s="615"/>
      <c r="AD5" s="615"/>
      <c r="AE5" s="615"/>
      <c r="AF5" s="615"/>
      <c r="AG5" s="615"/>
      <c r="AH5" s="615"/>
      <c r="AI5" s="615"/>
      <c r="AJ5" s="615"/>
      <c r="AK5" s="615"/>
      <c r="AL5" s="615"/>
      <c r="AM5" s="615"/>
      <c r="AN5" s="615"/>
      <c r="AO5" s="615"/>
      <c r="AP5" s="615"/>
      <c r="AQ5" s="615"/>
      <c r="AR5" s="615"/>
      <c r="AS5" s="615"/>
    </row>
    <row r="6" spans="1:45" ht="19.5" customHeight="1">
      <c r="A6" s="2517" t="s">
        <v>692</v>
      </c>
      <c r="B6" s="2518"/>
      <c r="C6" s="2518"/>
      <c r="D6" s="2529"/>
      <c r="E6" s="2621"/>
      <c r="F6" s="2511"/>
      <c r="G6" s="2622"/>
      <c r="H6" s="2511"/>
      <c r="I6" s="2530"/>
      <c r="J6" s="2511"/>
      <c r="K6" s="2620" t="s">
        <v>693</v>
      </c>
      <c r="L6" s="2612"/>
      <c r="M6" s="2211"/>
      <c r="O6" s="1630" t="s">
        <v>711</v>
      </c>
      <c r="P6" s="1226"/>
      <c r="Q6" s="1226"/>
      <c r="R6" s="1238"/>
      <c r="S6" s="629"/>
      <c r="T6" s="629"/>
      <c r="U6" s="1474"/>
      <c r="V6" s="1474"/>
      <c r="W6" s="1475"/>
      <c r="AB6" s="615"/>
      <c r="AC6" s="615"/>
      <c r="AD6" s="615"/>
      <c r="AE6" s="615"/>
      <c r="AF6" s="615"/>
      <c r="AG6" s="615"/>
      <c r="AH6" s="615"/>
      <c r="AI6" s="615"/>
      <c r="AJ6" s="615"/>
      <c r="AK6" s="615"/>
      <c r="AL6" s="615"/>
      <c r="AM6" s="615"/>
      <c r="AN6" s="615"/>
      <c r="AO6" s="615"/>
      <c r="AP6" s="615"/>
      <c r="AQ6" s="615"/>
      <c r="AR6" s="615"/>
      <c r="AS6" s="615"/>
    </row>
    <row r="7" spans="1:45" ht="19.5" customHeight="1" thickBot="1">
      <c r="A7" s="2610" t="s">
        <v>725</v>
      </c>
      <c r="B7" s="2611"/>
      <c r="C7" s="2611"/>
      <c r="D7" s="2623"/>
      <c r="E7" s="2624"/>
      <c r="F7" s="2623"/>
      <c r="G7" s="2624"/>
      <c r="H7" s="2575"/>
      <c r="I7" s="2575"/>
      <c r="J7" s="2575"/>
      <c r="K7" s="2609" t="s">
        <v>726</v>
      </c>
      <c r="L7" s="2609"/>
      <c r="M7" s="2306"/>
      <c r="O7" s="1632" t="s">
        <v>712</v>
      </c>
      <c r="P7" s="1626"/>
      <c r="Q7" s="1626"/>
      <c r="R7" s="1631"/>
      <c r="S7" s="1633" t="s">
        <v>727</v>
      </c>
      <c r="T7" s="1628"/>
      <c r="U7" s="1628"/>
      <c r="V7" s="1232"/>
      <c r="W7" s="1232"/>
      <c r="X7" s="1232"/>
      <c r="Y7" s="624"/>
      <c r="Z7" s="624"/>
      <c r="AA7" s="1231"/>
      <c r="AB7" s="615"/>
      <c r="AC7" s="615"/>
      <c r="AD7" s="615"/>
      <c r="AE7" s="615"/>
      <c r="AF7" s="615"/>
      <c r="AG7" s="615"/>
      <c r="AH7" s="615"/>
      <c r="AI7" s="615"/>
      <c r="AJ7" s="615"/>
      <c r="AK7" s="615"/>
      <c r="AL7" s="615"/>
      <c r="AM7" s="615"/>
      <c r="AN7" s="615"/>
      <c r="AO7" s="615"/>
    </row>
    <row r="8" spans="1:45" ht="14.1" customHeight="1">
      <c r="A8" s="2545" t="s">
        <v>696</v>
      </c>
      <c r="B8" s="2531" t="s">
        <v>697</v>
      </c>
      <c r="C8" s="2547" t="s">
        <v>698</v>
      </c>
      <c r="D8" s="2549" t="s">
        <v>699</v>
      </c>
      <c r="E8" s="2550"/>
      <c r="F8" s="2549" t="s">
        <v>700</v>
      </c>
      <c r="G8" s="2553"/>
      <c r="H8" s="2625" t="s">
        <v>701</v>
      </c>
      <c r="I8" s="2625" t="s">
        <v>702</v>
      </c>
      <c r="J8" s="2626" t="s">
        <v>703</v>
      </c>
      <c r="K8" s="2533"/>
      <c r="L8" s="2533"/>
      <c r="M8" s="2534"/>
      <c r="O8" s="2564" t="s">
        <v>713</v>
      </c>
      <c r="P8" s="2565"/>
      <c r="Q8" s="2565"/>
      <c r="R8" s="2566"/>
      <c r="S8" s="2591" t="s">
        <v>96</v>
      </c>
      <c r="T8" s="2591"/>
      <c r="U8" s="2591"/>
      <c r="V8" s="1230"/>
      <c r="W8" s="2565" t="s">
        <v>728</v>
      </c>
      <c r="X8" s="2565"/>
      <c r="Y8" s="2565"/>
      <c r="Z8" s="2565"/>
      <c r="AA8" s="2566"/>
      <c r="AB8" s="615"/>
      <c r="AC8" s="615"/>
      <c r="AD8" s="615"/>
      <c r="AE8" s="615"/>
      <c r="AF8" s="615"/>
      <c r="AG8" s="615"/>
      <c r="AH8" s="615"/>
      <c r="AI8" s="615"/>
      <c r="AJ8" s="615"/>
      <c r="AK8" s="615"/>
      <c r="AL8" s="615"/>
      <c r="AM8" s="615"/>
      <c r="AN8" s="615"/>
      <c r="AO8" s="615"/>
      <c r="AP8" s="615"/>
      <c r="AQ8" s="615"/>
      <c r="AR8" s="615"/>
    </row>
    <row r="9" spans="1:45" ht="14.1" customHeight="1" thickBot="1">
      <c r="A9" s="2546"/>
      <c r="B9" s="2532"/>
      <c r="C9" s="2548"/>
      <c r="D9" s="2551"/>
      <c r="E9" s="2552"/>
      <c r="F9" s="2554"/>
      <c r="G9" s="2555"/>
      <c r="H9" s="2532"/>
      <c r="I9" s="2532"/>
      <c r="J9" s="1217" t="s">
        <v>704</v>
      </c>
      <c r="K9" s="1217" t="s">
        <v>705</v>
      </c>
      <c r="L9" s="2627" t="s">
        <v>706</v>
      </c>
      <c r="M9" s="2628"/>
      <c r="O9" s="2564" t="s">
        <v>714</v>
      </c>
      <c r="P9" s="2565"/>
      <c r="Q9" s="2565"/>
      <c r="R9" s="2566"/>
      <c r="S9" s="2591" t="s">
        <v>152</v>
      </c>
      <c r="T9" s="2591"/>
      <c r="U9" s="2591"/>
      <c r="V9" s="1230"/>
      <c r="W9" s="2565" t="s">
        <v>729</v>
      </c>
      <c r="X9" s="2565"/>
      <c r="Y9" s="2565"/>
      <c r="Z9" s="2565"/>
      <c r="AA9" s="2566"/>
      <c r="AB9" s="615"/>
      <c r="AC9" s="615"/>
      <c r="AD9" s="615"/>
      <c r="AE9" s="615"/>
      <c r="AF9" s="615"/>
      <c r="AG9" s="615"/>
      <c r="AH9" s="615"/>
      <c r="AI9" s="615"/>
      <c r="AJ9" s="615"/>
      <c r="AK9" s="615"/>
      <c r="AL9" s="615"/>
      <c r="AM9" s="615"/>
      <c r="AN9" s="615"/>
      <c r="AO9" s="615"/>
      <c r="AP9" s="615"/>
      <c r="AQ9" s="615"/>
      <c r="AR9" s="615"/>
    </row>
    <row r="10" spans="1:45" ht="18" customHeight="1" thickTop="1">
      <c r="A10" s="2536"/>
      <c r="B10" s="2538"/>
      <c r="C10" s="2538"/>
      <c r="D10" s="1403"/>
      <c r="E10" s="1404"/>
      <c r="F10" s="1403"/>
      <c r="G10" s="1404"/>
      <c r="H10" s="2267"/>
      <c r="I10" s="1400"/>
      <c r="J10" s="2541"/>
      <c r="K10" s="2541"/>
      <c r="L10" s="2541"/>
      <c r="M10" s="2543"/>
      <c r="N10" s="617"/>
      <c r="O10" s="2564" t="s">
        <v>715</v>
      </c>
      <c r="P10" s="2565"/>
      <c r="Q10" s="2565"/>
      <c r="R10" s="2566"/>
      <c r="S10" s="2591" t="s">
        <v>208</v>
      </c>
      <c r="T10" s="2591"/>
      <c r="U10" s="2591"/>
      <c r="V10" s="1230"/>
      <c r="W10" s="2565" t="s">
        <v>730</v>
      </c>
      <c r="X10" s="2565"/>
      <c r="Y10" s="2565"/>
      <c r="Z10" s="2565"/>
      <c r="AA10" s="2566"/>
      <c r="AB10" s="615"/>
      <c r="AC10" s="615"/>
      <c r="AD10" s="615"/>
      <c r="AE10" s="615"/>
      <c r="AF10" s="615"/>
      <c r="AG10" s="615"/>
      <c r="AH10" s="615"/>
      <c r="AI10" s="615"/>
      <c r="AJ10" s="615"/>
      <c r="AK10" s="615"/>
      <c r="AL10" s="615"/>
      <c r="AM10" s="615"/>
      <c r="AN10" s="615"/>
      <c r="AO10" s="615"/>
      <c r="AP10" s="615"/>
      <c r="AQ10" s="615"/>
      <c r="AR10" s="615"/>
    </row>
    <row r="11" spans="1:45" ht="18" customHeight="1">
      <c r="A11" s="2537"/>
      <c r="B11" s="2539"/>
      <c r="C11" s="2540"/>
      <c r="D11" s="1401"/>
      <c r="E11" s="1402"/>
      <c r="F11" s="1403"/>
      <c r="G11" s="1402"/>
      <c r="H11" s="1400"/>
      <c r="I11" s="1400"/>
      <c r="J11" s="2542"/>
      <c r="K11" s="2542"/>
      <c r="L11" s="2542"/>
      <c r="M11" s="2544"/>
      <c r="N11" s="617"/>
      <c r="O11" s="2564" t="s">
        <v>716</v>
      </c>
      <c r="P11" s="2565"/>
      <c r="Q11" s="2565"/>
      <c r="R11" s="2566"/>
      <c r="S11" s="2629" t="s">
        <v>249</v>
      </c>
      <c r="T11" s="2629"/>
      <c r="U11" s="2629"/>
      <c r="V11" s="1230"/>
      <c r="W11" s="2593" t="s">
        <v>731</v>
      </c>
      <c r="X11" s="2593"/>
      <c r="Y11" s="2593"/>
      <c r="Z11" s="2593"/>
      <c r="AA11" s="2594"/>
      <c r="AB11" s="615"/>
      <c r="AC11" s="615"/>
      <c r="AD11" s="615"/>
      <c r="AE11" s="615"/>
      <c r="AF11" s="615"/>
      <c r="AG11" s="615"/>
      <c r="AH11" s="615"/>
      <c r="AI11" s="615"/>
      <c r="AJ11" s="615"/>
      <c r="AK11" s="615"/>
      <c r="AL11" s="615"/>
      <c r="AM11" s="615"/>
      <c r="AN11" s="615"/>
      <c r="AO11" s="615"/>
      <c r="AP11" s="615"/>
      <c r="AQ11" s="615"/>
      <c r="AR11" s="615"/>
    </row>
    <row r="12" spans="1:45" ht="18" customHeight="1">
      <c r="A12" s="2537"/>
      <c r="B12" s="2539"/>
      <c r="C12" s="2538"/>
      <c r="D12" s="1401"/>
      <c r="E12" s="1402"/>
      <c r="F12" s="1403"/>
      <c r="G12" s="1402"/>
      <c r="H12" s="1400"/>
      <c r="I12" s="1400"/>
      <c r="J12" s="2542"/>
      <c r="K12" s="2542"/>
      <c r="L12" s="2542"/>
      <c r="M12" s="2544"/>
      <c r="N12" s="617"/>
      <c r="O12" s="2564" t="s">
        <v>717</v>
      </c>
      <c r="P12" s="2565"/>
      <c r="Q12" s="2565"/>
      <c r="R12" s="2566"/>
      <c r="S12" s="2629"/>
      <c r="T12" s="2629"/>
      <c r="U12" s="2629"/>
      <c r="V12" s="1230"/>
      <c r="W12" s="2593"/>
      <c r="X12" s="2593"/>
      <c r="Y12" s="2593"/>
      <c r="Z12" s="2593"/>
      <c r="AA12" s="2594"/>
      <c r="AB12" s="615"/>
      <c r="AC12" s="615"/>
      <c r="AD12" s="615"/>
      <c r="AE12" s="615"/>
      <c r="AF12" s="615"/>
      <c r="AG12" s="615"/>
      <c r="AH12" s="615"/>
      <c r="AI12" s="615"/>
      <c r="AJ12" s="615"/>
      <c r="AK12" s="615"/>
      <c r="AL12" s="615"/>
      <c r="AM12" s="615"/>
      <c r="AN12" s="615"/>
      <c r="AO12" s="615"/>
      <c r="AP12" s="615"/>
      <c r="AQ12" s="615"/>
      <c r="AR12" s="615"/>
    </row>
    <row r="13" spans="1:45" ht="18" customHeight="1">
      <c r="A13" s="2537"/>
      <c r="B13" s="2539"/>
      <c r="C13" s="2540"/>
      <c r="D13" s="1401"/>
      <c r="E13" s="1402"/>
      <c r="F13" s="1403"/>
      <c r="G13" s="1402"/>
      <c r="H13" s="1400"/>
      <c r="I13" s="1400"/>
      <c r="J13" s="2542"/>
      <c r="K13" s="2542"/>
      <c r="L13" s="2542"/>
      <c r="M13" s="2544"/>
      <c r="N13" s="617"/>
      <c r="O13" s="2567" t="s">
        <v>718</v>
      </c>
      <c r="P13" s="2568"/>
      <c r="Q13" s="2568"/>
      <c r="R13" s="2569"/>
      <c r="S13" s="2596" t="s">
        <v>277</v>
      </c>
      <c r="T13" s="2596"/>
      <c r="U13" s="2596"/>
      <c r="V13" s="1229"/>
      <c r="W13" s="2597" t="s">
        <v>732</v>
      </c>
      <c r="X13" s="2597"/>
      <c r="Y13" s="2597"/>
      <c r="Z13" s="2597"/>
      <c r="AA13" s="2598"/>
      <c r="AC13" s="615"/>
      <c r="AD13" s="615"/>
      <c r="AE13" s="615"/>
      <c r="AF13" s="615"/>
      <c r="AG13" s="615"/>
      <c r="AH13" s="615"/>
      <c r="AI13" s="615"/>
      <c r="AJ13" s="615"/>
      <c r="AK13" s="615"/>
      <c r="AL13" s="615"/>
      <c r="AM13" s="615"/>
      <c r="AN13" s="615"/>
      <c r="AO13" s="615"/>
      <c r="AP13" s="615"/>
      <c r="AQ13" s="615"/>
      <c r="AR13" s="615"/>
    </row>
    <row r="14" spans="1:45" ht="18" customHeight="1">
      <c r="A14" s="2537"/>
      <c r="B14" s="2539"/>
      <c r="C14" s="2538"/>
      <c r="D14" s="1401"/>
      <c r="E14" s="1402"/>
      <c r="F14" s="1403"/>
      <c r="G14" s="1402"/>
      <c r="H14" s="1400"/>
      <c r="I14" s="1400"/>
      <c r="J14" s="2542"/>
      <c r="K14" s="2542"/>
      <c r="L14" s="2542"/>
      <c r="M14" s="2544"/>
      <c r="N14" s="617"/>
      <c r="O14" s="1627" t="s">
        <v>733</v>
      </c>
      <c r="P14" s="1628"/>
      <c r="Q14" s="1628"/>
      <c r="R14" s="1232"/>
      <c r="S14" s="1241"/>
      <c r="T14" s="1241"/>
      <c r="U14" s="632"/>
      <c r="V14" s="632"/>
      <c r="W14" s="632"/>
      <c r="X14" s="632"/>
      <c r="Y14" s="632"/>
      <c r="Z14" s="632"/>
      <c r="AA14" s="623"/>
      <c r="AD14" s="615"/>
      <c r="AE14" s="615"/>
      <c r="AF14" s="615"/>
      <c r="AG14" s="615"/>
      <c r="AH14" s="615"/>
      <c r="AI14" s="615"/>
      <c r="AJ14" s="615"/>
      <c r="AK14" s="615"/>
      <c r="AL14" s="615"/>
      <c r="AM14" s="615"/>
      <c r="AN14" s="615"/>
      <c r="AO14" s="615"/>
      <c r="AP14" s="615"/>
      <c r="AQ14" s="615"/>
      <c r="AR14" s="615"/>
      <c r="AS14" s="615"/>
    </row>
    <row r="15" spans="1:45" ht="18" customHeight="1">
      <c r="A15" s="2537"/>
      <c r="B15" s="2539"/>
      <c r="C15" s="2540"/>
      <c r="D15" s="1401"/>
      <c r="E15" s="1402"/>
      <c r="F15" s="1403"/>
      <c r="G15" s="1402"/>
      <c r="H15" s="1400"/>
      <c r="I15" s="1400"/>
      <c r="J15" s="2542"/>
      <c r="K15" s="2542"/>
      <c r="L15" s="2542"/>
      <c r="M15" s="2544"/>
      <c r="N15" s="617"/>
      <c r="O15" s="2592" t="s">
        <v>150</v>
      </c>
      <c r="P15" s="2591"/>
      <c r="Q15" s="2591"/>
      <c r="R15" s="1230"/>
      <c r="S15" s="2605" t="s">
        <v>734</v>
      </c>
      <c r="T15" s="2605"/>
      <c r="U15" s="2605"/>
      <c r="V15" s="2605"/>
      <c r="W15" s="2605"/>
      <c r="X15" s="2605"/>
      <c r="Y15" s="2605"/>
      <c r="Z15" s="2605"/>
      <c r="AA15" s="2606"/>
      <c r="AF15" s="615"/>
      <c r="AG15" s="615"/>
      <c r="AH15" s="615"/>
      <c r="AI15" s="615"/>
      <c r="AJ15" s="615"/>
      <c r="AK15" s="615"/>
      <c r="AL15" s="615"/>
      <c r="AM15" s="615"/>
      <c r="AN15" s="615"/>
      <c r="AO15" s="615"/>
      <c r="AP15" s="615"/>
      <c r="AQ15" s="615"/>
      <c r="AR15" s="615"/>
      <c r="AS15" s="615"/>
    </row>
    <row r="16" spans="1:45" ht="18" customHeight="1">
      <c r="A16" s="2537"/>
      <c r="B16" s="2539"/>
      <c r="C16" s="2538"/>
      <c r="D16" s="1401"/>
      <c r="E16" s="1402"/>
      <c r="F16" s="1403"/>
      <c r="G16" s="1402"/>
      <c r="H16" s="1400"/>
      <c r="I16" s="1400"/>
      <c r="J16" s="2542"/>
      <c r="K16" s="2542"/>
      <c r="L16" s="2542"/>
      <c r="M16" s="2544"/>
      <c r="N16" s="617"/>
      <c r="O16" s="2592"/>
      <c r="P16" s="2591"/>
      <c r="Q16" s="2591"/>
      <c r="R16" s="1230"/>
      <c r="S16" s="2605"/>
      <c r="T16" s="2605"/>
      <c r="U16" s="2605"/>
      <c r="V16" s="2605"/>
      <c r="W16" s="2605"/>
      <c r="X16" s="2605"/>
      <c r="Y16" s="2605"/>
      <c r="Z16" s="2605"/>
      <c r="AA16" s="2606"/>
      <c r="AF16" s="615"/>
      <c r="AG16" s="615"/>
      <c r="AH16" s="615"/>
      <c r="AI16" s="615"/>
      <c r="AJ16" s="615"/>
      <c r="AK16" s="615"/>
      <c r="AL16" s="615"/>
      <c r="AM16" s="615"/>
      <c r="AN16" s="615"/>
      <c r="AO16" s="615"/>
      <c r="AP16" s="615"/>
      <c r="AQ16" s="615"/>
      <c r="AR16" s="615"/>
      <c r="AS16" s="615"/>
    </row>
    <row r="17" spans="1:45" ht="18" customHeight="1">
      <c r="A17" s="2537"/>
      <c r="B17" s="2539"/>
      <c r="C17" s="2540"/>
      <c r="D17" s="1401"/>
      <c r="E17" s="1402"/>
      <c r="F17" s="1403"/>
      <c r="G17" s="1402"/>
      <c r="H17" s="1400"/>
      <c r="I17" s="1400"/>
      <c r="J17" s="2542"/>
      <c r="K17" s="2542"/>
      <c r="L17" s="2542"/>
      <c r="M17" s="2544"/>
      <c r="N17" s="617"/>
      <c r="O17" s="2592" t="s">
        <v>206</v>
      </c>
      <c r="P17" s="2591"/>
      <c r="Q17" s="2591"/>
      <c r="R17" s="1230"/>
      <c r="S17" s="2605" t="s">
        <v>735</v>
      </c>
      <c r="T17" s="2605"/>
      <c r="U17" s="2605"/>
      <c r="V17" s="2605"/>
      <c r="W17" s="2605"/>
      <c r="X17" s="2605"/>
      <c r="Y17" s="2605"/>
      <c r="Z17" s="2605"/>
      <c r="AA17" s="2606"/>
      <c r="AF17" s="615"/>
      <c r="AG17" s="615"/>
      <c r="AH17" s="615"/>
      <c r="AI17" s="615"/>
      <c r="AJ17" s="615"/>
      <c r="AK17" s="615"/>
      <c r="AL17" s="615"/>
      <c r="AM17" s="615"/>
      <c r="AN17" s="615"/>
      <c r="AO17" s="615"/>
      <c r="AP17" s="615"/>
      <c r="AQ17" s="615"/>
      <c r="AR17" s="615"/>
      <c r="AS17" s="615"/>
    </row>
    <row r="18" spans="1:45" ht="18" customHeight="1">
      <c r="A18" s="2537"/>
      <c r="B18" s="2539"/>
      <c r="C18" s="2538"/>
      <c r="D18" s="1401"/>
      <c r="E18" s="1402"/>
      <c r="F18" s="1403"/>
      <c r="G18" s="1402"/>
      <c r="H18" s="1400"/>
      <c r="I18" s="1400"/>
      <c r="J18" s="2542"/>
      <c r="K18" s="2542"/>
      <c r="L18" s="2542"/>
      <c r="M18" s="2544"/>
      <c r="N18" s="617"/>
      <c r="O18" s="2592"/>
      <c r="P18" s="2591"/>
      <c r="Q18" s="2591"/>
      <c r="R18" s="1230"/>
      <c r="S18" s="2605"/>
      <c r="T18" s="2605"/>
      <c r="U18" s="2605"/>
      <c r="V18" s="2605"/>
      <c r="W18" s="2605"/>
      <c r="X18" s="2605"/>
      <c r="Y18" s="2605"/>
      <c r="Z18" s="2605"/>
      <c r="AA18" s="2606"/>
      <c r="AF18" s="615"/>
      <c r="AG18" s="615"/>
      <c r="AH18" s="615"/>
      <c r="AI18" s="615"/>
      <c r="AJ18" s="615"/>
      <c r="AK18" s="615"/>
      <c r="AL18" s="615"/>
      <c r="AM18" s="615"/>
      <c r="AN18" s="615"/>
      <c r="AO18" s="615"/>
      <c r="AP18" s="615"/>
      <c r="AQ18" s="615"/>
      <c r="AR18" s="615"/>
      <c r="AS18" s="615"/>
    </row>
    <row r="19" spans="1:45" ht="18" customHeight="1">
      <c r="A19" s="2537"/>
      <c r="B19" s="2539"/>
      <c r="C19" s="2540"/>
      <c r="D19" s="1401"/>
      <c r="E19" s="1402"/>
      <c r="F19" s="1403"/>
      <c r="G19" s="1402"/>
      <c r="H19" s="1400"/>
      <c r="I19" s="1400"/>
      <c r="J19" s="2542"/>
      <c r="K19" s="2542"/>
      <c r="L19" s="2542"/>
      <c r="M19" s="2544"/>
      <c r="N19" s="617"/>
      <c r="O19" s="2592"/>
      <c r="P19" s="2591"/>
      <c r="Q19" s="2591"/>
      <c r="R19" s="1230"/>
      <c r="S19" s="2605"/>
      <c r="T19" s="2605"/>
      <c r="U19" s="2605"/>
      <c r="V19" s="2605"/>
      <c r="W19" s="2605"/>
      <c r="X19" s="2605"/>
      <c r="Y19" s="2605"/>
      <c r="Z19" s="2605"/>
      <c r="AA19" s="2606"/>
      <c r="AF19" s="615"/>
      <c r="AG19" s="615"/>
      <c r="AH19" s="615"/>
      <c r="AI19" s="615"/>
      <c r="AJ19" s="615"/>
      <c r="AK19" s="615"/>
      <c r="AL19" s="615"/>
      <c r="AM19" s="615"/>
      <c r="AN19" s="615"/>
      <c r="AO19" s="615"/>
      <c r="AP19" s="615"/>
      <c r="AQ19" s="615"/>
      <c r="AR19" s="615"/>
      <c r="AS19" s="615"/>
    </row>
    <row r="20" spans="1:45" ht="18" customHeight="1">
      <c r="A20" s="2537"/>
      <c r="B20" s="2539"/>
      <c r="C20" s="2538"/>
      <c r="D20" s="1401"/>
      <c r="E20" s="1402"/>
      <c r="F20" s="1403"/>
      <c r="G20" s="1402"/>
      <c r="H20" s="1400"/>
      <c r="I20" s="1400"/>
      <c r="J20" s="2542"/>
      <c r="K20" s="2542"/>
      <c r="L20" s="2542"/>
      <c r="M20" s="2544"/>
      <c r="N20" s="617"/>
      <c r="O20" s="2592" t="s">
        <v>247</v>
      </c>
      <c r="P20" s="2591"/>
      <c r="Q20" s="2591"/>
      <c r="R20" s="1230"/>
      <c r="S20" s="2605" t="s">
        <v>736</v>
      </c>
      <c r="T20" s="2605"/>
      <c r="U20" s="2605"/>
      <c r="V20" s="2605"/>
      <c r="W20" s="2605"/>
      <c r="X20" s="2605"/>
      <c r="Y20" s="2605"/>
      <c r="Z20" s="2605"/>
      <c r="AA20" s="2606"/>
      <c r="AF20" s="615"/>
      <c r="AG20" s="615"/>
      <c r="AH20" s="615"/>
      <c r="AI20" s="615"/>
      <c r="AJ20" s="615"/>
      <c r="AK20" s="615"/>
      <c r="AL20" s="615"/>
      <c r="AM20" s="615"/>
      <c r="AN20" s="615"/>
      <c r="AO20" s="615"/>
      <c r="AP20" s="615"/>
      <c r="AQ20" s="615"/>
      <c r="AR20" s="615"/>
      <c r="AS20" s="615"/>
    </row>
    <row r="21" spans="1:45" ht="18" customHeight="1">
      <c r="A21" s="2537"/>
      <c r="B21" s="2539"/>
      <c r="C21" s="2540"/>
      <c r="D21" s="1401"/>
      <c r="E21" s="1402"/>
      <c r="F21" s="1403"/>
      <c r="G21" s="1402"/>
      <c r="H21" s="1400"/>
      <c r="I21" s="1400"/>
      <c r="J21" s="2542"/>
      <c r="K21" s="2542"/>
      <c r="L21" s="2542"/>
      <c r="M21" s="2544"/>
      <c r="N21" s="617"/>
      <c r="O21" s="2592"/>
      <c r="P21" s="2591"/>
      <c r="Q21" s="2591"/>
      <c r="R21" s="1230"/>
      <c r="S21" s="2605"/>
      <c r="T21" s="2605"/>
      <c r="U21" s="2605"/>
      <c r="V21" s="2605"/>
      <c r="W21" s="2605"/>
      <c r="X21" s="2605"/>
      <c r="Y21" s="2605"/>
      <c r="Z21" s="2605"/>
      <c r="AA21" s="2606"/>
      <c r="AF21" s="615"/>
      <c r="AG21" s="615"/>
      <c r="AH21" s="615"/>
      <c r="AI21" s="615"/>
      <c r="AJ21" s="615"/>
      <c r="AK21" s="615"/>
      <c r="AL21" s="615"/>
      <c r="AM21" s="615"/>
      <c r="AN21" s="615"/>
      <c r="AO21" s="615"/>
      <c r="AP21" s="615"/>
      <c r="AQ21" s="615"/>
      <c r="AR21" s="615"/>
      <c r="AS21" s="615"/>
    </row>
    <row r="22" spans="1:45" ht="18" customHeight="1">
      <c r="A22" s="2537"/>
      <c r="B22" s="2539"/>
      <c r="C22" s="2538"/>
      <c r="D22" s="1401"/>
      <c r="E22" s="1402"/>
      <c r="F22" s="1403"/>
      <c r="G22" s="1402"/>
      <c r="H22" s="1400"/>
      <c r="I22" s="1400"/>
      <c r="J22" s="2542"/>
      <c r="K22" s="2542"/>
      <c r="L22" s="2542"/>
      <c r="M22" s="2544"/>
      <c r="N22" s="617"/>
      <c r="O22" s="2592"/>
      <c r="P22" s="2591"/>
      <c r="Q22" s="2591"/>
      <c r="R22" s="1230"/>
      <c r="S22" s="2605"/>
      <c r="T22" s="2605"/>
      <c r="U22" s="2605"/>
      <c r="V22" s="2605"/>
      <c r="W22" s="2605"/>
      <c r="X22" s="2605"/>
      <c r="Y22" s="2605"/>
      <c r="Z22" s="2605"/>
      <c r="AA22" s="2606"/>
      <c r="AB22" s="621"/>
      <c r="AC22" s="621"/>
      <c r="AF22" s="615"/>
      <c r="AG22" s="615"/>
      <c r="AH22" s="615"/>
      <c r="AI22" s="615"/>
      <c r="AJ22" s="615"/>
      <c r="AK22" s="615"/>
      <c r="AL22" s="615"/>
      <c r="AM22" s="615"/>
      <c r="AN22" s="615"/>
      <c r="AO22" s="615"/>
      <c r="AP22" s="615"/>
      <c r="AQ22" s="615"/>
      <c r="AR22" s="615"/>
      <c r="AS22" s="615"/>
    </row>
    <row r="23" spans="1:45" ht="18" customHeight="1" thickBot="1">
      <c r="A23" s="2574"/>
      <c r="B23" s="2575"/>
      <c r="C23" s="2540"/>
      <c r="D23" s="1405"/>
      <c r="E23" s="1402"/>
      <c r="F23" s="1403"/>
      <c r="G23" s="1406"/>
      <c r="H23" s="1400"/>
      <c r="I23" s="1400"/>
      <c r="J23" s="2576"/>
      <c r="K23" s="2576"/>
      <c r="L23" s="2576"/>
      <c r="M23" s="2577"/>
      <c r="N23" s="617"/>
      <c r="O23" s="2592" t="s">
        <v>275</v>
      </c>
      <c r="P23" s="2591"/>
      <c r="Q23" s="2591"/>
      <c r="R23" s="1230"/>
      <c r="S23" s="2605" t="s">
        <v>737</v>
      </c>
      <c r="T23" s="2605"/>
      <c r="U23" s="2605"/>
      <c r="V23" s="2605"/>
      <c r="W23" s="2605"/>
      <c r="X23" s="2605"/>
      <c r="Y23" s="2605"/>
      <c r="Z23" s="2605"/>
      <c r="AA23" s="2606"/>
      <c r="AF23" s="615"/>
      <c r="AG23" s="615"/>
      <c r="AH23" s="615"/>
      <c r="AI23" s="615"/>
      <c r="AJ23" s="615"/>
      <c r="AK23" s="615"/>
      <c r="AL23" s="615"/>
      <c r="AM23" s="615"/>
      <c r="AN23" s="615"/>
      <c r="AO23" s="615"/>
      <c r="AP23" s="615"/>
      <c r="AQ23" s="615"/>
      <c r="AR23" s="615"/>
      <c r="AS23" s="615"/>
    </row>
    <row r="24" spans="1:45" s="621" customFormat="1" ht="6" customHeight="1">
      <c r="A24" s="2578" t="s">
        <v>719</v>
      </c>
      <c r="B24" s="2580"/>
      <c r="C24" s="2580"/>
      <c r="D24" s="2580"/>
      <c r="E24" s="2580"/>
      <c r="F24" s="2580"/>
      <c r="G24" s="2580"/>
      <c r="H24" s="2580"/>
      <c r="I24" s="2580"/>
      <c r="J24" s="2580"/>
      <c r="K24" s="2580"/>
      <c r="L24" s="2580"/>
      <c r="M24" s="2581"/>
      <c r="N24" s="618"/>
      <c r="O24" s="2592"/>
      <c r="P24" s="2591"/>
      <c r="Q24" s="2591"/>
      <c r="R24" s="1230"/>
      <c r="S24" s="2605"/>
      <c r="T24" s="2605"/>
      <c r="U24" s="2605"/>
      <c r="V24" s="2605"/>
      <c r="W24" s="2605"/>
      <c r="X24" s="2605"/>
      <c r="Y24" s="2605"/>
      <c r="Z24" s="2605"/>
      <c r="AA24" s="2606"/>
      <c r="AB24" s="608"/>
      <c r="AC24" s="608"/>
      <c r="AF24" s="620"/>
      <c r="AG24" s="620"/>
      <c r="AH24" s="620"/>
      <c r="AI24" s="620"/>
      <c r="AJ24" s="620"/>
      <c r="AK24" s="620"/>
      <c r="AL24" s="620"/>
      <c r="AM24" s="620"/>
      <c r="AN24" s="620"/>
      <c r="AO24" s="620"/>
      <c r="AP24" s="620"/>
      <c r="AQ24" s="620"/>
      <c r="AR24" s="620"/>
      <c r="AS24" s="620"/>
    </row>
    <row r="25" spans="1:45" ht="21.95" customHeight="1" thickBot="1">
      <c r="A25" s="2579"/>
      <c r="B25" s="2582"/>
      <c r="C25" s="2582"/>
      <c r="D25" s="2582"/>
      <c r="E25" s="2582"/>
      <c r="F25" s="2582"/>
      <c r="G25" s="2582"/>
      <c r="H25" s="2582"/>
      <c r="I25" s="2582"/>
      <c r="J25" s="2582"/>
      <c r="K25" s="2582"/>
      <c r="L25" s="2582"/>
      <c r="M25" s="2583"/>
      <c r="N25" s="617"/>
      <c r="O25" s="2592"/>
      <c r="P25" s="2591"/>
      <c r="Q25" s="2591"/>
      <c r="R25" s="1230"/>
      <c r="S25" s="2605"/>
      <c r="T25" s="2605"/>
      <c r="U25" s="2605"/>
      <c r="V25" s="2605"/>
      <c r="W25" s="2605"/>
      <c r="X25" s="2605"/>
      <c r="Y25" s="2605"/>
      <c r="Z25" s="2605"/>
      <c r="AA25" s="2606"/>
      <c r="AB25" s="608"/>
      <c r="AC25" s="608"/>
      <c r="AF25" s="615"/>
      <c r="AG25" s="615"/>
      <c r="AH25" s="615"/>
      <c r="AI25" s="615"/>
      <c r="AJ25" s="615"/>
      <c r="AK25" s="615"/>
      <c r="AL25" s="615"/>
      <c r="AM25" s="615"/>
      <c r="AN25" s="615"/>
      <c r="AO25" s="615"/>
      <c r="AP25" s="615"/>
      <c r="AQ25" s="615"/>
      <c r="AR25" s="615"/>
      <c r="AS25" s="615"/>
    </row>
    <row r="26" spans="1:45" s="608" customFormat="1" ht="14.1" customHeight="1">
      <c r="A26" s="1407" t="s">
        <v>720</v>
      </c>
      <c r="B26" s="1408"/>
      <c r="D26" s="1116"/>
      <c r="E26" s="1116"/>
      <c r="F26" s="1116"/>
      <c r="G26" s="1116"/>
      <c r="H26" s="1116"/>
      <c r="I26" s="1116"/>
      <c r="J26" s="1116"/>
      <c r="K26" s="1116"/>
      <c r="L26" s="1116"/>
      <c r="M26" s="1409"/>
      <c r="N26" s="1116"/>
      <c r="O26" s="2601" t="s">
        <v>738</v>
      </c>
      <c r="P26" s="2602"/>
      <c r="Q26" s="2602"/>
      <c r="R26" s="1229"/>
      <c r="S26" s="2603" t="s">
        <v>739</v>
      </c>
      <c r="T26" s="2603"/>
      <c r="U26" s="2603"/>
      <c r="V26" s="2603"/>
      <c r="W26" s="2603"/>
      <c r="X26" s="2603"/>
      <c r="Y26" s="2603"/>
      <c r="Z26" s="2603"/>
      <c r="AA26" s="2604"/>
    </row>
    <row r="27" spans="1:45" s="608" customFormat="1" ht="21.95" customHeight="1" thickBot="1">
      <c r="A27" s="2584"/>
      <c r="B27" s="2585"/>
      <c r="C27" s="2585"/>
      <c r="D27" s="610"/>
      <c r="E27" s="2586"/>
      <c r="F27" s="2586"/>
      <c r="G27" s="2586"/>
      <c r="H27" s="2586"/>
      <c r="J27" s="1564"/>
      <c r="L27" s="2634"/>
      <c r="M27" s="2588"/>
      <c r="N27" s="622"/>
      <c r="O27" s="1635" t="s">
        <v>740</v>
      </c>
      <c r="P27" s="1628"/>
      <c r="Q27" s="2607" t="s">
        <v>96</v>
      </c>
      <c r="R27" s="1232"/>
      <c r="S27" s="2589" t="s">
        <v>741</v>
      </c>
      <c r="T27" s="2589"/>
      <c r="U27" s="2589"/>
      <c r="V27" s="2589"/>
      <c r="W27" s="2589"/>
      <c r="X27" s="2589"/>
      <c r="Y27" s="2589"/>
      <c r="Z27" s="632"/>
      <c r="AA27" s="623"/>
    </row>
    <row r="28" spans="1:45" s="608" customFormat="1" ht="12" customHeight="1">
      <c r="A28" s="2570" t="s">
        <v>721</v>
      </c>
      <c r="B28" s="2571"/>
      <c r="C28" s="2571"/>
      <c r="D28" s="611"/>
      <c r="E28" s="2571" t="s">
        <v>722</v>
      </c>
      <c r="F28" s="2571"/>
      <c r="G28" s="2571"/>
      <c r="H28" s="2572"/>
      <c r="J28" s="1491" t="s">
        <v>723</v>
      </c>
      <c r="L28" s="2465" t="s">
        <v>724</v>
      </c>
      <c r="M28" s="2573"/>
      <c r="N28" s="622"/>
      <c r="O28" s="1634"/>
      <c r="P28" s="1629"/>
      <c r="Q28" s="2608"/>
      <c r="R28" s="1230"/>
      <c r="S28" s="2590"/>
      <c r="T28" s="2590"/>
      <c r="U28" s="2590"/>
      <c r="V28" s="2590"/>
      <c r="W28" s="2590"/>
      <c r="X28" s="2590"/>
      <c r="Y28" s="2590"/>
      <c r="Z28" s="1226"/>
      <c r="AA28" s="1240"/>
    </row>
    <row r="29" spans="1:45" s="608" customFormat="1" ht="27" customHeight="1">
      <c r="A29" s="2639" t="s">
        <v>2661</v>
      </c>
      <c r="B29" s="2640"/>
      <c r="C29" s="2640"/>
      <c r="D29" s="2640"/>
      <c r="E29" s="2640"/>
      <c r="F29" s="2640"/>
      <c r="G29" s="2640"/>
      <c r="H29" s="2640"/>
      <c r="I29" s="2640"/>
      <c r="J29" s="2640"/>
      <c r="K29" s="2640"/>
      <c r="L29" s="2640"/>
      <c r="M29" s="2641"/>
      <c r="N29" s="622"/>
      <c r="O29" s="2592" t="s">
        <v>151</v>
      </c>
      <c r="P29" s="2591"/>
      <c r="Q29" s="2591"/>
      <c r="R29" s="1230"/>
      <c r="S29" s="1239" t="s">
        <v>742</v>
      </c>
      <c r="T29" s="1239"/>
      <c r="U29" s="1239"/>
      <c r="V29" s="1239"/>
      <c r="W29" s="1239"/>
      <c r="X29" s="1239"/>
      <c r="Y29" s="1239"/>
      <c r="Z29" s="1238"/>
      <c r="AA29" s="626"/>
    </row>
    <row r="30" spans="1:45" s="608" customFormat="1" ht="21.95" customHeight="1" thickBot="1">
      <c r="A30" s="2635"/>
      <c r="B30" s="2636"/>
      <c r="C30" s="2636"/>
      <c r="D30" s="610"/>
      <c r="E30" s="2637"/>
      <c r="F30" s="2637"/>
      <c r="G30" s="2637"/>
      <c r="H30" s="2637"/>
      <c r="J30" s="1259"/>
      <c r="L30" s="2634"/>
      <c r="M30" s="2638"/>
      <c r="N30" s="622"/>
      <c r="O30" s="2592" t="s">
        <v>207</v>
      </c>
      <c r="P30" s="2591"/>
      <c r="Q30" s="2591"/>
      <c r="R30" s="1230"/>
      <c r="S30" s="2599" t="s">
        <v>743</v>
      </c>
      <c r="T30" s="2599"/>
      <c r="U30" s="2599"/>
      <c r="V30" s="2599"/>
      <c r="W30" s="2599"/>
      <c r="X30" s="2599"/>
      <c r="Y30" s="2599"/>
      <c r="Z30" s="2599"/>
      <c r="AA30" s="2600"/>
      <c r="AB30" s="613"/>
      <c r="AC30" s="613"/>
    </row>
    <row r="31" spans="1:45" s="608" customFormat="1" ht="14.1" customHeight="1" thickBot="1">
      <c r="A31" s="2630" t="s">
        <v>744</v>
      </c>
      <c r="B31" s="2631"/>
      <c r="C31" s="2631"/>
      <c r="D31" s="894"/>
      <c r="E31" s="2631" t="s">
        <v>722</v>
      </c>
      <c r="F31" s="2631"/>
      <c r="G31" s="2631"/>
      <c r="H31" s="2632"/>
      <c r="I31" s="612"/>
      <c r="J31" s="894" t="s">
        <v>745</v>
      </c>
      <c r="K31" s="612"/>
      <c r="L31" s="2631" t="s">
        <v>724</v>
      </c>
      <c r="M31" s="2633"/>
      <c r="O31" s="1237"/>
      <c r="P31" s="1236"/>
      <c r="Q31" s="1236"/>
      <c r="R31" s="1230"/>
      <c r="S31" s="2599"/>
      <c r="T31" s="2599"/>
      <c r="U31" s="2599"/>
      <c r="V31" s="2599"/>
      <c r="W31" s="2599"/>
      <c r="X31" s="2599"/>
      <c r="Y31" s="2599"/>
      <c r="Z31" s="2599"/>
      <c r="AA31" s="2600"/>
      <c r="AB31" s="613"/>
      <c r="AC31" s="613"/>
    </row>
    <row r="32" spans="1:45">
      <c r="L32" s="615"/>
      <c r="M32" s="615"/>
      <c r="O32" s="2592" t="s">
        <v>248</v>
      </c>
      <c r="P32" s="2591"/>
      <c r="Q32" s="2591"/>
      <c r="R32" s="1230"/>
      <c r="S32" s="2593" t="s">
        <v>746</v>
      </c>
      <c r="T32" s="2593"/>
      <c r="U32" s="2593"/>
      <c r="V32" s="2593"/>
      <c r="W32" s="2593"/>
      <c r="X32" s="2593"/>
      <c r="Y32" s="2593"/>
      <c r="Z32" s="2593"/>
      <c r="AA32" s="2594"/>
      <c r="AF32" s="615"/>
      <c r="AG32" s="615"/>
      <c r="AH32" s="615"/>
      <c r="AI32" s="615"/>
      <c r="AJ32" s="615"/>
      <c r="AK32" s="615"/>
      <c r="AL32" s="615"/>
      <c r="AM32" s="615"/>
      <c r="AN32" s="615"/>
      <c r="AO32" s="615"/>
      <c r="AP32" s="615"/>
      <c r="AQ32" s="615"/>
      <c r="AR32" s="615"/>
      <c r="AS32" s="615"/>
    </row>
    <row r="33" spans="12:45">
      <c r="L33" s="615"/>
      <c r="M33" s="615"/>
      <c r="O33" s="2592"/>
      <c r="P33" s="2591"/>
      <c r="Q33" s="2591"/>
      <c r="R33" s="1230"/>
      <c r="S33" s="2593"/>
      <c r="T33" s="2593"/>
      <c r="U33" s="2593"/>
      <c r="V33" s="2593"/>
      <c r="W33" s="2593"/>
      <c r="X33" s="2593"/>
      <c r="Y33" s="2593"/>
      <c r="Z33" s="2593"/>
      <c r="AA33" s="2594"/>
      <c r="AF33" s="615"/>
      <c r="AG33" s="615"/>
      <c r="AH33" s="615"/>
      <c r="AI33" s="615"/>
      <c r="AJ33" s="615"/>
      <c r="AK33" s="615"/>
      <c r="AL33" s="615"/>
      <c r="AM33" s="615"/>
      <c r="AN33" s="615"/>
      <c r="AO33" s="615"/>
      <c r="AP33" s="615"/>
      <c r="AQ33" s="615"/>
      <c r="AR33" s="615"/>
      <c r="AS33" s="615"/>
    </row>
    <row r="34" spans="12:45">
      <c r="L34" s="615"/>
      <c r="M34" s="615"/>
      <c r="O34" s="2595" t="s">
        <v>276</v>
      </c>
      <c r="P34" s="2596"/>
      <c r="Q34" s="2596"/>
      <c r="R34" s="1229"/>
      <c r="S34" s="631" t="s">
        <v>747</v>
      </c>
      <c r="T34" s="631"/>
      <c r="U34" s="631"/>
      <c r="V34" s="631"/>
      <c r="W34" s="631"/>
      <c r="X34" s="631"/>
      <c r="Y34" s="631"/>
      <c r="Z34" s="629"/>
      <c r="AA34" s="630"/>
      <c r="AF34" s="615"/>
      <c r="AG34" s="615"/>
      <c r="AH34" s="615"/>
      <c r="AI34" s="615"/>
      <c r="AJ34" s="615"/>
      <c r="AK34" s="615"/>
      <c r="AL34" s="615"/>
      <c r="AM34" s="615"/>
      <c r="AN34" s="615"/>
      <c r="AO34" s="615"/>
      <c r="AP34" s="615"/>
      <c r="AQ34" s="615"/>
      <c r="AR34" s="615"/>
      <c r="AS34" s="615"/>
    </row>
    <row r="35" spans="12:45">
      <c r="L35" s="615"/>
      <c r="M35" s="615"/>
      <c r="AF35" s="615"/>
      <c r="AG35" s="615"/>
      <c r="AH35" s="615"/>
      <c r="AI35" s="615"/>
      <c r="AJ35" s="615"/>
      <c r="AK35" s="615"/>
      <c r="AL35" s="615"/>
      <c r="AM35" s="615"/>
      <c r="AN35" s="615"/>
      <c r="AO35" s="615"/>
      <c r="AP35" s="615"/>
      <c r="AQ35" s="615"/>
      <c r="AR35" s="615"/>
      <c r="AS35" s="615"/>
    </row>
    <row r="36" spans="12:45">
      <c r="L36" s="615"/>
      <c r="M36" s="615"/>
      <c r="AF36" s="615"/>
      <c r="AG36" s="615"/>
      <c r="AH36" s="615"/>
      <c r="AI36" s="615"/>
      <c r="AJ36" s="615"/>
      <c r="AK36" s="615"/>
      <c r="AL36" s="615"/>
      <c r="AM36" s="615"/>
      <c r="AN36" s="615"/>
      <c r="AO36" s="615"/>
      <c r="AP36" s="615"/>
      <c r="AQ36" s="615"/>
      <c r="AR36" s="615"/>
      <c r="AS36" s="615"/>
    </row>
    <row r="37" spans="12:45">
      <c r="L37" s="615"/>
      <c r="AF37" s="615"/>
      <c r="AG37" s="615"/>
      <c r="AH37" s="615"/>
      <c r="AI37" s="615"/>
      <c r="AJ37" s="615"/>
      <c r="AK37" s="615"/>
      <c r="AL37" s="615"/>
      <c r="AM37" s="615"/>
      <c r="AN37" s="615"/>
      <c r="AO37" s="615"/>
      <c r="AP37" s="615"/>
      <c r="AQ37" s="615"/>
      <c r="AR37" s="615"/>
      <c r="AS37" s="615"/>
    </row>
    <row r="38" spans="12:45">
      <c r="L38" s="615"/>
      <c r="AF38" s="615"/>
      <c r="AG38" s="615"/>
      <c r="AH38" s="615"/>
      <c r="AI38" s="615"/>
      <c r="AJ38" s="615"/>
      <c r="AK38" s="615"/>
      <c r="AL38" s="615"/>
      <c r="AM38" s="615"/>
      <c r="AN38" s="615"/>
      <c r="AO38" s="615"/>
      <c r="AP38" s="615"/>
      <c r="AQ38" s="615"/>
      <c r="AR38" s="615"/>
      <c r="AS38" s="615"/>
    </row>
    <row r="39" spans="12:45">
      <c r="L39" s="615"/>
      <c r="M39" s="615"/>
      <c r="AF39" s="615"/>
      <c r="AG39" s="615"/>
      <c r="AH39" s="615"/>
      <c r="AI39" s="615"/>
      <c r="AJ39" s="615"/>
      <c r="AK39" s="615"/>
      <c r="AL39" s="615"/>
      <c r="AM39" s="615"/>
      <c r="AN39" s="615"/>
      <c r="AO39" s="615"/>
      <c r="AP39" s="615"/>
      <c r="AQ39" s="615"/>
      <c r="AR39" s="615"/>
      <c r="AS39" s="615"/>
    </row>
    <row r="40" spans="12:45">
      <c r="L40" s="615"/>
      <c r="M40" s="615"/>
      <c r="AB40" s="615"/>
      <c r="AC40" s="615"/>
      <c r="AF40" s="615"/>
      <c r="AG40" s="615"/>
      <c r="AH40" s="615"/>
      <c r="AI40" s="615"/>
      <c r="AJ40" s="615"/>
      <c r="AK40" s="615"/>
      <c r="AL40" s="615"/>
      <c r="AM40" s="615"/>
      <c r="AN40" s="615"/>
      <c r="AO40" s="615"/>
      <c r="AP40" s="615"/>
      <c r="AQ40" s="615"/>
      <c r="AR40" s="615"/>
      <c r="AS40" s="615"/>
    </row>
    <row r="41" spans="12:45">
      <c r="L41" s="615"/>
      <c r="M41" s="615"/>
      <c r="AB41" s="615"/>
      <c r="AC41" s="615"/>
      <c r="AF41" s="615"/>
      <c r="AG41" s="615"/>
      <c r="AH41" s="615"/>
      <c r="AI41" s="615"/>
      <c r="AJ41" s="615"/>
      <c r="AK41" s="615"/>
      <c r="AL41" s="615"/>
      <c r="AM41" s="615"/>
      <c r="AN41" s="615"/>
      <c r="AO41" s="615"/>
      <c r="AP41" s="615"/>
      <c r="AQ41" s="615"/>
      <c r="AR41" s="615"/>
      <c r="AS41" s="615"/>
    </row>
    <row r="42" spans="12:45">
      <c r="L42" s="615"/>
      <c r="M42" s="615"/>
      <c r="AB42" s="615"/>
      <c r="AC42" s="615"/>
      <c r="AD42" s="615"/>
      <c r="AE42" s="615"/>
      <c r="AF42" s="615"/>
      <c r="AG42" s="615"/>
      <c r="AH42" s="615"/>
      <c r="AI42" s="615"/>
      <c r="AJ42" s="615"/>
      <c r="AK42" s="615"/>
      <c r="AL42" s="615"/>
      <c r="AM42" s="615"/>
      <c r="AN42" s="615"/>
      <c r="AO42" s="615"/>
      <c r="AP42" s="615"/>
      <c r="AQ42" s="615"/>
      <c r="AR42" s="615"/>
      <c r="AS42" s="615"/>
    </row>
    <row r="43" spans="12:45">
      <c r="L43" s="615"/>
      <c r="M43" s="615"/>
      <c r="AB43" s="615"/>
      <c r="AC43" s="615"/>
      <c r="AD43" s="615"/>
      <c r="AE43" s="615"/>
      <c r="AF43" s="615"/>
      <c r="AG43" s="615"/>
      <c r="AH43" s="615"/>
      <c r="AI43" s="615"/>
      <c r="AJ43" s="615"/>
      <c r="AK43" s="615"/>
      <c r="AL43" s="615"/>
      <c r="AM43" s="615"/>
      <c r="AN43" s="615"/>
      <c r="AO43" s="615"/>
      <c r="AP43" s="615"/>
      <c r="AQ43" s="615"/>
      <c r="AR43" s="615"/>
      <c r="AS43" s="615"/>
    </row>
    <row r="44" spans="12:45">
      <c r="L44" s="615"/>
      <c r="M44" s="615"/>
      <c r="AB44" s="615"/>
      <c r="AC44" s="615"/>
      <c r="AD44" s="615"/>
      <c r="AE44" s="615"/>
      <c r="AF44" s="615"/>
      <c r="AG44" s="615"/>
      <c r="AH44" s="615"/>
      <c r="AI44" s="615"/>
      <c r="AJ44" s="615"/>
      <c r="AK44" s="615"/>
      <c r="AL44" s="615"/>
      <c r="AM44" s="615"/>
      <c r="AN44" s="615"/>
      <c r="AO44" s="615"/>
      <c r="AP44" s="615"/>
      <c r="AQ44" s="615"/>
      <c r="AR44" s="615"/>
      <c r="AS44" s="615"/>
    </row>
    <row r="45" spans="12:45">
      <c r="L45" s="615"/>
      <c r="M45" s="615"/>
      <c r="AB45" s="615"/>
      <c r="AC45" s="615"/>
      <c r="AD45" s="615"/>
      <c r="AE45" s="615"/>
      <c r="AF45" s="615"/>
      <c r="AG45" s="615"/>
      <c r="AH45" s="615"/>
      <c r="AI45" s="615"/>
      <c r="AJ45" s="615"/>
      <c r="AK45" s="615"/>
      <c r="AL45" s="615"/>
      <c r="AM45" s="615"/>
      <c r="AN45" s="615"/>
      <c r="AO45" s="615"/>
      <c r="AP45" s="615"/>
      <c r="AQ45" s="615"/>
      <c r="AR45" s="615"/>
      <c r="AS45" s="615"/>
    </row>
    <row r="46" spans="12:45">
      <c r="L46" s="615"/>
      <c r="M46" s="615"/>
      <c r="AB46" s="615"/>
      <c r="AC46" s="615"/>
      <c r="AD46" s="615"/>
      <c r="AE46" s="615"/>
      <c r="AF46" s="615"/>
      <c r="AG46" s="615"/>
      <c r="AH46" s="615"/>
      <c r="AI46" s="615"/>
      <c r="AJ46" s="615"/>
      <c r="AK46" s="615"/>
      <c r="AL46" s="615"/>
      <c r="AM46" s="615"/>
      <c r="AN46" s="615"/>
      <c r="AO46" s="615"/>
      <c r="AP46" s="615"/>
      <c r="AQ46" s="615"/>
      <c r="AR46" s="615"/>
      <c r="AS46" s="615"/>
    </row>
    <row r="47" spans="12:45">
      <c r="L47" s="615"/>
      <c r="M47" s="615"/>
      <c r="AB47" s="615"/>
      <c r="AC47" s="615"/>
      <c r="AD47" s="615"/>
      <c r="AE47" s="615"/>
      <c r="AF47" s="615"/>
      <c r="AG47" s="615"/>
      <c r="AH47" s="615"/>
      <c r="AI47" s="615"/>
      <c r="AJ47" s="615"/>
      <c r="AK47" s="615"/>
      <c r="AL47" s="615"/>
      <c r="AM47" s="615"/>
      <c r="AN47" s="615"/>
      <c r="AO47" s="615"/>
      <c r="AP47" s="615"/>
      <c r="AQ47" s="615"/>
      <c r="AR47" s="615"/>
      <c r="AS47" s="615"/>
    </row>
    <row r="48" spans="12:45">
      <c r="L48" s="615"/>
      <c r="M48" s="615"/>
      <c r="AB48" s="615"/>
      <c r="AC48" s="615"/>
      <c r="AD48" s="615"/>
      <c r="AE48" s="615"/>
      <c r="AF48" s="615"/>
      <c r="AG48" s="615"/>
      <c r="AH48" s="615"/>
      <c r="AI48" s="615"/>
      <c r="AJ48" s="615"/>
      <c r="AK48" s="615"/>
      <c r="AL48" s="615"/>
      <c r="AM48" s="615"/>
      <c r="AN48" s="615"/>
      <c r="AO48" s="615"/>
      <c r="AP48" s="615"/>
      <c r="AQ48" s="615"/>
      <c r="AR48" s="615"/>
      <c r="AS48" s="615"/>
    </row>
    <row r="49" spans="12:45">
      <c r="L49" s="615"/>
      <c r="M49" s="615"/>
      <c r="AB49" s="615"/>
      <c r="AC49" s="615"/>
      <c r="AD49" s="615"/>
      <c r="AE49" s="615"/>
      <c r="AF49" s="615"/>
      <c r="AG49" s="615"/>
      <c r="AH49" s="615"/>
      <c r="AI49" s="615"/>
      <c r="AJ49" s="615"/>
      <c r="AK49" s="615"/>
      <c r="AL49" s="615"/>
      <c r="AM49" s="615"/>
      <c r="AN49" s="615"/>
      <c r="AO49" s="615"/>
      <c r="AP49" s="615"/>
      <c r="AQ49" s="615"/>
      <c r="AR49" s="615"/>
      <c r="AS49" s="615"/>
    </row>
    <row r="50" spans="12:45">
      <c r="L50" s="615"/>
      <c r="M50" s="615"/>
      <c r="AB50" s="615"/>
      <c r="AC50" s="615"/>
      <c r="AD50" s="615"/>
      <c r="AE50" s="615"/>
      <c r="AF50" s="615"/>
      <c r="AG50" s="615"/>
      <c r="AH50" s="615"/>
      <c r="AI50" s="615"/>
      <c r="AJ50" s="615"/>
      <c r="AK50" s="615"/>
      <c r="AL50" s="615"/>
      <c r="AM50" s="615"/>
      <c r="AN50" s="615"/>
      <c r="AO50" s="615"/>
      <c r="AP50" s="615"/>
      <c r="AQ50" s="615"/>
      <c r="AR50" s="615"/>
      <c r="AS50" s="615"/>
    </row>
    <row r="51" spans="12:45">
      <c r="L51" s="615"/>
      <c r="M51" s="615"/>
      <c r="AB51" s="615"/>
      <c r="AC51" s="615"/>
      <c r="AD51" s="615"/>
      <c r="AE51" s="615"/>
      <c r="AF51" s="615"/>
      <c r="AG51" s="615"/>
      <c r="AH51" s="615"/>
      <c r="AI51" s="615"/>
      <c r="AJ51" s="615"/>
      <c r="AK51" s="615"/>
      <c r="AL51" s="615"/>
      <c r="AM51" s="615"/>
      <c r="AN51" s="615"/>
      <c r="AO51" s="615"/>
      <c r="AP51" s="615"/>
      <c r="AQ51" s="615"/>
      <c r="AR51" s="615"/>
      <c r="AS51" s="615"/>
    </row>
    <row r="52" spans="12:45">
      <c r="L52" s="615"/>
      <c r="M52" s="615"/>
      <c r="AB52" s="615"/>
      <c r="AC52" s="615"/>
      <c r="AD52" s="615"/>
      <c r="AE52" s="615"/>
      <c r="AF52" s="615"/>
      <c r="AG52" s="615"/>
      <c r="AH52" s="615"/>
      <c r="AI52" s="615"/>
      <c r="AJ52" s="615"/>
      <c r="AK52" s="615"/>
      <c r="AL52" s="615"/>
      <c r="AM52" s="615"/>
      <c r="AN52" s="615"/>
      <c r="AO52" s="615"/>
      <c r="AP52" s="615"/>
      <c r="AQ52" s="615"/>
      <c r="AR52" s="615"/>
      <c r="AS52" s="615"/>
    </row>
    <row r="53" spans="12:45">
      <c r="L53" s="615"/>
      <c r="M53" s="615"/>
      <c r="AB53" s="615"/>
      <c r="AC53" s="615"/>
      <c r="AD53" s="615"/>
      <c r="AE53" s="615"/>
      <c r="AF53" s="615"/>
      <c r="AG53" s="615"/>
      <c r="AH53" s="615"/>
      <c r="AI53" s="615"/>
      <c r="AJ53" s="615"/>
      <c r="AK53" s="615"/>
      <c r="AL53" s="615"/>
      <c r="AM53" s="615"/>
      <c r="AN53" s="615"/>
      <c r="AO53" s="615"/>
      <c r="AP53" s="615"/>
      <c r="AQ53" s="615"/>
      <c r="AR53" s="615"/>
      <c r="AS53" s="615"/>
    </row>
    <row r="54" spans="12:45">
      <c r="L54" s="615"/>
      <c r="M54" s="615"/>
      <c r="AB54" s="615"/>
      <c r="AC54" s="615"/>
      <c r="AD54" s="615"/>
      <c r="AE54" s="615"/>
      <c r="AF54" s="615"/>
      <c r="AG54" s="615"/>
      <c r="AH54" s="615"/>
      <c r="AI54" s="615"/>
      <c r="AJ54" s="615"/>
      <c r="AK54" s="615"/>
      <c r="AL54" s="615"/>
      <c r="AM54" s="615"/>
      <c r="AN54" s="615"/>
      <c r="AO54" s="615"/>
      <c r="AP54" s="615"/>
      <c r="AQ54" s="615"/>
      <c r="AR54" s="615"/>
      <c r="AS54" s="615"/>
    </row>
    <row r="55" spans="12:45">
      <c r="L55" s="615"/>
      <c r="M55" s="615"/>
      <c r="AB55" s="615"/>
      <c r="AC55" s="615"/>
      <c r="AD55" s="615"/>
      <c r="AE55" s="615"/>
      <c r="AF55" s="615"/>
      <c r="AG55" s="615"/>
      <c r="AH55" s="615"/>
      <c r="AI55" s="615"/>
      <c r="AJ55" s="615"/>
      <c r="AK55" s="615"/>
      <c r="AL55" s="615"/>
      <c r="AM55" s="615"/>
      <c r="AN55" s="615"/>
      <c r="AO55" s="615"/>
      <c r="AP55" s="615"/>
      <c r="AQ55" s="615"/>
      <c r="AR55" s="615"/>
      <c r="AS55" s="615"/>
    </row>
    <row r="56" spans="12:45">
      <c r="L56" s="615"/>
      <c r="M56" s="615"/>
      <c r="AB56" s="615"/>
      <c r="AC56" s="615"/>
      <c r="AD56" s="615"/>
      <c r="AE56" s="615"/>
      <c r="AF56" s="615"/>
      <c r="AG56" s="615"/>
      <c r="AH56" s="615"/>
      <c r="AI56" s="615"/>
      <c r="AJ56" s="615"/>
      <c r="AK56" s="615"/>
      <c r="AL56" s="615"/>
      <c r="AM56" s="615"/>
      <c r="AN56" s="615"/>
      <c r="AO56" s="615"/>
      <c r="AP56" s="615"/>
      <c r="AQ56" s="615"/>
      <c r="AR56" s="615"/>
      <c r="AS56" s="615"/>
    </row>
    <row r="57" spans="12:45">
      <c r="L57" s="615"/>
      <c r="M57" s="615"/>
      <c r="AB57" s="615"/>
      <c r="AC57" s="615"/>
      <c r="AD57" s="615"/>
      <c r="AE57" s="615"/>
      <c r="AF57" s="615"/>
      <c r="AG57" s="615"/>
      <c r="AH57" s="615"/>
      <c r="AI57" s="615"/>
      <c r="AJ57" s="615"/>
      <c r="AK57" s="615"/>
      <c r="AL57" s="615"/>
      <c r="AM57" s="615"/>
      <c r="AN57" s="615"/>
      <c r="AO57" s="615"/>
      <c r="AP57" s="615"/>
      <c r="AQ57" s="615"/>
      <c r="AR57" s="615"/>
      <c r="AS57" s="615"/>
    </row>
    <row r="58" spans="12:45">
      <c r="L58" s="615"/>
      <c r="M58" s="615"/>
      <c r="AB58" s="615"/>
      <c r="AC58" s="615"/>
      <c r="AD58" s="615"/>
      <c r="AE58" s="615"/>
      <c r="AF58" s="615"/>
      <c r="AG58" s="615"/>
      <c r="AH58" s="615"/>
      <c r="AI58" s="615"/>
      <c r="AJ58" s="615"/>
      <c r="AK58" s="615"/>
      <c r="AL58" s="615"/>
      <c r="AM58" s="615"/>
      <c r="AN58" s="615"/>
      <c r="AO58" s="615"/>
      <c r="AP58" s="615"/>
      <c r="AQ58" s="615"/>
      <c r="AR58" s="615"/>
      <c r="AS58" s="615"/>
    </row>
    <row r="59" spans="12:45">
      <c r="L59" s="615"/>
      <c r="M59" s="615"/>
      <c r="AB59" s="615"/>
      <c r="AC59" s="615"/>
      <c r="AD59" s="615"/>
      <c r="AE59" s="615"/>
      <c r="AF59" s="615"/>
      <c r="AG59" s="615"/>
      <c r="AH59" s="615"/>
      <c r="AI59" s="615"/>
      <c r="AJ59" s="615"/>
      <c r="AK59" s="615"/>
      <c r="AL59" s="615"/>
      <c r="AM59" s="615"/>
      <c r="AN59" s="615"/>
      <c r="AO59" s="615"/>
      <c r="AP59" s="615"/>
      <c r="AQ59" s="615"/>
      <c r="AR59" s="615"/>
      <c r="AS59" s="615"/>
    </row>
    <row r="60" spans="12:45">
      <c r="L60" s="615"/>
      <c r="M60" s="615"/>
      <c r="AB60" s="615"/>
      <c r="AC60" s="615"/>
      <c r="AD60" s="615"/>
      <c r="AE60" s="615"/>
      <c r="AF60" s="615"/>
      <c r="AG60" s="615"/>
      <c r="AH60" s="615"/>
      <c r="AI60" s="615"/>
      <c r="AJ60" s="615"/>
      <c r="AK60" s="615"/>
      <c r="AL60" s="615"/>
      <c r="AM60" s="615"/>
      <c r="AN60" s="615"/>
      <c r="AO60" s="615"/>
      <c r="AP60" s="615"/>
      <c r="AQ60" s="615"/>
      <c r="AR60" s="615"/>
      <c r="AS60" s="615"/>
    </row>
    <row r="61" spans="12:45">
      <c r="L61" s="615"/>
      <c r="M61" s="615"/>
      <c r="AB61" s="615"/>
      <c r="AC61" s="615"/>
      <c r="AD61" s="615"/>
      <c r="AE61" s="615"/>
      <c r="AF61" s="615"/>
      <c r="AG61" s="615"/>
      <c r="AH61" s="615"/>
      <c r="AI61" s="615"/>
      <c r="AJ61" s="615"/>
      <c r="AK61" s="615"/>
      <c r="AL61" s="615"/>
      <c r="AM61" s="615"/>
      <c r="AN61" s="615"/>
      <c r="AO61" s="615"/>
      <c r="AP61" s="615"/>
      <c r="AQ61" s="615"/>
      <c r="AR61" s="615"/>
      <c r="AS61" s="615"/>
    </row>
    <row r="62" spans="12:45">
      <c r="L62" s="615"/>
      <c r="M62" s="615"/>
      <c r="AB62" s="615"/>
      <c r="AC62" s="615"/>
      <c r="AD62" s="615"/>
      <c r="AE62" s="615"/>
      <c r="AF62" s="615"/>
      <c r="AG62" s="615"/>
      <c r="AH62" s="615"/>
      <c r="AI62" s="615"/>
      <c r="AJ62" s="615"/>
      <c r="AK62" s="615"/>
      <c r="AL62" s="615"/>
      <c r="AM62" s="615"/>
      <c r="AN62" s="615"/>
      <c r="AO62" s="615"/>
      <c r="AP62" s="615"/>
      <c r="AQ62" s="615"/>
      <c r="AR62" s="615"/>
      <c r="AS62" s="615"/>
    </row>
    <row r="63" spans="12:45">
      <c r="L63" s="615"/>
      <c r="M63" s="615"/>
      <c r="AB63" s="615"/>
      <c r="AC63" s="615"/>
      <c r="AD63" s="615"/>
      <c r="AE63" s="615"/>
      <c r="AF63" s="615"/>
      <c r="AG63" s="615"/>
      <c r="AH63" s="615"/>
      <c r="AI63" s="615"/>
      <c r="AJ63" s="615"/>
      <c r="AK63" s="615"/>
      <c r="AL63" s="615"/>
      <c r="AM63" s="615"/>
      <c r="AN63" s="615"/>
      <c r="AO63" s="615"/>
      <c r="AP63" s="615"/>
      <c r="AQ63" s="615"/>
      <c r="AR63" s="615"/>
      <c r="AS63" s="615"/>
    </row>
    <row r="64" spans="12:45">
      <c r="L64" s="615"/>
      <c r="M64" s="615"/>
      <c r="AB64" s="615"/>
      <c r="AC64" s="615"/>
      <c r="AD64" s="615"/>
      <c r="AE64" s="615"/>
      <c r="AF64" s="615"/>
      <c r="AG64" s="615"/>
      <c r="AH64" s="615"/>
      <c r="AI64" s="615"/>
      <c r="AJ64" s="615"/>
      <c r="AK64" s="615"/>
      <c r="AL64" s="615"/>
      <c r="AM64" s="615"/>
      <c r="AN64" s="615"/>
      <c r="AO64" s="615"/>
      <c r="AP64" s="615"/>
      <c r="AQ64" s="615"/>
      <c r="AR64" s="615"/>
      <c r="AS64" s="615"/>
    </row>
    <row r="65" spans="12:45">
      <c r="L65" s="615"/>
      <c r="M65" s="615"/>
      <c r="AB65" s="615"/>
      <c r="AC65" s="615"/>
      <c r="AD65" s="615"/>
      <c r="AE65" s="615"/>
      <c r="AF65" s="615"/>
      <c r="AG65" s="615"/>
      <c r="AH65" s="615"/>
      <c r="AI65" s="615"/>
      <c r="AJ65" s="615"/>
      <c r="AK65" s="615"/>
      <c r="AL65" s="615"/>
      <c r="AM65" s="615"/>
      <c r="AN65" s="615"/>
      <c r="AO65" s="615"/>
      <c r="AP65" s="615"/>
      <c r="AQ65" s="615"/>
      <c r="AR65" s="615"/>
      <c r="AS65" s="615"/>
    </row>
    <row r="66" spans="12:45">
      <c r="L66" s="615"/>
      <c r="M66" s="615"/>
      <c r="AB66" s="615"/>
      <c r="AC66" s="615"/>
      <c r="AD66" s="615"/>
      <c r="AE66" s="615"/>
      <c r="AF66" s="615"/>
      <c r="AG66" s="615"/>
      <c r="AH66" s="615"/>
      <c r="AI66" s="615"/>
      <c r="AJ66" s="615"/>
      <c r="AK66" s="615"/>
      <c r="AL66" s="615"/>
      <c r="AM66" s="615"/>
      <c r="AN66" s="615"/>
      <c r="AO66" s="615"/>
      <c r="AP66" s="615"/>
      <c r="AQ66" s="615"/>
      <c r="AR66" s="615"/>
      <c r="AS66" s="615"/>
    </row>
    <row r="67" spans="12:45">
      <c r="L67" s="615"/>
      <c r="M67" s="615"/>
      <c r="AB67" s="615"/>
      <c r="AC67" s="615"/>
      <c r="AD67" s="615"/>
      <c r="AE67" s="615"/>
      <c r="AF67" s="615"/>
      <c r="AG67" s="615"/>
      <c r="AH67" s="615"/>
      <c r="AI67" s="615"/>
      <c r="AJ67" s="615"/>
      <c r="AK67" s="615"/>
      <c r="AL67" s="615"/>
      <c r="AM67" s="615"/>
      <c r="AN67" s="615"/>
      <c r="AO67" s="615"/>
      <c r="AP67" s="615"/>
      <c r="AQ67" s="615"/>
      <c r="AR67" s="615"/>
      <c r="AS67" s="615"/>
    </row>
    <row r="68" spans="12:45">
      <c r="L68" s="615"/>
      <c r="M68" s="615"/>
      <c r="AB68" s="615"/>
      <c r="AC68" s="615"/>
      <c r="AD68" s="615"/>
      <c r="AE68" s="615"/>
      <c r="AF68" s="615"/>
      <c r="AG68" s="615"/>
      <c r="AH68" s="615"/>
      <c r="AI68" s="615"/>
      <c r="AJ68" s="615"/>
      <c r="AK68" s="615"/>
      <c r="AL68" s="615"/>
      <c r="AM68" s="615"/>
      <c r="AN68" s="615"/>
      <c r="AO68" s="615"/>
      <c r="AP68" s="615"/>
      <c r="AQ68" s="615"/>
      <c r="AR68" s="615"/>
      <c r="AS68" s="615"/>
    </row>
    <row r="69" spans="12:45">
      <c r="L69" s="615"/>
      <c r="M69" s="615"/>
      <c r="AB69" s="615"/>
      <c r="AC69" s="615"/>
      <c r="AD69" s="615"/>
      <c r="AE69" s="615"/>
      <c r="AF69" s="615"/>
      <c r="AG69" s="615"/>
      <c r="AH69" s="615"/>
      <c r="AI69" s="615"/>
      <c r="AJ69" s="615"/>
      <c r="AK69" s="615"/>
      <c r="AL69" s="615"/>
      <c r="AM69" s="615"/>
      <c r="AN69" s="615"/>
      <c r="AO69" s="615"/>
      <c r="AP69" s="615"/>
      <c r="AQ69" s="615"/>
      <c r="AR69" s="615"/>
      <c r="AS69" s="615"/>
    </row>
    <row r="70" spans="12:45">
      <c r="L70" s="615"/>
      <c r="M70" s="615"/>
      <c r="AB70" s="615"/>
      <c r="AC70" s="615"/>
      <c r="AD70" s="615"/>
      <c r="AE70" s="615"/>
      <c r="AF70" s="615"/>
      <c r="AG70" s="615"/>
      <c r="AH70" s="615"/>
      <c r="AI70" s="615"/>
      <c r="AJ70" s="615"/>
      <c r="AK70" s="615"/>
      <c r="AL70" s="615"/>
      <c r="AM70" s="615"/>
      <c r="AN70" s="615"/>
      <c r="AO70" s="615"/>
      <c r="AP70" s="615"/>
      <c r="AQ70" s="615"/>
      <c r="AR70" s="615"/>
      <c r="AS70" s="615"/>
    </row>
    <row r="71" spans="12:45">
      <c r="L71" s="615"/>
      <c r="M71" s="615"/>
      <c r="AB71" s="615"/>
      <c r="AC71" s="615"/>
      <c r="AD71" s="615"/>
      <c r="AE71" s="615"/>
      <c r="AF71" s="615"/>
      <c r="AG71" s="615"/>
      <c r="AH71" s="615"/>
      <c r="AI71" s="615"/>
      <c r="AJ71" s="615"/>
      <c r="AK71" s="615"/>
      <c r="AL71" s="615"/>
      <c r="AM71" s="615"/>
      <c r="AN71" s="615"/>
      <c r="AO71" s="615"/>
      <c r="AP71" s="615"/>
      <c r="AQ71" s="615"/>
      <c r="AR71" s="615"/>
      <c r="AS71" s="615"/>
    </row>
    <row r="72" spans="12:45">
      <c r="L72" s="615"/>
      <c r="M72" s="615"/>
      <c r="AB72" s="615"/>
      <c r="AC72" s="615"/>
      <c r="AD72" s="615"/>
      <c r="AE72" s="615"/>
      <c r="AF72" s="615"/>
      <c r="AG72" s="615"/>
      <c r="AH72" s="615"/>
      <c r="AI72" s="615"/>
      <c r="AJ72" s="615"/>
      <c r="AK72" s="615"/>
      <c r="AL72" s="615"/>
      <c r="AM72" s="615"/>
      <c r="AN72" s="615"/>
      <c r="AO72" s="615"/>
      <c r="AP72" s="615"/>
      <c r="AQ72" s="615"/>
      <c r="AR72" s="615"/>
      <c r="AS72" s="615"/>
    </row>
    <row r="73" spans="12:45">
      <c r="L73" s="615"/>
      <c r="M73" s="615"/>
      <c r="AB73" s="615"/>
      <c r="AC73" s="615"/>
      <c r="AD73" s="615"/>
      <c r="AE73" s="615"/>
      <c r="AF73" s="615"/>
      <c r="AG73" s="615"/>
      <c r="AH73" s="615"/>
      <c r="AI73" s="615"/>
      <c r="AJ73" s="615"/>
      <c r="AK73" s="615"/>
      <c r="AL73" s="615"/>
      <c r="AM73" s="615"/>
      <c r="AN73" s="615"/>
      <c r="AO73" s="615"/>
      <c r="AP73" s="615"/>
      <c r="AQ73" s="615"/>
      <c r="AR73" s="615"/>
      <c r="AS73" s="615"/>
    </row>
    <row r="74" spans="12:45">
      <c r="L74" s="615"/>
      <c r="M74" s="615"/>
      <c r="AB74" s="615"/>
      <c r="AC74" s="615"/>
      <c r="AD74" s="615"/>
      <c r="AE74" s="615"/>
      <c r="AF74" s="615"/>
      <c r="AG74" s="615"/>
      <c r="AH74" s="615"/>
      <c r="AI74" s="615"/>
      <c r="AJ74" s="615"/>
      <c r="AK74" s="615"/>
      <c r="AL74" s="615"/>
      <c r="AM74" s="615"/>
      <c r="AN74" s="615"/>
      <c r="AO74" s="615"/>
      <c r="AP74" s="615"/>
      <c r="AQ74" s="615"/>
      <c r="AR74" s="615"/>
      <c r="AS74" s="615"/>
    </row>
    <row r="75" spans="12:45">
      <c r="L75" s="615"/>
      <c r="M75" s="615"/>
      <c r="AB75" s="615"/>
      <c r="AC75" s="615"/>
      <c r="AD75" s="615"/>
      <c r="AE75" s="615"/>
      <c r="AF75" s="615"/>
      <c r="AG75" s="615"/>
      <c r="AH75" s="615"/>
      <c r="AI75" s="615"/>
      <c r="AJ75" s="615"/>
      <c r="AK75" s="615"/>
      <c r="AL75" s="615"/>
      <c r="AM75" s="615"/>
      <c r="AN75" s="615"/>
      <c r="AO75" s="615"/>
      <c r="AP75" s="615"/>
      <c r="AQ75" s="615"/>
      <c r="AR75" s="615"/>
      <c r="AS75" s="615"/>
    </row>
    <row r="76" spans="12:45">
      <c r="L76" s="615"/>
      <c r="M76" s="615"/>
      <c r="AB76" s="615"/>
      <c r="AC76" s="615"/>
      <c r="AD76" s="615"/>
      <c r="AE76" s="615"/>
      <c r="AF76" s="615"/>
      <c r="AG76" s="615"/>
      <c r="AH76" s="615"/>
      <c r="AI76" s="615"/>
      <c r="AJ76" s="615"/>
      <c r="AK76" s="615"/>
      <c r="AL76" s="615"/>
      <c r="AM76" s="615"/>
      <c r="AN76" s="615"/>
      <c r="AO76" s="615"/>
      <c r="AP76" s="615"/>
      <c r="AQ76" s="615"/>
      <c r="AR76" s="615"/>
      <c r="AS76" s="615"/>
    </row>
    <row r="77" spans="12:45">
      <c r="L77" s="615"/>
      <c r="M77" s="615"/>
      <c r="AB77" s="615"/>
      <c r="AC77" s="615"/>
      <c r="AD77" s="615"/>
      <c r="AE77" s="615"/>
      <c r="AF77" s="615"/>
      <c r="AG77" s="615"/>
      <c r="AH77" s="615"/>
      <c r="AI77" s="615"/>
      <c r="AJ77" s="615"/>
      <c r="AK77" s="615"/>
      <c r="AL77" s="615"/>
      <c r="AM77" s="615"/>
      <c r="AN77" s="615"/>
      <c r="AO77" s="615"/>
      <c r="AP77" s="615"/>
      <c r="AQ77" s="615"/>
      <c r="AR77" s="615"/>
      <c r="AS77" s="615"/>
    </row>
    <row r="78" spans="12:45">
      <c r="L78" s="615"/>
      <c r="M78" s="615"/>
      <c r="AB78" s="615"/>
      <c r="AC78" s="615"/>
      <c r="AD78" s="615"/>
      <c r="AE78" s="615"/>
      <c r="AF78" s="615"/>
      <c r="AG78" s="615"/>
      <c r="AH78" s="615"/>
      <c r="AI78" s="615"/>
      <c r="AJ78" s="615"/>
      <c r="AK78" s="615"/>
      <c r="AL78" s="615"/>
      <c r="AM78" s="615"/>
      <c r="AN78" s="615"/>
      <c r="AO78" s="615"/>
      <c r="AP78" s="615"/>
      <c r="AQ78" s="615"/>
      <c r="AR78" s="615"/>
      <c r="AS78" s="615"/>
    </row>
    <row r="79" spans="12:45">
      <c r="L79" s="615"/>
      <c r="M79" s="615"/>
      <c r="AB79" s="615"/>
      <c r="AC79" s="615"/>
      <c r="AD79" s="615"/>
      <c r="AE79" s="615"/>
      <c r="AF79" s="615"/>
      <c r="AG79" s="615"/>
      <c r="AH79" s="615"/>
      <c r="AI79" s="615"/>
      <c r="AJ79" s="615"/>
      <c r="AK79" s="615"/>
      <c r="AL79" s="615"/>
      <c r="AM79" s="615"/>
      <c r="AN79" s="615"/>
      <c r="AO79" s="615"/>
      <c r="AP79" s="615"/>
      <c r="AQ79" s="615"/>
      <c r="AR79" s="615"/>
      <c r="AS79" s="615"/>
    </row>
    <row r="80" spans="12:45">
      <c r="L80" s="615"/>
      <c r="M80" s="615"/>
      <c r="AB80" s="615"/>
      <c r="AC80" s="615"/>
      <c r="AD80" s="615"/>
      <c r="AE80" s="615"/>
      <c r="AF80" s="615"/>
      <c r="AG80" s="615"/>
      <c r="AH80" s="615"/>
      <c r="AI80" s="615"/>
      <c r="AJ80" s="615"/>
      <c r="AK80" s="615"/>
      <c r="AL80" s="615"/>
      <c r="AM80" s="615"/>
      <c r="AN80" s="615"/>
      <c r="AO80" s="615"/>
      <c r="AP80" s="615"/>
      <c r="AQ80" s="615"/>
      <c r="AR80" s="615"/>
      <c r="AS80" s="615"/>
    </row>
    <row r="81" spans="12:45">
      <c r="L81" s="615"/>
      <c r="M81" s="615"/>
      <c r="AB81" s="615"/>
      <c r="AC81" s="615"/>
      <c r="AD81" s="615"/>
      <c r="AE81" s="615"/>
      <c r="AF81" s="615"/>
      <c r="AG81" s="615"/>
      <c r="AH81" s="615"/>
      <c r="AI81" s="615"/>
      <c r="AJ81" s="615"/>
      <c r="AK81" s="615"/>
      <c r="AL81" s="615"/>
      <c r="AM81" s="615"/>
      <c r="AN81" s="615"/>
      <c r="AO81" s="615"/>
      <c r="AP81" s="615"/>
      <c r="AQ81" s="615"/>
      <c r="AR81" s="615"/>
      <c r="AS81" s="615"/>
    </row>
    <row r="82" spans="12:45">
      <c r="L82" s="615"/>
      <c r="M82" s="615"/>
      <c r="AB82" s="615"/>
      <c r="AC82" s="615"/>
      <c r="AD82" s="615"/>
      <c r="AE82" s="615"/>
      <c r="AF82" s="615"/>
      <c r="AG82" s="615"/>
      <c r="AH82" s="615"/>
      <c r="AI82" s="615"/>
      <c r="AJ82" s="615"/>
      <c r="AK82" s="615"/>
      <c r="AL82" s="615"/>
      <c r="AM82" s="615"/>
      <c r="AN82" s="615"/>
      <c r="AO82" s="615"/>
      <c r="AP82" s="615"/>
      <c r="AQ82" s="615"/>
      <c r="AR82" s="615"/>
      <c r="AS82" s="615"/>
    </row>
    <row r="83" spans="12:45">
      <c r="L83" s="615"/>
      <c r="M83" s="615"/>
      <c r="AB83" s="615"/>
      <c r="AC83" s="615"/>
      <c r="AD83" s="615"/>
      <c r="AE83" s="615"/>
      <c r="AF83" s="615"/>
      <c r="AG83" s="615"/>
      <c r="AH83" s="615"/>
      <c r="AI83" s="615"/>
      <c r="AJ83" s="615"/>
      <c r="AK83" s="615"/>
      <c r="AL83" s="615"/>
      <c r="AM83" s="615"/>
      <c r="AN83" s="615"/>
      <c r="AO83" s="615"/>
      <c r="AP83" s="615"/>
      <c r="AQ83" s="615"/>
      <c r="AR83" s="615"/>
      <c r="AS83" s="615"/>
    </row>
    <row r="84" spans="12:45">
      <c r="L84" s="615"/>
      <c r="M84" s="615"/>
      <c r="AB84" s="615"/>
      <c r="AC84" s="615"/>
      <c r="AD84" s="615"/>
      <c r="AE84" s="615"/>
      <c r="AF84" s="615"/>
      <c r="AG84" s="615"/>
      <c r="AH84" s="615"/>
      <c r="AI84" s="615"/>
      <c r="AJ84" s="615"/>
      <c r="AK84" s="615"/>
      <c r="AL84" s="615"/>
      <c r="AM84" s="615"/>
      <c r="AN84" s="615"/>
      <c r="AO84" s="615"/>
      <c r="AP84" s="615"/>
      <c r="AQ84" s="615"/>
      <c r="AR84" s="615"/>
      <c r="AS84" s="615"/>
    </row>
    <row r="85" spans="12:45">
      <c r="L85" s="615"/>
      <c r="M85" s="615"/>
      <c r="AB85" s="615"/>
      <c r="AC85" s="615"/>
      <c r="AD85" s="615"/>
      <c r="AE85" s="615"/>
      <c r="AF85" s="615"/>
      <c r="AG85" s="615"/>
      <c r="AH85" s="615"/>
      <c r="AI85" s="615"/>
      <c r="AJ85" s="615"/>
      <c r="AK85" s="615"/>
      <c r="AL85" s="615"/>
      <c r="AM85" s="615"/>
      <c r="AN85" s="615"/>
      <c r="AO85" s="615"/>
      <c r="AP85" s="615"/>
      <c r="AQ85" s="615"/>
      <c r="AR85" s="615"/>
      <c r="AS85" s="615"/>
    </row>
    <row r="86" spans="12:45">
      <c r="L86" s="615"/>
      <c r="M86" s="615"/>
      <c r="AB86" s="615"/>
      <c r="AC86" s="615"/>
      <c r="AD86" s="615"/>
      <c r="AE86" s="615"/>
      <c r="AF86" s="615"/>
      <c r="AG86" s="615"/>
      <c r="AH86" s="615"/>
      <c r="AI86" s="615"/>
      <c r="AJ86" s="615"/>
      <c r="AK86" s="615"/>
      <c r="AL86" s="615"/>
      <c r="AM86" s="615"/>
      <c r="AN86" s="615"/>
      <c r="AO86" s="615"/>
      <c r="AP86" s="615"/>
      <c r="AQ86" s="615"/>
      <c r="AR86" s="615"/>
      <c r="AS86" s="615"/>
    </row>
    <row r="87" spans="12:45">
      <c r="L87" s="615"/>
      <c r="M87" s="615"/>
      <c r="AB87" s="615"/>
      <c r="AC87" s="615"/>
      <c r="AD87" s="615"/>
      <c r="AE87" s="615"/>
      <c r="AF87" s="615"/>
      <c r="AG87" s="615"/>
      <c r="AH87" s="615"/>
      <c r="AI87" s="615"/>
      <c r="AJ87" s="615"/>
      <c r="AK87" s="615"/>
      <c r="AL87" s="615"/>
      <c r="AM87" s="615"/>
      <c r="AN87" s="615"/>
      <c r="AO87" s="615"/>
      <c r="AP87" s="615"/>
      <c r="AQ87" s="615"/>
      <c r="AR87" s="615"/>
      <c r="AS87" s="615"/>
    </row>
    <row r="88" spans="12:45">
      <c r="L88" s="615"/>
      <c r="M88" s="615"/>
      <c r="AB88" s="615"/>
      <c r="AC88" s="615"/>
      <c r="AD88" s="615"/>
      <c r="AE88" s="615"/>
      <c r="AF88" s="615"/>
      <c r="AG88" s="615"/>
      <c r="AH88" s="615"/>
      <c r="AI88" s="615"/>
      <c r="AJ88" s="615"/>
      <c r="AK88" s="615"/>
      <c r="AL88" s="615"/>
      <c r="AM88" s="615"/>
      <c r="AN88" s="615"/>
      <c r="AO88" s="615"/>
      <c r="AP88" s="615"/>
      <c r="AQ88" s="615"/>
      <c r="AR88" s="615"/>
      <c r="AS88" s="615"/>
    </row>
    <row r="89" spans="12:45">
      <c r="L89" s="615"/>
      <c r="M89" s="615"/>
      <c r="AB89" s="615"/>
      <c r="AC89" s="615"/>
      <c r="AD89" s="615"/>
      <c r="AE89" s="615"/>
      <c r="AF89" s="615"/>
      <c r="AG89" s="615"/>
      <c r="AH89" s="615"/>
      <c r="AI89" s="615"/>
      <c r="AJ89" s="615"/>
      <c r="AK89" s="615"/>
      <c r="AL89" s="615"/>
      <c r="AM89" s="615"/>
      <c r="AN89" s="615"/>
      <c r="AO89" s="615"/>
      <c r="AP89" s="615"/>
      <c r="AQ89" s="615"/>
      <c r="AR89" s="615"/>
      <c r="AS89" s="615"/>
    </row>
    <row r="90" spans="12:45">
      <c r="L90" s="615"/>
      <c r="M90" s="615"/>
      <c r="AB90" s="615"/>
      <c r="AC90" s="615"/>
      <c r="AD90" s="615"/>
      <c r="AE90" s="615"/>
      <c r="AF90" s="615"/>
      <c r="AG90" s="615"/>
      <c r="AH90" s="615"/>
      <c r="AI90" s="615"/>
      <c r="AJ90" s="615"/>
      <c r="AK90" s="615"/>
      <c r="AL90" s="615"/>
      <c r="AM90" s="615"/>
      <c r="AN90" s="615"/>
      <c r="AO90" s="615"/>
      <c r="AP90" s="615"/>
      <c r="AQ90" s="615"/>
      <c r="AR90" s="615"/>
      <c r="AS90" s="615"/>
    </row>
    <row r="91" spans="12:45">
      <c r="L91" s="615"/>
      <c r="M91" s="615"/>
      <c r="AB91" s="615"/>
      <c r="AC91" s="615"/>
      <c r="AD91" s="615"/>
      <c r="AE91" s="615"/>
      <c r="AF91" s="615"/>
      <c r="AG91" s="615"/>
      <c r="AH91" s="615"/>
      <c r="AI91" s="615"/>
      <c r="AJ91" s="615"/>
      <c r="AK91" s="615"/>
      <c r="AL91" s="615"/>
      <c r="AM91" s="615"/>
      <c r="AN91" s="615"/>
      <c r="AO91" s="615"/>
      <c r="AP91" s="615"/>
      <c r="AQ91" s="615"/>
      <c r="AR91" s="615"/>
      <c r="AS91" s="615"/>
    </row>
    <row r="92" spans="12:45">
      <c r="L92" s="615"/>
      <c r="M92" s="615"/>
      <c r="AB92" s="615"/>
      <c r="AC92" s="615"/>
      <c r="AD92" s="615"/>
      <c r="AE92" s="615"/>
      <c r="AF92" s="615"/>
      <c r="AG92" s="615"/>
      <c r="AH92" s="615"/>
      <c r="AI92" s="615"/>
      <c r="AJ92" s="615"/>
      <c r="AK92" s="615"/>
      <c r="AL92" s="615"/>
      <c r="AM92" s="615"/>
      <c r="AN92" s="615"/>
      <c r="AO92" s="615"/>
      <c r="AP92" s="615"/>
      <c r="AQ92" s="615"/>
      <c r="AR92" s="615"/>
      <c r="AS92" s="615"/>
    </row>
    <row r="93" spans="12:45">
      <c r="L93" s="615"/>
      <c r="M93" s="615"/>
      <c r="AB93" s="615"/>
      <c r="AC93" s="615"/>
      <c r="AD93" s="615"/>
      <c r="AE93" s="615"/>
      <c r="AF93" s="615"/>
      <c r="AG93" s="615"/>
      <c r="AH93" s="615"/>
      <c r="AI93" s="615"/>
      <c r="AJ93" s="615"/>
      <c r="AK93" s="615"/>
      <c r="AL93" s="615"/>
      <c r="AM93" s="615"/>
      <c r="AN93" s="615"/>
      <c r="AO93" s="615"/>
      <c r="AP93" s="615"/>
      <c r="AQ93" s="615"/>
      <c r="AR93" s="615"/>
      <c r="AS93" s="615"/>
    </row>
    <row r="94" spans="12:45">
      <c r="L94" s="615"/>
      <c r="M94" s="615"/>
      <c r="AB94" s="615"/>
      <c r="AC94" s="615"/>
      <c r="AD94" s="615"/>
      <c r="AE94" s="615"/>
      <c r="AF94" s="615"/>
      <c r="AG94" s="615"/>
      <c r="AH94" s="615"/>
      <c r="AI94" s="615"/>
      <c r="AJ94" s="615"/>
      <c r="AK94" s="615"/>
      <c r="AL94" s="615"/>
      <c r="AM94" s="615"/>
      <c r="AN94" s="615"/>
      <c r="AO94" s="615"/>
      <c r="AP94" s="615"/>
      <c r="AQ94" s="615"/>
      <c r="AR94" s="615"/>
      <c r="AS94" s="615"/>
    </row>
    <row r="95" spans="12:45">
      <c r="L95" s="615"/>
      <c r="M95" s="615"/>
      <c r="AB95" s="615"/>
      <c r="AC95" s="615"/>
      <c r="AD95" s="615"/>
      <c r="AE95" s="615"/>
      <c r="AF95" s="615"/>
      <c r="AG95" s="615"/>
      <c r="AH95" s="615"/>
      <c r="AI95" s="615"/>
      <c r="AJ95" s="615"/>
      <c r="AK95" s="615"/>
      <c r="AL95" s="615"/>
      <c r="AM95" s="615"/>
      <c r="AN95" s="615"/>
      <c r="AO95" s="615"/>
      <c r="AP95" s="615"/>
      <c r="AQ95" s="615"/>
      <c r="AR95" s="615"/>
      <c r="AS95" s="615"/>
    </row>
    <row r="96" spans="12:45">
      <c r="L96" s="615"/>
      <c r="M96" s="615"/>
      <c r="AB96" s="615"/>
      <c r="AC96" s="615"/>
      <c r="AD96" s="615"/>
      <c r="AE96" s="615"/>
      <c r="AF96" s="615"/>
      <c r="AG96" s="615"/>
      <c r="AH96" s="615"/>
      <c r="AI96" s="615"/>
      <c r="AJ96" s="615"/>
      <c r="AK96" s="615"/>
      <c r="AL96" s="615"/>
      <c r="AM96" s="615"/>
      <c r="AN96" s="615"/>
      <c r="AO96" s="615"/>
      <c r="AP96" s="615"/>
      <c r="AQ96" s="615"/>
      <c r="AR96" s="615"/>
      <c r="AS96" s="615"/>
    </row>
    <row r="97" spans="12:45">
      <c r="L97" s="615"/>
      <c r="M97" s="615"/>
      <c r="AB97" s="615"/>
      <c r="AC97" s="615"/>
      <c r="AD97" s="615"/>
      <c r="AE97" s="615"/>
      <c r="AF97" s="615"/>
      <c r="AG97" s="615"/>
      <c r="AH97" s="615"/>
      <c r="AI97" s="615"/>
      <c r="AJ97" s="615"/>
      <c r="AK97" s="615"/>
      <c r="AL97" s="615"/>
      <c r="AM97" s="615"/>
      <c r="AN97" s="615"/>
      <c r="AO97" s="615"/>
      <c r="AP97" s="615"/>
      <c r="AQ97" s="615"/>
      <c r="AR97" s="615"/>
      <c r="AS97" s="615"/>
    </row>
    <row r="98" spans="12:45">
      <c r="L98" s="615"/>
      <c r="M98" s="615"/>
      <c r="AB98" s="615"/>
      <c r="AC98" s="615"/>
      <c r="AD98" s="615"/>
      <c r="AE98" s="615"/>
      <c r="AF98" s="615"/>
      <c r="AG98" s="615"/>
      <c r="AH98" s="615"/>
      <c r="AI98" s="615"/>
      <c r="AJ98" s="615"/>
      <c r="AK98" s="615"/>
      <c r="AL98" s="615"/>
      <c r="AM98" s="615"/>
      <c r="AN98" s="615"/>
      <c r="AO98" s="615"/>
      <c r="AP98" s="615"/>
      <c r="AQ98" s="615"/>
      <c r="AR98" s="615"/>
      <c r="AS98" s="615"/>
    </row>
    <row r="99" spans="12:45">
      <c r="L99" s="615"/>
      <c r="M99" s="615"/>
      <c r="AB99" s="615"/>
      <c r="AC99" s="615"/>
      <c r="AD99" s="615"/>
      <c r="AE99" s="615"/>
      <c r="AF99" s="615"/>
      <c r="AG99" s="615"/>
      <c r="AH99" s="615"/>
      <c r="AI99" s="615"/>
      <c r="AJ99" s="615"/>
      <c r="AK99" s="615"/>
      <c r="AL99" s="615"/>
      <c r="AM99" s="615"/>
      <c r="AN99" s="615"/>
      <c r="AO99" s="615"/>
      <c r="AP99" s="615"/>
      <c r="AQ99" s="615"/>
      <c r="AR99" s="615"/>
      <c r="AS99" s="615"/>
    </row>
    <row r="100" spans="12:45">
      <c r="L100" s="615"/>
      <c r="M100" s="615"/>
      <c r="AB100" s="615"/>
      <c r="AC100" s="615"/>
      <c r="AD100" s="615"/>
      <c r="AE100" s="615"/>
      <c r="AF100" s="615"/>
      <c r="AG100" s="615"/>
      <c r="AH100" s="615"/>
      <c r="AI100" s="615"/>
      <c r="AJ100" s="615"/>
      <c r="AK100" s="615"/>
      <c r="AL100" s="615"/>
      <c r="AM100" s="615"/>
      <c r="AN100" s="615"/>
      <c r="AO100" s="615"/>
      <c r="AP100" s="615"/>
      <c r="AQ100" s="615"/>
      <c r="AR100" s="615"/>
      <c r="AS100" s="615"/>
    </row>
    <row r="101" spans="12:45">
      <c r="L101" s="615"/>
      <c r="M101" s="615"/>
      <c r="AB101" s="615"/>
      <c r="AC101" s="615"/>
      <c r="AD101" s="615"/>
      <c r="AE101" s="615"/>
      <c r="AF101" s="615"/>
      <c r="AG101" s="615"/>
      <c r="AH101" s="615"/>
      <c r="AI101" s="615"/>
      <c r="AJ101" s="615"/>
      <c r="AK101" s="615"/>
      <c r="AL101" s="615"/>
      <c r="AM101" s="615"/>
      <c r="AN101" s="615"/>
      <c r="AO101" s="615"/>
      <c r="AP101" s="615"/>
      <c r="AQ101" s="615"/>
      <c r="AR101" s="615"/>
      <c r="AS101" s="615"/>
    </row>
    <row r="102" spans="12:45">
      <c r="L102" s="615"/>
      <c r="M102" s="615"/>
      <c r="AB102" s="615"/>
      <c r="AC102" s="615"/>
      <c r="AD102" s="615"/>
      <c r="AE102" s="615"/>
      <c r="AF102" s="615"/>
      <c r="AG102" s="615"/>
      <c r="AH102" s="615"/>
      <c r="AI102" s="615"/>
      <c r="AJ102" s="615"/>
      <c r="AK102" s="615"/>
      <c r="AL102" s="615"/>
      <c r="AM102" s="615"/>
      <c r="AN102" s="615"/>
      <c r="AO102" s="615"/>
      <c r="AP102" s="615"/>
      <c r="AQ102" s="615"/>
      <c r="AR102" s="615"/>
      <c r="AS102" s="615"/>
    </row>
    <row r="103" spans="12:45">
      <c r="L103" s="615"/>
      <c r="M103" s="615"/>
      <c r="AB103" s="615"/>
      <c r="AC103" s="615"/>
      <c r="AD103" s="615"/>
      <c r="AE103" s="615"/>
      <c r="AF103" s="615"/>
      <c r="AG103" s="615"/>
      <c r="AH103" s="615"/>
      <c r="AI103" s="615"/>
      <c r="AJ103" s="615"/>
      <c r="AK103" s="615"/>
      <c r="AL103" s="615"/>
      <c r="AM103" s="615"/>
      <c r="AN103" s="615"/>
      <c r="AO103" s="615"/>
      <c r="AP103" s="615"/>
      <c r="AQ103" s="615"/>
      <c r="AR103" s="615"/>
      <c r="AS103" s="615"/>
    </row>
    <row r="104" spans="12:45">
      <c r="L104" s="615"/>
      <c r="M104" s="615"/>
      <c r="AB104" s="615"/>
      <c r="AC104" s="615"/>
      <c r="AD104" s="615"/>
      <c r="AE104" s="615"/>
      <c r="AF104" s="615"/>
      <c r="AG104" s="615"/>
      <c r="AH104" s="615"/>
      <c r="AI104" s="615"/>
      <c r="AJ104" s="615"/>
      <c r="AK104" s="615"/>
      <c r="AL104" s="615"/>
      <c r="AM104" s="615"/>
      <c r="AN104" s="615"/>
      <c r="AO104" s="615"/>
      <c r="AP104" s="615"/>
      <c r="AQ104" s="615"/>
      <c r="AR104" s="615"/>
      <c r="AS104" s="615"/>
    </row>
    <row r="105" spans="12:45">
      <c r="L105" s="615"/>
      <c r="M105" s="615"/>
      <c r="AB105" s="615"/>
      <c r="AC105" s="615"/>
      <c r="AD105" s="615"/>
      <c r="AE105" s="615"/>
      <c r="AF105" s="615"/>
      <c r="AG105" s="615"/>
      <c r="AH105" s="615"/>
      <c r="AI105" s="615"/>
      <c r="AJ105" s="615"/>
      <c r="AK105" s="615"/>
      <c r="AL105" s="615"/>
      <c r="AM105" s="615"/>
      <c r="AN105" s="615"/>
      <c r="AO105" s="615"/>
      <c r="AP105" s="615"/>
      <c r="AQ105" s="615"/>
      <c r="AR105" s="615"/>
      <c r="AS105" s="615"/>
    </row>
    <row r="106" spans="12:45">
      <c r="L106" s="615"/>
      <c r="M106" s="615"/>
      <c r="AB106" s="615"/>
      <c r="AC106" s="615"/>
      <c r="AD106" s="615"/>
      <c r="AE106" s="615"/>
      <c r="AF106" s="615"/>
      <c r="AG106" s="615"/>
      <c r="AH106" s="615"/>
      <c r="AI106" s="615"/>
      <c r="AJ106" s="615"/>
      <c r="AK106" s="615"/>
      <c r="AL106" s="615"/>
      <c r="AM106" s="615"/>
      <c r="AN106" s="615"/>
      <c r="AO106" s="615"/>
      <c r="AP106" s="615"/>
      <c r="AQ106" s="615"/>
      <c r="AR106" s="615"/>
      <c r="AS106" s="615"/>
    </row>
    <row r="107" spans="12:45">
      <c r="L107" s="615"/>
      <c r="M107" s="615"/>
      <c r="AB107" s="615"/>
      <c r="AC107" s="615"/>
      <c r="AD107" s="615"/>
      <c r="AE107" s="615"/>
      <c r="AF107" s="615"/>
      <c r="AG107" s="615"/>
      <c r="AH107" s="615"/>
      <c r="AI107" s="615"/>
      <c r="AJ107" s="615"/>
      <c r="AK107" s="615"/>
      <c r="AL107" s="615"/>
      <c r="AM107" s="615"/>
      <c r="AN107" s="615"/>
      <c r="AO107" s="615"/>
      <c r="AP107" s="615"/>
      <c r="AQ107" s="615"/>
      <c r="AR107" s="615"/>
      <c r="AS107" s="615"/>
    </row>
    <row r="108" spans="12:45">
      <c r="L108" s="615"/>
      <c r="M108" s="615"/>
      <c r="AB108" s="615"/>
      <c r="AC108" s="615"/>
      <c r="AD108" s="615"/>
      <c r="AE108" s="615"/>
      <c r="AF108" s="615"/>
      <c r="AG108" s="615"/>
      <c r="AH108" s="615"/>
      <c r="AI108" s="615"/>
      <c r="AJ108" s="615"/>
      <c r="AK108" s="615"/>
      <c r="AL108" s="615"/>
      <c r="AM108" s="615"/>
      <c r="AN108" s="615"/>
      <c r="AO108" s="615"/>
      <c r="AP108" s="615"/>
      <c r="AQ108" s="615"/>
      <c r="AR108" s="615"/>
      <c r="AS108" s="615"/>
    </row>
    <row r="109" spans="12:45">
      <c r="L109" s="615"/>
      <c r="M109" s="615"/>
      <c r="AB109" s="615"/>
      <c r="AC109" s="615"/>
      <c r="AD109" s="615"/>
      <c r="AE109" s="615"/>
      <c r="AF109" s="615"/>
      <c r="AG109" s="615"/>
      <c r="AH109" s="615"/>
      <c r="AI109" s="615"/>
      <c r="AJ109" s="615"/>
      <c r="AK109" s="615"/>
      <c r="AL109" s="615"/>
      <c r="AM109" s="615"/>
      <c r="AN109" s="615"/>
      <c r="AO109" s="615"/>
      <c r="AP109" s="615"/>
      <c r="AQ109" s="615"/>
      <c r="AR109" s="615"/>
      <c r="AS109" s="615"/>
    </row>
    <row r="110" spans="12:45">
      <c r="L110" s="615"/>
      <c r="M110" s="615"/>
      <c r="AB110" s="615"/>
      <c r="AC110" s="615"/>
      <c r="AD110" s="615"/>
      <c r="AE110" s="615"/>
      <c r="AF110" s="615"/>
      <c r="AG110" s="615"/>
      <c r="AH110" s="615"/>
      <c r="AI110" s="615"/>
      <c r="AJ110" s="615"/>
      <c r="AK110" s="615"/>
      <c r="AL110" s="615"/>
      <c r="AM110" s="615"/>
      <c r="AN110" s="615"/>
      <c r="AO110" s="615"/>
      <c r="AP110" s="615"/>
      <c r="AQ110" s="615"/>
      <c r="AR110" s="615"/>
      <c r="AS110" s="615"/>
    </row>
    <row r="111" spans="12:45">
      <c r="L111" s="615"/>
      <c r="M111" s="615"/>
      <c r="AB111" s="615"/>
      <c r="AC111" s="615"/>
      <c r="AD111" s="615"/>
      <c r="AE111" s="615"/>
      <c r="AF111" s="615"/>
      <c r="AG111" s="615"/>
      <c r="AH111" s="615"/>
      <c r="AI111" s="615"/>
      <c r="AJ111" s="615"/>
      <c r="AK111" s="615"/>
      <c r="AL111" s="615"/>
      <c r="AM111" s="615"/>
      <c r="AN111" s="615"/>
      <c r="AO111" s="615"/>
      <c r="AP111" s="615"/>
      <c r="AQ111" s="615"/>
      <c r="AR111" s="615"/>
      <c r="AS111" s="615"/>
    </row>
    <row r="112" spans="12:45">
      <c r="L112" s="615"/>
      <c r="M112" s="615"/>
      <c r="AB112" s="615"/>
      <c r="AC112" s="615"/>
      <c r="AD112" s="615"/>
      <c r="AE112" s="615"/>
      <c r="AF112" s="615"/>
      <c r="AG112" s="615"/>
      <c r="AH112" s="615"/>
      <c r="AI112" s="615"/>
      <c r="AJ112" s="615"/>
      <c r="AK112" s="615"/>
      <c r="AL112" s="615"/>
      <c r="AM112" s="615"/>
      <c r="AN112" s="615"/>
      <c r="AO112" s="615"/>
      <c r="AP112" s="615"/>
      <c r="AQ112" s="615"/>
      <c r="AR112" s="615"/>
      <c r="AS112" s="615"/>
    </row>
    <row r="113" spans="12:45">
      <c r="L113" s="615"/>
      <c r="M113" s="615"/>
      <c r="AB113" s="615"/>
      <c r="AC113" s="615"/>
      <c r="AD113" s="615"/>
      <c r="AE113" s="615"/>
      <c r="AF113" s="615"/>
      <c r="AG113" s="615"/>
      <c r="AH113" s="615"/>
      <c r="AI113" s="615"/>
      <c r="AJ113" s="615"/>
      <c r="AK113" s="615"/>
      <c r="AL113" s="615"/>
      <c r="AM113" s="615"/>
      <c r="AN113" s="615"/>
      <c r="AO113" s="615"/>
      <c r="AP113" s="615"/>
      <c r="AQ113" s="615"/>
      <c r="AR113" s="615"/>
      <c r="AS113" s="615"/>
    </row>
    <row r="114" spans="12:45">
      <c r="L114" s="615"/>
      <c r="M114" s="615"/>
      <c r="AB114" s="615"/>
      <c r="AC114" s="615"/>
      <c r="AD114" s="615"/>
      <c r="AE114" s="615"/>
      <c r="AF114" s="615"/>
      <c r="AG114" s="615"/>
      <c r="AH114" s="615"/>
      <c r="AI114" s="615"/>
      <c r="AJ114" s="615"/>
      <c r="AK114" s="615"/>
      <c r="AL114" s="615"/>
      <c r="AM114" s="615"/>
      <c r="AN114" s="615"/>
      <c r="AO114" s="615"/>
      <c r="AP114" s="615"/>
      <c r="AQ114" s="615"/>
      <c r="AR114" s="615"/>
      <c r="AS114" s="615"/>
    </row>
    <row r="115" spans="12:45">
      <c r="L115" s="615"/>
      <c r="M115" s="615"/>
      <c r="AB115" s="615"/>
      <c r="AC115" s="615"/>
      <c r="AD115" s="615"/>
      <c r="AE115" s="615"/>
      <c r="AF115" s="615"/>
      <c r="AG115" s="615"/>
      <c r="AH115" s="615"/>
      <c r="AI115" s="615"/>
      <c r="AJ115" s="615"/>
      <c r="AK115" s="615"/>
      <c r="AL115" s="615"/>
      <c r="AM115" s="615"/>
      <c r="AN115" s="615"/>
      <c r="AO115" s="615"/>
      <c r="AP115" s="615"/>
      <c r="AQ115" s="615"/>
      <c r="AR115" s="615"/>
      <c r="AS115" s="615"/>
    </row>
    <row r="116" spans="12:45">
      <c r="L116" s="615"/>
      <c r="M116" s="615"/>
      <c r="AB116" s="615"/>
      <c r="AC116" s="615"/>
      <c r="AD116" s="615"/>
      <c r="AE116" s="615"/>
      <c r="AF116" s="615"/>
      <c r="AG116" s="615"/>
      <c r="AH116" s="615"/>
      <c r="AI116" s="615"/>
      <c r="AJ116" s="615"/>
      <c r="AK116" s="615"/>
      <c r="AL116" s="615"/>
      <c r="AM116" s="615"/>
      <c r="AN116" s="615"/>
      <c r="AO116" s="615"/>
      <c r="AP116" s="615"/>
      <c r="AQ116" s="615"/>
      <c r="AR116" s="615"/>
      <c r="AS116" s="615"/>
    </row>
    <row r="117" spans="12:45">
      <c r="L117" s="615"/>
      <c r="M117" s="615"/>
      <c r="AB117" s="615"/>
      <c r="AC117" s="615"/>
      <c r="AD117" s="615"/>
      <c r="AE117" s="615"/>
      <c r="AF117" s="615"/>
      <c r="AG117" s="615"/>
      <c r="AH117" s="615"/>
      <c r="AI117" s="615"/>
      <c r="AJ117" s="615"/>
      <c r="AK117" s="615"/>
      <c r="AL117" s="615"/>
      <c r="AM117" s="615"/>
      <c r="AN117" s="615"/>
      <c r="AO117" s="615"/>
      <c r="AP117" s="615"/>
      <c r="AQ117" s="615"/>
      <c r="AR117" s="615"/>
      <c r="AS117" s="615"/>
    </row>
    <row r="118" spans="12:45">
      <c r="L118" s="615"/>
      <c r="M118" s="615"/>
      <c r="AB118" s="615"/>
      <c r="AC118" s="615"/>
      <c r="AD118" s="615"/>
      <c r="AE118" s="615"/>
      <c r="AF118" s="615"/>
      <c r="AG118" s="615"/>
      <c r="AH118" s="615"/>
      <c r="AI118" s="615"/>
      <c r="AJ118" s="615"/>
      <c r="AK118" s="615"/>
      <c r="AL118" s="615"/>
      <c r="AM118" s="615"/>
      <c r="AN118" s="615"/>
      <c r="AO118" s="615"/>
      <c r="AP118" s="615"/>
      <c r="AQ118" s="615"/>
      <c r="AR118" s="615"/>
      <c r="AS118" s="615"/>
    </row>
    <row r="119" spans="12:45">
      <c r="L119" s="615"/>
      <c r="M119" s="615"/>
      <c r="AB119" s="615"/>
      <c r="AC119" s="615"/>
      <c r="AD119" s="615"/>
      <c r="AE119" s="615"/>
      <c r="AF119" s="615"/>
      <c r="AG119" s="615"/>
      <c r="AH119" s="615"/>
      <c r="AI119" s="615"/>
      <c r="AJ119" s="615"/>
      <c r="AK119" s="615"/>
      <c r="AL119" s="615"/>
      <c r="AM119" s="615"/>
      <c r="AN119" s="615"/>
      <c r="AO119" s="615"/>
      <c r="AP119" s="615"/>
      <c r="AQ119" s="615"/>
      <c r="AR119" s="615"/>
      <c r="AS119" s="615"/>
    </row>
    <row r="120" spans="12:45">
      <c r="L120" s="615"/>
      <c r="M120" s="615"/>
      <c r="AB120" s="615"/>
      <c r="AC120" s="615"/>
      <c r="AD120" s="615"/>
      <c r="AE120" s="615"/>
      <c r="AF120" s="615"/>
      <c r="AG120" s="615"/>
      <c r="AH120" s="615"/>
      <c r="AI120" s="615"/>
      <c r="AJ120" s="615"/>
      <c r="AK120" s="615"/>
      <c r="AL120" s="615"/>
      <c r="AM120" s="615"/>
      <c r="AN120" s="615"/>
      <c r="AO120" s="615"/>
      <c r="AP120" s="615"/>
      <c r="AQ120" s="615"/>
      <c r="AR120" s="615"/>
      <c r="AS120" s="615"/>
    </row>
    <row r="121" spans="12:45">
      <c r="L121" s="615"/>
      <c r="M121" s="615"/>
      <c r="AB121" s="615"/>
      <c r="AC121" s="615"/>
      <c r="AD121" s="615"/>
      <c r="AE121" s="615"/>
      <c r="AF121" s="615"/>
      <c r="AG121" s="615"/>
      <c r="AH121" s="615"/>
      <c r="AI121" s="615"/>
      <c r="AJ121" s="615"/>
      <c r="AK121" s="615"/>
      <c r="AL121" s="615"/>
      <c r="AM121" s="615"/>
      <c r="AN121" s="615"/>
      <c r="AO121" s="615"/>
      <c r="AP121" s="615"/>
      <c r="AQ121" s="615"/>
      <c r="AR121" s="615"/>
      <c r="AS121" s="615"/>
    </row>
    <row r="122" spans="12:45">
      <c r="L122" s="615"/>
      <c r="M122" s="615"/>
      <c r="AB122" s="615"/>
      <c r="AC122" s="615"/>
      <c r="AD122" s="615"/>
      <c r="AE122" s="615"/>
      <c r="AF122" s="615"/>
      <c r="AG122" s="615"/>
      <c r="AH122" s="615"/>
      <c r="AI122" s="615"/>
      <c r="AJ122" s="615"/>
      <c r="AK122" s="615"/>
      <c r="AL122" s="615"/>
      <c r="AM122" s="615"/>
      <c r="AN122" s="615"/>
      <c r="AO122" s="615"/>
      <c r="AP122" s="615"/>
      <c r="AQ122" s="615"/>
      <c r="AR122" s="615"/>
      <c r="AS122" s="615"/>
    </row>
    <row r="123" spans="12:45">
      <c r="L123" s="615"/>
      <c r="M123" s="615"/>
      <c r="AB123" s="615"/>
      <c r="AC123" s="615"/>
      <c r="AD123" s="615"/>
      <c r="AE123" s="615"/>
      <c r="AF123" s="615"/>
      <c r="AG123" s="615"/>
      <c r="AH123" s="615"/>
      <c r="AI123" s="615"/>
      <c r="AJ123" s="615"/>
      <c r="AK123" s="615"/>
      <c r="AL123" s="615"/>
      <c r="AM123" s="615"/>
      <c r="AN123" s="615"/>
      <c r="AO123" s="615"/>
      <c r="AP123" s="615"/>
      <c r="AQ123" s="615"/>
      <c r="AR123" s="615"/>
      <c r="AS123" s="615"/>
    </row>
    <row r="124" spans="12:45">
      <c r="L124" s="615"/>
      <c r="M124" s="615"/>
      <c r="AB124" s="615"/>
      <c r="AC124" s="615"/>
      <c r="AD124" s="615"/>
      <c r="AE124" s="615"/>
      <c r="AF124" s="615"/>
      <c r="AG124" s="615"/>
      <c r="AH124" s="615"/>
      <c r="AI124" s="615"/>
      <c r="AJ124" s="615"/>
      <c r="AK124" s="615"/>
      <c r="AL124" s="615"/>
      <c r="AM124" s="615"/>
      <c r="AN124" s="615"/>
      <c r="AO124" s="615"/>
      <c r="AP124" s="615"/>
      <c r="AQ124" s="615"/>
      <c r="AR124" s="615"/>
      <c r="AS124" s="615"/>
    </row>
    <row r="125" spans="12:45">
      <c r="L125" s="615"/>
      <c r="M125" s="615"/>
      <c r="AB125" s="615"/>
      <c r="AC125" s="615"/>
      <c r="AD125" s="615"/>
      <c r="AE125" s="615"/>
      <c r="AF125" s="615"/>
      <c r="AG125" s="615"/>
      <c r="AH125" s="615"/>
      <c r="AI125" s="615"/>
      <c r="AJ125" s="615"/>
      <c r="AK125" s="615"/>
      <c r="AL125" s="615"/>
      <c r="AM125" s="615"/>
      <c r="AN125" s="615"/>
      <c r="AO125" s="615"/>
      <c r="AP125" s="615"/>
      <c r="AQ125" s="615"/>
      <c r="AR125" s="615"/>
      <c r="AS125" s="615"/>
    </row>
    <row r="126" spans="12:45">
      <c r="L126" s="615"/>
      <c r="M126" s="615"/>
      <c r="AB126" s="615"/>
      <c r="AC126" s="615"/>
      <c r="AD126" s="615"/>
      <c r="AE126" s="615"/>
      <c r="AF126" s="615"/>
      <c r="AG126" s="615"/>
      <c r="AH126" s="615"/>
      <c r="AI126" s="615"/>
      <c r="AJ126" s="615"/>
      <c r="AK126" s="615"/>
      <c r="AL126" s="615"/>
      <c r="AM126" s="615"/>
      <c r="AN126" s="615"/>
      <c r="AO126" s="615"/>
      <c r="AP126" s="615"/>
      <c r="AQ126" s="615"/>
      <c r="AR126" s="615"/>
      <c r="AS126" s="615"/>
    </row>
    <row r="127" spans="12:45">
      <c r="L127" s="615"/>
      <c r="M127" s="615"/>
      <c r="AB127" s="615"/>
      <c r="AC127" s="615"/>
      <c r="AD127" s="615"/>
      <c r="AE127" s="615"/>
      <c r="AF127" s="615"/>
      <c r="AG127" s="615"/>
      <c r="AH127" s="615"/>
      <c r="AI127" s="615"/>
      <c r="AJ127" s="615"/>
      <c r="AK127" s="615"/>
      <c r="AL127" s="615"/>
      <c r="AM127" s="615"/>
      <c r="AN127" s="615"/>
      <c r="AO127" s="615"/>
      <c r="AP127" s="615"/>
      <c r="AQ127" s="615"/>
      <c r="AR127" s="615"/>
      <c r="AS127" s="615"/>
    </row>
    <row r="128" spans="12:45">
      <c r="L128" s="615"/>
      <c r="M128" s="615"/>
      <c r="AB128" s="615"/>
      <c r="AC128" s="615"/>
      <c r="AD128" s="615"/>
      <c r="AE128" s="615"/>
      <c r="AF128" s="615"/>
      <c r="AG128" s="615"/>
      <c r="AH128" s="615"/>
      <c r="AI128" s="615"/>
      <c r="AJ128" s="615"/>
      <c r="AK128" s="615"/>
      <c r="AL128" s="615"/>
      <c r="AM128" s="615"/>
      <c r="AN128" s="615"/>
      <c r="AO128" s="615"/>
      <c r="AP128" s="615"/>
      <c r="AQ128" s="615"/>
      <c r="AR128" s="615"/>
      <c r="AS128" s="615"/>
    </row>
    <row r="129" spans="12:45">
      <c r="L129" s="615"/>
      <c r="M129" s="615"/>
      <c r="AB129" s="615"/>
      <c r="AC129" s="615"/>
      <c r="AD129" s="615"/>
      <c r="AE129" s="615"/>
      <c r="AF129" s="615"/>
      <c r="AG129" s="615"/>
      <c r="AH129" s="615"/>
      <c r="AI129" s="615"/>
      <c r="AJ129" s="615"/>
      <c r="AK129" s="615"/>
      <c r="AL129" s="615"/>
      <c r="AM129" s="615"/>
      <c r="AN129" s="615"/>
      <c r="AO129" s="615"/>
      <c r="AP129" s="615"/>
      <c r="AQ129" s="615"/>
      <c r="AR129" s="615"/>
      <c r="AS129" s="615"/>
    </row>
    <row r="130" spans="12:45">
      <c r="L130" s="615"/>
      <c r="M130" s="615"/>
      <c r="AB130" s="615"/>
      <c r="AC130" s="615"/>
      <c r="AD130" s="615"/>
      <c r="AE130" s="615"/>
      <c r="AF130" s="615"/>
      <c r="AG130" s="615"/>
      <c r="AH130" s="615"/>
      <c r="AI130" s="615"/>
      <c r="AJ130" s="615"/>
      <c r="AK130" s="615"/>
      <c r="AL130" s="615"/>
      <c r="AM130" s="615"/>
      <c r="AN130" s="615"/>
      <c r="AO130" s="615"/>
      <c r="AP130" s="615"/>
      <c r="AQ130" s="615"/>
      <c r="AR130" s="615"/>
      <c r="AS130" s="615"/>
    </row>
    <row r="131" spans="12:45">
      <c r="L131" s="615"/>
      <c r="M131" s="615"/>
      <c r="AB131" s="615"/>
      <c r="AC131" s="615"/>
      <c r="AD131" s="615"/>
      <c r="AE131" s="615"/>
      <c r="AF131" s="615"/>
      <c r="AG131" s="615"/>
      <c r="AH131" s="615"/>
      <c r="AI131" s="615"/>
      <c r="AJ131" s="615"/>
      <c r="AK131" s="615"/>
      <c r="AL131" s="615"/>
      <c r="AM131" s="615"/>
      <c r="AN131" s="615"/>
      <c r="AO131" s="615"/>
      <c r="AP131" s="615"/>
      <c r="AQ131" s="615"/>
      <c r="AR131" s="615"/>
      <c r="AS131" s="615"/>
    </row>
    <row r="132" spans="12:45">
      <c r="L132" s="615"/>
      <c r="M132" s="615"/>
      <c r="AB132" s="615"/>
      <c r="AC132" s="615"/>
      <c r="AD132" s="615"/>
      <c r="AE132" s="615"/>
      <c r="AF132" s="615"/>
      <c r="AG132" s="615"/>
      <c r="AH132" s="615"/>
      <c r="AI132" s="615"/>
      <c r="AJ132" s="615"/>
      <c r="AK132" s="615"/>
      <c r="AL132" s="615"/>
      <c r="AM132" s="615"/>
      <c r="AN132" s="615"/>
      <c r="AO132" s="615"/>
      <c r="AP132" s="615"/>
      <c r="AQ132" s="615"/>
      <c r="AR132" s="615"/>
      <c r="AS132" s="615"/>
    </row>
    <row r="133" spans="12:45">
      <c r="L133" s="615"/>
      <c r="M133" s="615"/>
      <c r="AB133" s="615"/>
      <c r="AC133" s="615"/>
      <c r="AD133" s="615"/>
      <c r="AE133" s="615"/>
      <c r="AF133" s="615"/>
      <c r="AG133" s="615"/>
      <c r="AH133" s="615"/>
      <c r="AI133" s="615"/>
      <c r="AJ133" s="615"/>
      <c r="AK133" s="615"/>
      <c r="AL133" s="615"/>
      <c r="AM133" s="615"/>
      <c r="AN133" s="615"/>
      <c r="AO133" s="615"/>
      <c r="AP133" s="615"/>
      <c r="AQ133" s="615"/>
      <c r="AR133" s="615"/>
      <c r="AS133" s="615"/>
    </row>
    <row r="134" spans="12:45">
      <c r="L134" s="615"/>
      <c r="M134" s="615"/>
      <c r="AB134" s="615"/>
      <c r="AC134" s="615"/>
      <c r="AD134" s="615"/>
      <c r="AE134" s="615"/>
      <c r="AF134" s="615"/>
      <c r="AG134" s="615"/>
      <c r="AH134" s="615"/>
      <c r="AI134" s="615"/>
      <c r="AJ134" s="615"/>
      <c r="AK134" s="615"/>
      <c r="AL134" s="615"/>
      <c r="AM134" s="615"/>
      <c r="AN134" s="615"/>
      <c r="AO134" s="615"/>
      <c r="AP134" s="615"/>
      <c r="AQ134" s="615"/>
      <c r="AR134" s="615"/>
      <c r="AS134" s="615"/>
    </row>
    <row r="135" spans="12:45">
      <c r="L135" s="615"/>
      <c r="M135" s="615"/>
      <c r="AB135" s="615"/>
      <c r="AC135" s="615"/>
      <c r="AD135" s="615"/>
      <c r="AE135" s="615"/>
      <c r="AF135" s="615"/>
      <c r="AG135" s="615"/>
      <c r="AH135" s="615"/>
      <c r="AI135" s="615"/>
      <c r="AJ135" s="615"/>
      <c r="AK135" s="615"/>
      <c r="AL135" s="615"/>
      <c r="AM135" s="615"/>
      <c r="AN135" s="615"/>
      <c r="AO135" s="615"/>
      <c r="AP135" s="615"/>
      <c r="AQ135" s="615"/>
      <c r="AR135" s="615"/>
      <c r="AS135" s="615"/>
    </row>
    <row r="136" spans="12:45">
      <c r="L136" s="615"/>
      <c r="M136" s="615"/>
      <c r="AB136" s="615"/>
      <c r="AC136" s="615"/>
      <c r="AD136" s="615"/>
      <c r="AE136" s="615"/>
      <c r="AF136" s="615"/>
      <c r="AG136" s="615"/>
      <c r="AH136" s="615"/>
      <c r="AI136" s="615"/>
      <c r="AJ136" s="615"/>
      <c r="AK136" s="615"/>
      <c r="AL136" s="615"/>
      <c r="AM136" s="615"/>
      <c r="AN136" s="615"/>
      <c r="AO136" s="615"/>
      <c r="AP136" s="615"/>
      <c r="AQ136" s="615"/>
      <c r="AR136" s="615"/>
      <c r="AS136" s="615"/>
    </row>
    <row r="137" spans="12:45">
      <c r="L137" s="615"/>
      <c r="M137" s="615"/>
      <c r="AB137" s="615"/>
      <c r="AC137" s="615"/>
      <c r="AD137" s="615"/>
      <c r="AE137" s="615"/>
      <c r="AF137" s="615"/>
      <c r="AG137" s="615"/>
      <c r="AH137" s="615"/>
      <c r="AI137" s="615"/>
      <c r="AJ137" s="615"/>
      <c r="AK137" s="615"/>
      <c r="AL137" s="615"/>
      <c r="AM137" s="615"/>
      <c r="AN137" s="615"/>
      <c r="AO137" s="615"/>
      <c r="AP137" s="615"/>
      <c r="AQ137" s="615"/>
      <c r="AR137" s="615"/>
      <c r="AS137" s="615"/>
    </row>
    <row r="138" spans="12:45">
      <c r="L138" s="615"/>
      <c r="M138" s="615"/>
      <c r="AB138" s="615"/>
      <c r="AC138" s="615"/>
      <c r="AD138" s="615"/>
      <c r="AE138" s="615"/>
      <c r="AF138" s="615"/>
      <c r="AG138" s="615"/>
      <c r="AH138" s="615"/>
      <c r="AI138" s="615"/>
      <c r="AJ138" s="615"/>
      <c r="AK138" s="615"/>
      <c r="AL138" s="615"/>
      <c r="AM138" s="615"/>
      <c r="AN138" s="615"/>
      <c r="AO138" s="615"/>
      <c r="AP138" s="615"/>
      <c r="AQ138" s="615"/>
      <c r="AR138" s="615"/>
      <c r="AS138" s="615"/>
    </row>
    <row r="139" spans="12:45">
      <c r="L139" s="615"/>
      <c r="M139" s="615"/>
      <c r="AB139" s="615"/>
      <c r="AC139" s="615"/>
      <c r="AD139" s="615"/>
      <c r="AE139" s="615"/>
      <c r="AF139" s="615"/>
      <c r="AG139" s="615"/>
      <c r="AH139" s="615"/>
      <c r="AI139" s="615"/>
      <c r="AJ139" s="615"/>
      <c r="AK139" s="615"/>
      <c r="AL139" s="615"/>
      <c r="AM139" s="615"/>
      <c r="AN139" s="615"/>
      <c r="AO139" s="615"/>
      <c r="AP139" s="615"/>
      <c r="AQ139" s="615"/>
      <c r="AR139" s="615"/>
      <c r="AS139" s="615"/>
    </row>
    <row r="140" spans="12:45">
      <c r="L140" s="615"/>
      <c r="M140" s="615"/>
      <c r="AB140" s="615"/>
      <c r="AC140" s="615"/>
      <c r="AD140" s="615"/>
      <c r="AE140" s="615"/>
      <c r="AF140" s="615"/>
      <c r="AG140" s="615"/>
      <c r="AH140" s="615"/>
      <c r="AI140" s="615"/>
      <c r="AJ140" s="615"/>
      <c r="AK140" s="615"/>
      <c r="AL140" s="615"/>
      <c r="AM140" s="615"/>
      <c r="AN140" s="615"/>
      <c r="AO140" s="615"/>
      <c r="AP140" s="615"/>
      <c r="AQ140" s="615"/>
      <c r="AR140" s="615"/>
      <c r="AS140" s="615"/>
    </row>
    <row r="141" spans="12:45">
      <c r="L141" s="615"/>
      <c r="M141" s="615"/>
      <c r="AB141" s="615"/>
      <c r="AC141" s="615"/>
      <c r="AD141" s="615"/>
      <c r="AE141" s="615"/>
      <c r="AF141" s="615"/>
      <c r="AG141" s="615"/>
      <c r="AH141" s="615"/>
      <c r="AI141" s="615"/>
      <c r="AJ141" s="615"/>
      <c r="AK141" s="615"/>
      <c r="AL141" s="615"/>
      <c r="AM141" s="615"/>
      <c r="AN141" s="615"/>
      <c r="AO141" s="615"/>
      <c r="AP141" s="615"/>
      <c r="AQ141" s="615"/>
      <c r="AR141" s="615"/>
      <c r="AS141" s="615"/>
    </row>
    <row r="142" spans="12:45">
      <c r="L142" s="615"/>
      <c r="M142" s="615"/>
      <c r="AB142" s="615"/>
      <c r="AC142" s="615"/>
      <c r="AD142" s="615"/>
      <c r="AE142" s="615"/>
      <c r="AF142" s="615"/>
      <c r="AG142" s="615"/>
      <c r="AH142" s="615"/>
      <c r="AI142" s="615"/>
      <c r="AJ142" s="615"/>
      <c r="AK142" s="615"/>
      <c r="AL142" s="615"/>
      <c r="AM142" s="615"/>
      <c r="AN142" s="615"/>
      <c r="AO142" s="615"/>
      <c r="AP142" s="615"/>
      <c r="AQ142" s="615"/>
      <c r="AR142" s="615"/>
      <c r="AS142" s="615"/>
    </row>
    <row r="143" spans="12:45">
      <c r="L143" s="615"/>
      <c r="M143" s="615"/>
      <c r="AB143" s="615"/>
      <c r="AC143" s="615"/>
      <c r="AD143" s="615"/>
      <c r="AE143" s="615"/>
      <c r="AF143" s="615"/>
      <c r="AG143" s="615"/>
      <c r="AH143" s="615"/>
      <c r="AI143" s="615"/>
      <c r="AJ143" s="615"/>
      <c r="AK143" s="615"/>
      <c r="AL143" s="615"/>
      <c r="AM143" s="615"/>
      <c r="AN143" s="615"/>
      <c r="AO143" s="615"/>
      <c r="AP143" s="615"/>
      <c r="AQ143" s="615"/>
      <c r="AR143" s="615"/>
      <c r="AS143" s="615"/>
    </row>
    <row r="144" spans="12:45">
      <c r="L144" s="615"/>
      <c r="M144" s="615"/>
      <c r="AB144" s="615"/>
      <c r="AC144" s="615"/>
      <c r="AD144" s="615"/>
      <c r="AE144" s="615"/>
      <c r="AF144" s="615"/>
      <c r="AG144" s="615"/>
      <c r="AH144" s="615"/>
      <c r="AI144" s="615"/>
      <c r="AJ144" s="615"/>
      <c r="AK144" s="615"/>
      <c r="AL144" s="615"/>
      <c r="AM144" s="615"/>
      <c r="AN144" s="615"/>
      <c r="AO144" s="615"/>
      <c r="AP144" s="615"/>
      <c r="AQ144" s="615"/>
      <c r="AR144" s="615"/>
      <c r="AS144" s="615"/>
    </row>
    <row r="145" spans="12:45">
      <c r="L145" s="615"/>
      <c r="M145" s="615"/>
      <c r="AB145" s="615"/>
      <c r="AC145" s="615"/>
      <c r="AD145" s="615"/>
      <c r="AE145" s="615"/>
      <c r="AF145" s="615"/>
      <c r="AG145" s="615"/>
      <c r="AH145" s="615"/>
      <c r="AI145" s="615"/>
      <c r="AJ145" s="615"/>
      <c r="AK145" s="615"/>
      <c r="AL145" s="615"/>
      <c r="AM145" s="615"/>
      <c r="AN145" s="615"/>
      <c r="AO145" s="615"/>
      <c r="AP145" s="615"/>
      <c r="AQ145" s="615"/>
      <c r="AR145" s="615"/>
      <c r="AS145" s="615"/>
    </row>
    <row r="146" spans="12:45">
      <c r="L146" s="615"/>
      <c r="M146" s="615"/>
      <c r="AB146" s="615"/>
      <c r="AC146" s="615"/>
      <c r="AD146" s="615"/>
      <c r="AE146" s="615"/>
      <c r="AF146" s="615"/>
      <c r="AG146" s="615"/>
      <c r="AH146" s="615"/>
      <c r="AI146" s="615"/>
      <c r="AJ146" s="615"/>
      <c r="AK146" s="615"/>
      <c r="AL146" s="615"/>
      <c r="AM146" s="615"/>
      <c r="AN146" s="615"/>
      <c r="AO146" s="615"/>
      <c r="AP146" s="615"/>
      <c r="AQ146" s="615"/>
      <c r="AR146" s="615"/>
      <c r="AS146" s="615"/>
    </row>
    <row r="147" spans="12:45">
      <c r="L147" s="615"/>
      <c r="M147" s="615"/>
      <c r="AB147" s="615"/>
      <c r="AC147" s="615"/>
      <c r="AD147" s="615"/>
      <c r="AE147" s="615"/>
      <c r="AF147" s="615"/>
      <c r="AG147" s="615"/>
      <c r="AH147" s="615"/>
      <c r="AI147" s="615"/>
      <c r="AJ147" s="615"/>
      <c r="AK147" s="615"/>
      <c r="AL147" s="615"/>
      <c r="AM147" s="615"/>
      <c r="AN147" s="615"/>
      <c r="AO147" s="615"/>
      <c r="AP147" s="615"/>
      <c r="AQ147" s="615"/>
      <c r="AR147" s="615"/>
      <c r="AS147" s="615"/>
    </row>
    <row r="148" spans="12:45">
      <c r="L148" s="615"/>
      <c r="M148" s="615"/>
      <c r="AB148" s="615"/>
      <c r="AC148" s="615"/>
      <c r="AD148" s="615"/>
      <c r="AE148" s="615"/>
      <c r="AF148" s="615"/>
      <c r="AG148" s="615"/>
      <c r="AH148" s="615"/>
      <c r="AI148" s="615"/>
      <c r="AJ148" s="615"/>
      <c r="AK148" s="615"/>
      <c r="AL148" s="615"/>
      <c r="AM148" s="615"/>
      <c r="AN148" s="615"/>
      <c r="AO148" s="615"/>
      <c r="AP148" s="615"/>
      <c r="AQ148" s="615"/>
      <c r="AR148" s="615"/>
      <c r="AS148" s="615"/>
    </row>
    <row r="149" spans="12:45">
      <c r="L149" s="615"/>
      <c r="M149" s="615"/>
      <c r="AB149" s="615"/>
      <c r="AC149" s="615"/>
      <c r="AD149" s="615"/>
      <c r="AE149" s="615"/>
      <c r="AF149" s="615"/>
      <c r="AG149" s="615"/>
      <c r="AH149" s="615"/>
      <c r="AI149" s="615"/>
      <c r="AJ149" s="615"/>
      <c r="AK149" s="615"/>
      <c r="AL149" s="615"/>
      <c r="AM149" s="615"/>
      <c r="AN149" s="615"/>
      <c r="AO149" s="615"/>
      <c r="AP149" s="615"/>
      <c r="AQ149" s="615"/>
      <c r="AR149" s="615"/>
      <c r="AS149" s="615"/>
    </row>
    <row r="150" spans="12:45">
      <c r="L150" s="615"/>
      <c r="M150" s="615"/>
      <c r="AB150" s="615"/>
      <c r="AC150" s="615"/>
      <c r="AD150" s="615"/>
      <c r="AE150" s="615"/>
      <c r="AF150" s="615"/>
      <c r="AG150" s="615"/>
      <c r="AH150" s="615"/>
      <c r="AI150" s="615"/>
      <c r="AJ150" s="615"/>
      <c r="AK150" s="615"/>
      <c r="AL150" s="615"/>
      <c r="AM150" s="615"/>
      <c r="AN150" s="615"/>
      <c r="AO150" s="615"/>
      <c r="AP150" s="615"/>
      <c r="AQ150" s="615"/>
      <c r="AR150" s="615"/>
      <c r="AS150" s="615"/>
    </row>
    <row r="151" spans="12:45">
      <c r="L151" s="615"/>
      <c r="M151" s="615"/>
      <c r="AB151" s="615"/>
      <c r="AC151" s="615"/>
      <c r="AD151" s="615"/>
      <c r="AE151" s="615"/>
      <c r="AF151" s="615"/>
      <c r="AG151" s="615"/>
      <c r="AH151" s="615"/>
      <c r="AI151" s="615"/>
      <c r="AJ151" s="615"/>
      <c r="AK151" s="615"/>
      <c r="AL151" s="615"/>
      <c r="AM151" s="615"/>
      <c r="AN151" s="615"/>
      <c r="AO151" s="615"/>
      <c r="AP151" s="615"/>
      <c r="AQ151" s="615"/>
      <c r="AR151" s="615"/>
      <c r="AS151" s="615"/>
    </row>
    <row r="152" spans="12:45">
      <c r="L152" s="615"/>
      <c r="M152" s="615"/>
      <c r="AB152" s="615"/>
      <c r="AC152" s="615"/>
      <c r="AD152" s="615"/>
      <c r="AE152" s="615"/>
      <c r="AF152" s="615"/>
      <c r="AG152" s="615"/>
      <c r="AH152" s="615"/>
      <c r="AI152" s="615"/>
      <c r="AJ152" s="615"/>
      <c r="AK152" s="615"/>
      <c r="AL152" s="615"/>
      <c r="AM152" s="615"/>
      <c r="AN152" s="615"/>
      <c r="AO152" s="615"/>
      <c r="AP152" s="615"/>
      <c r="AQ152" s="615"/>
      <c r="AR152" s="615"/>
      <c r="AS152" s="615"/>
    </row>
    <row r="153" spans="12:45">
      <c r="L153" s="615"/>
      <c r="M153" s="615"/>
      <c r="AB153" s="615"/>
      <c r="AC153" s="615"/>
      <c r="AD153" s="615"/>
      <c r="AE153" s="615"/>
      <c r="AF153" s="615"/>
      <c r="AG153" s="615"/>
      <c r="AH153" s="615"/>
      <c r="AI153" s="615"/>
      <c r="AJ153" s="615"/>
      <c r="AK153" s="615"/>
      <c r="AL153" s="615"/>
      <c r="AM153" s="615"/>
      <c r="AN153" s="615"/>
      <c r="AO153" s="615"/>
      <c r="AP153" s="615"/>
      <c r="AQ153" s="615"/>
      <c r="AR153" s="615"/>
      <c r="AS153" s="615"/>
    </row>
    <row r="154" spans="12:45">
      <c r="L154" s="615"/>
      <c r="M154" s="615"/>
      <c r="AB154" s="615"/>
      <c r="AC154" s="615"/>
      <c r="AD154" s="615"/>
      <c r="AE154" s="615"/>
      <c r="AF154" s="615"/>
      <c r="AG154" s="615"/>
      <c r="AH154" s="615"/>
      <c r="AI154" s="615"/>
      <c r="AJ154" s="615"/>
      <c r="AK154" s="615"/>
      <c r="AL154" s="615"/>
      <c r="AM154" s="615"/>
      <c r="AN154" s="615"/>
      <c r="AO154" s="615"/>
      <c r="AP154" s="615"/>
      <c r="AQ154" s="615"/>
      <c r="AR154" s="615"/>
      <c r="AS154" s="615"/>
    </row>
    <row r="155" spans="12:45">
      <c r="L155" s="615"/>
      <c r="M155" s="615"/>
      <c r="AB155" s="615"/>
      <c r="AC155" s="615"/>
      <c r="AD155" s="615"/>
      <c r="AE155" s="615"/>
      <c r="AF155" s="615"/>
      <c r="AG155" s="615"/>
      <c r="AH155" s="615"/>
      <c r="AI155" s="615"/>
      <c r="AJ155" s="615"/>
      <c r="AK155" s="615"/>
      <c r="AL155" s="615"/>
      <c r="AM155" s="615"/>
      <c r="AN155" s="615"/>
      <c r="AO155" s="615"/>
      <c r="AP155" s="615"/>
      <c r="AQ155" s="615"/>
      <c r="AR155" s="615"/>
      <c r="AS155" s="615"/>
    </row>
    <row r="156" spans="12:45">
      <c r="L156" s="615"/>
      <c r="M156" s="615"/>
      <c r="AB156" s="615"/>
      <c r="AC156" s="615"/>
      <c r="AD156" s="615"/>
      <c r="AE156" s="615"/>
      <c r="AF156" s="615"/>
      <c r="AG156" s="615"/>
      <c r="AH156" s="615"/>
      <c r="AI156" s="615"/>
      <c r="AJ156" s="615"/>
      <c r="AK156" s="615"/>
      <c r="AL156" s="615"/>
      <c r="AM156" s="615"/>
      <c r="AN156" s="615"/>
      <c r="AO156" s="615"/>
      <c r="AP156" s="615"/>
      <c r="AQ156" s="615"/>
      <c r="AR156" s="615"/>
      <c r="AS156" s="615"/>
    </row>
    <row r="157" spans="12:45">
      <c r="L157" s="615"/>
      <c r="M157" s="615"/>
      <c r="AB157" s="615"/>
      <c r="AC157" s="615"/>
      <c r="AD157" s="615"/>
      <c r="AE157" s="615"/>
      <c r="AF157" s="615"/>
      <c r="AG157" s="615"/>
      <c r="AH157" s="615"/>
      <c r="AI157" s="615"/>
      <c r="AJ157" s="615"/>
      <c r="AK157" s="615"/>
      <c r="AL157" s="615"/>
      <c r="AM157" s="615"/>
      <c r="AN157" s="615"/>
      <c r="AO157" s="615"/>
      <c r="AP157" s="615"/>
      <c r="AQ157" s="615"/>
      <c r="AR157" s="615"/>
      <c r="AS157" s="615"/>
    </row>
    <row r="158" spans="12:45">
      <c r="L158" s="615"/>
      <c r="M158" s="615"/>
      <c r="AB158" s="615"/>
      <c r="AC158" s="615"/>
      <c r="AD158" s="615"/>
      <c r="AE158" s="615"/>
      <c r="AF158" s="615"/>
      <c r="AG158" s="615"/>
      <c r="AH158" s="615"/>
      <c r="AI158" s="615"/>
      <c r="AJ158" s="615"/>
      <c r="AK158" s="615"/>
      <c r="AL158" s="615"/>
      <c r="AM158" s="615"/>
      <c r="AN158" s="615"/>
      <c r="AO158" s="615"/>
      <c r="AP158" s="615"/>
      <c r="AQ158" s="615"/>
      <c r="AR158" s="615"/>
      <c r="AS158" s="615"/>
    </row>
    <row r="159" spans="12:45">
      <c r="L159" s="615"/>
      <c r="M159" s="615"/>
      <c r="AB159" s="615"/>
      <c r="AC159" s="615"/>
      <c r="AD159" s="615"/>
      <c r="AE159" s="615"/>
      <c r="AF159" s="615"/>
      <c r="AG159" s="615"/>
      <c r="AH159" s="615"/>
      <c r="AI159" s="615"/>
      <c r="AJ159" s="615"/>
      <c r="AK159" s="615"/>
      <c r="AL159" s="615"/>
      <c r="AM159" s="615"/>
      <c r="AN159" s="615"/>
      <c r="AO159" s="615"/>
      <c r="AP159" s="615"/>
      <c r="AQ159" s="615"/>
      <c r="AR159" s="615"/>
      <c r="AS159" s="615"/>
    </row>
    <row r="160" spans="12:45">
      <c r="L160" s="615"/>
      <c r="M160" s="615"/>
      <c r="AB160" s="615"/>
      <c r="AC160" s="615"/>
      <c r="AD160" s="615"/>
      <c r="AE160" s="615"/>
      <c r="AF160" s="615"/>
      <c r="AG160" s="615"/>
      <c r="AH160" s="615"/>
      <c r="AI160" s="615"/>
      <c r="AJ160" s="615"/>
      <c r="AK160" s="615"/>
      <c r="AL160" s="615"/>
      <c r="AM160" s="615"/>
      <c r="AN160" s="615"/>
      <c r="AO160" s="615"/>
      <c r="AP160" s="615"/>
      <c r="AQ160" s="615"/>
      <c r="AR160" s="615"/>
      <c r="AS160" s="615"/>
    </row>
    <row r="161" spans="12:45">
      <c r="L161" s="615"/>
      <c r="M161" s="615"/>
      <c r="AB161" s="615"/>
      <c r="AC161" s="615"/>
      <c r="AD161" s="615"/>
      <c r="AE161" s="615"/>
      <c r="AF161" s="615"/>
      <c r="AG161" s="615"/>
      <c r="AH161" s="615"/>
      <c r="AI161" s="615"/>
      <c r="AJ161" s="615"/>
      <c r="AK161" s="615"/>
      <c r="AL161" s="615"/>
      <c r="AM161" s="615"/>
      <c r="AN161" s="615"/>
      <c r="AO161" s="615"/>
      <c r="AP161" s="615"/>
      <c r="AQ161" s="615"/>
      <c r="AR161" s="615"/>
      <c r="AS161" s="615"/>
    </row>
    <row r="162" spans="12:45">
      <c r="L162" s="615"/>
      <c r="M162" s="615"/>
      <c r="AB162" s="615"/>
      <c r="AC162" s="615"/>
      <c r="AD162" s="615"/>
      <c r="AE162" s="615"/>
      <c r="AF162" s="615"/>
      <c r="AG162" s="615"/>
      <c r="AH162" s="615"/>
      <c r="AI162" s="615"/>
      <c r="AJ162" s="615"/>
      <c r="AK162" s="615"/>
      <c r="AL162" s="615"/>
      <c r="AM162" s="615"/>
      <c r="AN162" s="615"/>
      <c r="AO162" s="615"/>
      <c r="AP162" s="615"/>
      <c r="AQ162" s="615"/>
      <c r="AR162" s="615"/>
      <c r="AS162" s="615"/>
    </row>
    <row r="163" spans="12:45">
      <c r="L163" s="615"/>
      <c r="M163" s="615"/>
      <c r="AB163" s="615"/>
      <c r="AC163" s="615"/>
      <c r="AD163" s="615"/>
      <c r="AE163" s="615"/>
      <c r="AF163" s="615"/>
      <c r="AG163" s="615"/>
      <c r="AH163" s="615"/>
      <c r="AI163" s="615"/>
      <c r="AJ163" s="615"/>
      <c r="AK163" s="615"/>
      <c r="AL163" s="615"/>
      <c r="AM163" s="615"/>
      <c r="AN163" s="615"/>
      <c r="AO163" s="615"/>
      <c r="AP163" s="615"/>
      <c r="AQ163" s="615"/>
      <c r="AR163" s="615"/>
      <c r="AS163" s="615"/>
    </row>
    <row r="164" spans="12:45">
      <c r="L164" s="615"/>
      <c r="M164" s="615"/>
      <c r="AB164" s="615"/>
      <c r="AC164" s="615"/>
      <c r="AD164" s="615"/>
      <c r="AE164" s="615"/>
      <c r="AF164" s="615"/>
      <c r="AG164" s="615"/>
      <c r="AH164" s="615"/>
      <c r="AI164" s="615"/>
      <c r="AJ164" s="615"/>
      <c r="AK164" s="615"/>
      <c r="AL164" s="615"/>
      <c r="AM164" s="615"/>
      <c r="AN164" s="615"/>
      <c r="AO164" s="615"/>
      <c r="AP164" s="615"/>
      <c r="AQ164" s="615"/>
      <c r="AR164" s="615"/>
      <c r="AS164" s="615"/>
    </row>
    <row r="165" spans="12:45">
      <c r="L165" s="615"/>
      <c r="M165" s="615"/>
      <c r="AB165" s="615"/>
      <c r="AC165" s="615"/>
      <c r="AD165" s="615"/>
      <c r="AE165" s="615"/>
      <c r="AF165" s="615"/>
      <c r="AG165" s="615"/>
      <c r="AH165" s="615"/>
      <c r="AI165" s="615"/>
      <c r="AJ165" s="615"/>
      <c r="AK165" s="615"/>
      <c r="AL165" s="615"/>
      <c r="AM165" s="615"/>
      <c r="AN165" s="615"/>
      <c r="AO165" s="615"/>
      <c r="AP165" s="615"/>
      <c r="AQ165" s="615"/>
      <c r="AR165" s="615"/>
      <c r="AS165" s="615"/>
    </row>
    <row r="166" spans="12:45">
      <c r="L166" s="615"/>
      <c r="M166" s="615"/>
      <c r="AB166" s="615"/>
      <c r="AC166" s="615"/>
      <c r="AD166" s="615"/>
      <c r="AE166" s="615"/>
      <c r="AF166" s="615"/>
      <c r="AG166" s="615"/>
      <c r="AH166" s="615"/>
      <c r="AI166" s="615"/>
      <c r="AJ166" s="615"/>
      <c r="AK166" s="615"/>
      <c r="AL166" s="615"/>
      <c r="AM166" s="615"/>
      <c r="AN166" s="615"/>
      <c r="AO166" s="615"/>
      <c r="AP166" s="615"/>
      <c r="AQ166" s="615"/>
      <c r="AR166" s="615"/>
      <c r="AS166" s="615"/>
    </row>
    <row r="167" spans="12:45">
      <c r="L167" s="615"/>
      <c r="M167" s="615"/>
      <c r="AB167" s="615"/>
      <c r="AC167" s="615"/>
      <c r="AD167" s="615"/>
      <c r="AE167" s="615"/>
      <c r="AF167" s="615"/>
      <c r="AG167" s="615"/>
      <c r="AH167" s="615"/>
      <c r="AI167" s="615"/>
      <c r="AJ167" s="615"/>
      <c r="AK167" s="615"/>
      <c r="AL167" s="615"/>
      <c r="AM167" s="615"/>
      <c r="AN167" s="615"/>
      <c r="AO167" s="615"/>
      <c r="AP167" s="615"/>
      <c r="AQ167" s="615"/>
      <c r="AR167" s="615"/>
      <c r="AS167" s="615"/>
    </row>
    <row r="168" spans="12:45">
      <c r="L168" s="615"/>
      <c r="M168" s="615"/>
      <c r="AB168" s="615"/>
      <c r="AC168" s="615"/>
      <c r="AD168" s="615"/>
      <c r="AE168" s="615"/>
      <c r="AF168" s="615"/>
      <c r="AG168" s="615"/>
      <c r="AH168" s="615"/>
      <c r="AI168" s="615"/>
      <c r="AJ168" s="615"/>
      <c r="AK168" s="615"/>
      <c r="AL168" s="615"/>
      <c r="AM168" s="615"/>
      <c r="AN168" s="615"/>
      <c r="AO168" s="615"/>
      <c r="AP168" s="615"/>
      <c r="AQ168" s="615"/>
      <c r="AR168" s="615"/>
      <c r="AS168" s="615"/>
    </row>
    <row r="169" spans="12:45">
      <c r="L169" s="615"/>
      <c r="M169" s="615"/>
      <c r="AB169" s="615"/>
      <c r="AC169" s="615"/>
      <c r="AD169" s="615"/>
      <c r="AE169" s="615"/>
      <c r="AF169" s="615"/>
      <c r="AG169" s="615"/>
      <c r="AH169" s="615"/>
      <c r="AI169" s="615"/>
      <c r="AJ169" s="615"/>
      <c r="AK169" s="615"/>
      <c r="AL169" s="615"/>
      <c r="AM169" s="615"/>
      <c r="AN169" s="615"/>
      <c r="AO169" s="615"/>
      <c r="AP169" s="615"/>
      <c r="AQ169" s="615"/>
      <c r="AR169" s="615"/>
      <c r="AS169" s="615"/>
    </row>
    <row r="170" spans="12:45">
      <c r="L170" s="615"/>
      <c r="M170" s="615"/>
      <c r="AB170" s="615"/>
      <c r="AC170" s="615"/>
      <c r="AD170" s="615"/>
      <c r="AE170" s="615"/>
      <c r="AF170" s="615"/>
      <c r="AG170" s="615"/>
      <c r="AH170" s="615"/>
      <c r="AI170" s="615"/>
      <c r="AJ170" s="615"/>
      <c r="AK170" s="615"/>
      <c r="AL170" s="615"/>
      <c r="AM170" s="615"/>
      <c r="AN170" s="615"/>
      <c r="AO170" s="615"/>
      <c r="AP170" s="615"/>
      <c r="AQ170" s="615"/>
      <c r="AR170" s="615"/>
      <c r="AS170" s="615"/>
    </row>
    <row r="171" spans="12:45">
      <c r="L171" s="615"/>
      <c r="M171" s="615"/>
      <c r="AB171" s="615"/>
      <c r="AC171" s="615"/>
      <c r="AD171" s="615"/>
      <c r="AE171" s="615"/>
      <c r="AF171" s="615"/>
      <c r="AG171" s="615"/>
      <c r="AH171" s="615"/>
      <c r="AI171" s="615"/>
      <c r="AJ171" s="615"/>
      <c r="AK171" s="615"/>
      <c r="AL171" s="615"/>
      <c r="AM171" s="615"/>
      <c r="AN171" s="615"/>
      <c r="AO171" s="615"/>
      <c r="AP171" s="615"/>
      <c r="AQ171" s="615"/>
      <c r="AR171" s="615"/>
      <c r="AS171" s="615"/>
    </row>
    <row r="172" spans="12:45">
      <c r="L172" s="615"/>
      <c r="M172" s="615"/>
      <c r="AB172" s="615"/>
      <c r="AC172" s="615"/>
      <c r="AD172" s="615"/>
      <c r="AE172" s="615"/>
      <c r="AF172" s="615"/>
      <c r="AG172" s="615"/>
      <c r="AH172" s="615"/>
      <c r="AI172" s="615"/>
      <c r="AJ172" s="615"/>
      <c r="AK172" s="615"/>
      <c r="AL172" s="615"/>
      <c r="AM172" s="615"/>
      <c r="AN172" s="615"/>
      <c r="AO172" s="615"/>
      <c r="AP172" s="615"/>
      <c r="AQ172" s="615"/>
      <c r="AR172" s="615"/>
      <c r="AS172" s="615"/>
    </row>
    <row r="173" spans="12:45">
      <c r="L173" s="615"/>
      <c r="M173" s="615"/>
      <c r="AB173" s="615"/>
      <c r="AC173" s="615"/>
      <c r="AD173" s="615"/>
      <c r="AE173" s="615"/>
      <c r="AF173" s="615"/>
      <c r="AG173" s="615"/>
      <c r="AH173" s="615"/>
      <c r="AI173" s="615"/>
      <c r="AJ173" s="615"/>
      <c r="AK173" s="615"/>
      <c r="AL173" s="615"/>
      <c r="AM173" s="615"/>
      <c r="AN173" s="615"/>
      <c r="AO173" s="615"/>
      <c r="AP173" s="615"/>
      <c r="AQ173" s="615"/>
      <c r="AR173" s="615"/>
      <c r="AS173" s="615"/>
    </row>
    <row r="174" spans="12:45">
      <c r="L174" s="615"/>
      <c r="M174" s="615"/>
      <c r="AB174" s="615"/>
      <c r="AC174" s="615"/>
      <c r="AD174" s="615"/>
      <c r="AE174" s="615"/>
      <c r="AF174" s="615"/>
      <c r="AG174" s="615"/>
      <c r="AH174" s="615"/>
      <c r="AI174" s="615"/>
      <c r="AJ174" s="615"/>
      <c r="AK174" s="615"/>
      <c r="AL174" s="615"/>
      <c r="AM174" s="615"/>
      <c r="AN174" s="615"/>
      <c r="AO174" s="615"/>
      <c r="AP174" s="615"/>
      <c r="AQ174" s="615"/>
      <c r="AR174" s="615"/>
      <c r="AS174" s="615"/>
    </row>
    <row r="175" spans="12:45">
      <c r="L175" s="615"/>
      <c r="M175" s="615"/>
      <c r="AB175" s="615"/>
      <c r="AC175" s="615"/>
      <c r="AD175" s="615"/>
      <c r="AE175" s="615"/>
      <c r="AF175" s="615"/>
      <c r="AG175" s="615"/>
      <c r="AH175" s="615"/>
      <c r="AI175" s="615"/>
      <c r="AJ175" s="615"/>
      <c r="AK175" s="615"/>
      <c r="AL175" s="615"/>
      <c r="AM175" s="615"/>
      <c r="AN175" s="615"/>
      <c r="AO175" s="615"/>
      <c r="AP175" s="615"/>
      <c r="AQ175" s="615"/>
      <c r="AR175" s="615"/>
      <c r="AS175" s="615"/>
    </row>
    <row r="176" spans="12:45">
      <c r="L176" s="615"/>
      <c r="M176" s="615"/>
      <c r="AB176" s="615"/>
      <c r="AC176" s="615"/>
      <c r="AD176" s="615"/>
      <c r="AE176" s="615"/>
      <c r="AF176" s="615"/>
      <c r="AG176" s="615"/>
      <c r="AH176" s="615"/>
      <c r="AI176" s="615"/>
      <c r="AJ176" s="615"/>
      <c r="AK176" s="615"/>
      <c r="AL176" s="615"/>
      <c r="AM176" s="615"/>
      <c r="AN176" s="615"/>
      <c r="AO176" s="615"/>
      <c r="AP176" s="615"/>
      <c r="AQ176" s="615"/>
      <c r="AR176" s="615"/>
      <c r="AS176" s="615"/>
    </row>
    <row r="177" spans="12:45">
      <c r="L177" s="615"/>
      <c r="M177" s="615"/>
      <c r="AB177" s="615"/>
      <c r="AC177" s="615"/>
      <c r="AD177" s="615"/>
      <c r="AE177" s="615"/>
      <c r="AF177" s="615"/>
      <c r="AG177" s="615"/>
      <c r="AH177" s="615"/>
      <c r="AI177" s="615"/>
      <c r="AJ177" s="615"/>
      <c r="AK177" s="615"/>
      <c r="AL177" s="615"/>
      <c r="AM177" s="615"/>
      <c r="AN177" s="615"/>
      <c r="AO177" s="615"/>
      <c r="AP177" s="615"/>
      <c r="AQ177" s="615"/>
      <c r="AR177" s="615"/>
      <c r="AS177" s="615"/>
    </row>
    <row r="178" spans="12:45">
      <c r="L178" s="615"/>
      <c r="M178" s="615"/>
      <c r="AB178" s="615"/>
      <c r="AC178" s="615"/>
      <c r="AD178" s="615"/>
      <c r="AE178" s="615"/>
      <c r="AF178" s="615"/>
      <c r="AG178" s="615"/>
      <c r="AH178" s="615"/>
      <c r="AI178" s="615"/>
      <c r="AJ178" s="615"/>
      <c r="AK178" s="615"/>
      <c r="AL178" s="615"/>
      <c r="AM178" s="615"/>
      <c r="AN178" s="615"/>
      <c r="AO178" s="615"/>
      <c r="AP178" s="615"/>
      <c r="AQ178" s="615"/>
      <c r="AR178" s="615"/>
      <c r="AS178" s="615"/>
    </row>
    <row r="179" spans="12:45">
      <c r="L179" s="615"/>
      <c r="M179" s="615"/>
      <c r="AB179" s="615"/>
      <c r="AC179" s="615"/>
      <c r="AD179" s="615"/>
      <c r="AE179" s="615"/>
      <c r="AF179" s="615"/>
      <c r="AG179" s="615"/>
      <c r="AH179" s="615"/>
      <c r="AI179" s="615"/>
      <c r="AJ179" s="615"/>
      <c r="AK179" s="615"/>
      <c r="AL179" s="615"/>
      <c r="AM179" s="615"/>
      <c r="AN179" s="615"/>
      <c r="AO179" s="615"/>
      <c r="AP179" s="615"/>
      <c r="AQ179" s="615"/>
      <c r="AR179" s="615"/>
      <c r="AS179" s="615"/>
    </row>
    <row r="180" spans="12:45">
      <c r="L180" s="615"/>
      <c r="M180" s="615"/>
      <c r="AB180" s="615"/>
      <c r="AC180" s="615"/>
      <c r="AD180" s="615"/>
      <c r="AE180" s="615"/>
      <c r="AF180" s="615"/>
      <c r="AG180" s="615"/>
      <c r="AH180" s="615"/>
      <c r="AI180" s="615"/>
      <c r="AJ180" s="615"/>
      <c r="AK180" s="615"/>
      <c r="AL180" s="615"/>
      <c r="AM180" s="615"/>
      <c r="AN180" s="615"/>
      <c r="AO180" s="615"/>
      <c r="AP180" s="615"/>
      <c r="AQ180" s="615"/>
      <c r="AR180" s="615"/>
      <c r="AS180" s="615"/>
    </row>
    <row r="181" spans="12:45">
      <c r="L181" s="615"/>
      <c r="M181" s="615"/>
      <c r="AB181" s="615"/>
      <c r="AC181" s="615"/>
      <c r="AD181" s="615"/>
      <c r="AE181" s="615"/>
      <c r="AF181" s="615"/>
      <c r="AG181" s="615"/>
      <c r="AH181" s="615"/>
      <c r="AI181" s="615"/>
      <c r="AJ181" s="615"/>
      <c r="AK181" s="615"/>
      <c r="AL181" s="615"/>
      <c r="AM181" s="615"/>
      <c r="AN181" s="615"/>
      <c r="AO181" s="615"/>
      <c r="AP181" s="615"/>
      <c r="AQ181" s="615"/>
      <c r="AR181" s="615"/>
      <c r="AS181" s="615"/>
    </row>
    <row r="182" spans="12:45">
      <c r="L182" s="615"/>
      <c r="M182" s="615"/>
      <c r="AB182" s="615"/>
      <c r="AC182" s="615"/>
      <c r="AD182" s="615"/>
      <c r="AE182" s="615"/>
      <c r="AF182" s="615"/>
      <c r="AG182" s="615"/>
      <c r="AH182" s="615"/>
      <c r="AI182" s="615"/>
      <c r="AJ182" s="615"/>
      <c r="AK182" s="615"/>
      <c r="AL182" s="615"/>
      <c r="AM182" s="615"/>
      <c r="AN182" s="615"/>
      <c r="AO182" s="615"/>
      <c r="AP182" s="615"/>
      <c r="AQ182" s="615"/>
      <c r="AR182" s="615"/>
      <c r="AS182" s="615"/>
    </row>
    <row r="183" spans="12:45">
      <c r="L183" s="615"/>
      <c r="M183" s="615"/>
      <c r="AB183" s="615"/>
      <c r="AC183" s="615"/>
      <c r="AD183" s="615"/>
      <c r="AE183" s="615"/>
      <c r="AF183" s="615"/>
      <c r="AG183" s="615"/>
      <c r="AH183" s="615"/>
      <c r="AI183" s="615"/>
      <c r="AJ183" s="615"/>
      <c r="AK183" s="615"/>
      <c r="AL183" s="615"/>
      <c r="AM183" s="615"/>
      <c r="AN183" s="615"/>
      <c r="AO183" s="615"/>
      <c r="AP183" s="615"/>
      <c r="AQ183" s="615"/>
      <c r="AR183" s="615"/>
      <c r="AS183" s="615"/>
    </row>
    <row r="184" spans="12:45">
      <c r="L184" s="615"/>
      <c r="M184" s="615"/>
      <c r="AB184" s="615"/>
      <c r="AC184" s="615"/>
      <c r="AD184" s="615"/>
      <c r="AE184" s="615"/>
      <c r="AF184" s="615"/>
      <c r="AG184" s="615"/>
      <c r="AH184" s="615"/>
      <c r="AI184" s="615"/>
      <c r="AJ184" s="615"/>
      <c r="AK184" s="615"/>
      <c r="AL184" s="615"/>
      <c r="AM184" s="615"/>
      <c r="AN184" s="615"/>
      <c r="AO184" s="615"/>
      <c r="AP184" s="615"/>
      <c r="AQ184" s="615"/>
      <c r="AR184" s="615"/>
      <c r="AS184" s="615"/>
    </row>
    <row r="185" spans="12:45">
      <c r="L185" s="615"/>
      <c r="M185" s="615"/>
      <c r="AB185" s="615"/>
      <c r="AC185" s="615"/>
      <c r="AD185" s="615"/>
      <c r="AE185" s="615"/>
      <c r="AF185" s="615"/>
      <c r="AG185" s="615"/>
      <c r="AH185" s="615"/>
      <c r="AI185" s="615"/>
      <c r="AJ185" s="615"/>
      <c r="AK185" s="615"/>
      <c r="AL185" s="615"/>
      <c r="AM185" s="615"/>
      <c r="AN185" s="615"/>
      <c r="AO185" s="615"/>
      <c r="AP185" s="615"/>
      <c r="AQ185" s="615"/>
      <c r="AR185" s="615"/>
      <c r="AS185" s="615"/>
    </row>
    <row r="186" spans="12:45">
      <c r="L186" s="615"/>
      <c r="M186" s="615"/>
      <c r="AB186" s="615"/>
      <c r="AC186" s="615"/>
      <c r="AD186" s="615"/>
      <c r="AE186" s="615"/>
      <c r="AF186" s="615"/>
      <c r="AG186" s="615"/>
      <c r="AH186" s="615"/>
      <c r="AI186" s="615"/>
      <c r="AJ186" s="615"/>
      <c r="AK186" s="615"/>
      <c r="AL186" s="615"/>
      <c r="AM186" s="615"/>
      <c r="AN186" s="615"/>
      <c r="AO186" s="615"/>
      <c r="AP186" s="615"/>
      <c r="AQ186" s="615"/>
      <c r="AR186" s="615"/>
      <c r="AS186" s="615"/>
    </row>
    <row r="187" spans="12:45">
      <c r="L187" s="615"/>
      <c r="M187" s="615"/>
      <c r="AB187" s="615"/>
      <c r="AC187" s="615"/>
      <c r="AD187" s="615"/>
      <c r="AE187" s="615"/>
      <c r="AF187" s="615"/>
      <c r="AG187" s="615"/>
      <c r="AH187" s="615"/>
      <c r="AI187" s="615"/>
      <c r="AJ187" s="615"/>
      <c r="AK187" s="615"/>
      <c r="AL187" s="615"/>
      <c r="AM187" s="615"/>
      <c r="AN187" s="615"/>
      <c r="AO187" s="615"/>
      <c r="AP187" s="615"/>
      <c r="AQ187" s="615"/>
      <c r="AR187" s="615"/>
      <c r="AS187" s="615"/>
    </row>
    <row r="188" spans="12:45">
      <c r="L188" s="615"/>
      <c r="M188" s="615"/>
      <c r="AB188" s="615"/>
      <c r="AC188" s="615"/>
      <c r="AD188" s="615"/>
      <c r="AE188" s="615"/>
      <c r="AF188" s="615"/>
      <c r="AG188" s="615"/>
      <c r="AH188" s="615"/>
      <c r="AI188" s="615"/>
      <c r="AJ188" s="615"/>
      <c r="AK188" s="615"/>
      <c r="AL188" s="615"/>
      <c r="AM188" s="615"/>
      <c r="AN188" s="615"/>
      <c r="AO188" s="615"/>
      <c r="AP188" s="615"/>
      <c r="AQ188" s="615"/>
      <c r="AR188" s="615"/>
      <c r="AS188" s="615"/>
    </row>
    <row r="189" spans="12:45">
      <c r="L189" s="615"/>
      <c r="M189" s="615"/>
      <c r="AB189" s="615"/>
      <c r="AC189" s="615"/>
      <c r="AD189" s="615"/>
      <c r="AE189" s="615"/>
      <c r="AF189" s="615"/>
      <c r="AG189" s="615"/>
      <c r="AH189" s="615"/>
      <c r="AI189" s="615"/>
      <c r="AJ189" s="615"/>
      <c r="AK189" s="615"/>
      <c r="AL189" s="615"/>
      <c r="AM189" s="615"/>
      <c r="AN189" s="615"/>
      <c r="AO189" s="615"/>
      <c r="AP189" s="615"/>
      <c r="AQ189" s="615"/>
      <c r="AR189" s="615"/>
      <c r="AS189" s="615"/>
    </row>
    <row r="190" spans="12:45">
      <c r="L190" s="615"/>
      <c r="M190" s="615"/>
      <c r="AB190" s="615"/>
      <c r="AC190" s="615"/>
      <c r="AD190" s="615"/>
      <c r="AE190" s="615"/>
      <c r="AF190" s="615"/>
      <c r="AG190" s="615"/>
      <c r="AH190" s="615"/>
      <c r="AI190" s="615"/>
      <c r="AJ190" s="615"/>
      <c r="AK190" s="615"/>
      <c r="AL190" s="615"/>
      <c r="AM190" s="615"/>
      <c r="AN190" s="615"/>
      <c r="AO190" s="615"/>
      <c r="AP190" s="615"/>
      <c r="AQ190" s="615"/>
      <c r="AR190" s="615"/>
      <c r="AS190" s="615"/>
    </row>
    <row r="191" spans="12:45">
      <c r="L191" s="615"/>
      <c r="M191" s="615"/>
      <c r="AB191" s="615"/>
      <c r="AC191" s="615"/>
      <c r="AD191" s="615"/>
      <c r="AE191" s="615"/>
      <c r="AF191" s="615"/>
      <c r="AG191" s="615"/>
      <c r="AH191" s="615"/>
      <c r="AI191" s="615"/>
      <c r="AJ191" s="615"/>
      <c r="AK191" s="615"/>
      <c r="AL191" s="615"/>
      <c r="AM191" s="615"/>
      <c r="AN191" s="615"/>
      <c r="AO191" s="615"/>
      <c r="AP191" s="615"/>
      <c r="AQ191" s="615"/>
      <c r="AR191" s="615"/>
      <c r="AS191" s="615"/>
    </row>
    <row r="192" spans="12:45">
      <c r="L192" s="615"/>
      <c r="M192" s="615"/>
      <c r="AB192" s="615"/>
      <c r="AC192" s="615"/>
      <c r="AD192" s="615"/>
      <c r="AE192" s="615"/>
      <c r="AF192" s="615"/>
      <c r="AG192" s="615"/>
      <c r="AH192" s="615"/>
      <c r="AI192" s="615"/>
      <c r="AJ192" s="615"/>
      <c r="AK192" s="615"/>
      <c r="AL192" s="615"/>
      <c r="AM192" s="615"/>
      <c r="AN192" s="615"/>
      <c r="AO192" s="615"/>
      <c r="AP192" s="615"/>
      <c r="AQ192" s="615"/>
      <c r="AR192" s="615"/>
      <c r="AS192" s="615"/>
    </row>
    <row r="193" spans="12:45">
      <c r="L193" s="615"/>
      <c r="M193" s="615"/>
      <c r="AB193" s="615"/>
      <c r="AC193" s="615"/>
      <c r="AD193" s="615"/>
      <c r="AE193" s="615"/>
      <c r="AF193" s="615"/>
      <c r="AG193" s="615"/>
      <c r="AH193" s="615"/>
      <c r="AI193" s="615"/>
      <c r="AJ193" s="615"/>
      <c r="AK193" s="615"/>
      <c r="AL193" s="615"/>
      <c r="AM193" s="615"/>
      <c r="AN193" s="615"/>
      <c r="AO193" s="615"/>
      <c r="AP193" s="615"/>
      <c r="AQ193" s="615"/>
      <c r="AR193" s="615"/>
      <c r="AS193" s="615"/>
    </row>
    <row r="194" spans="12:45">
      <c r="L194" s="615"/>
      <c r="M194" s="615"/>
      <c r="AB194" s="615"/>
      <c r="AC194" s="615"/>
      <c r="AD194" s="615"/>
      <c r="AE194" s="615"/>
      <c r="AF194" s="615"/>
      <c r="AG194" s="615"/>
      <c r="AH194" s="615"/>
      <c r="AI194" s="615"/>
      <c r="AJ194" s="615"/>
      <c r="AK194" s="615"/>
      <c r="AL194" s="615"/>
      <c r="AM194" s="615"/>
      <c r="AN194" s="615"/>
      <c r="AO194" s="615"/>
      <c r="AP194" s="615"/>
      <c r="AQ194" s="615"/>
      <c r="AR194" s="615"/>
      <c r="AS194" s="615"/>
    </row>
    <row r="195" spans="12:45">
      <c r="L195" s="615"/>
      <c r="M195" s="615"/>
      <c r="AB195" s="615"/>
      <c r="AC195" s="615"/>
      <c r="AD195" s="615"/>
      <c r="AE195" s="615"/>
      <c r="AF195" s="615"/>
      <c r="AG195" s="615"/>
      <c r="AH195" s="615"/>
      <c r="AI195" s="615"/>
      <c r="AJ195" s="615"/>
      <c r="AK195" s="615"/>
      <c r="AL195" s="615"/>
      <c r="AM195" s="615"/>
      <c r="AN195" s="615"/>
      <c r="AO195" s="615"/>
      <c r="AP195" s="615"/>
      <c r="AQ195" s="615"/>
      <c r="AR195" s="615"/>
      <c r="AS195" s="615"/>
    </row>
    <row r="196" spans="12:45">
      <c r="L196" s="615"/>
      <c r="M196" s="615"/>
      <c r="AB196" s="615"/>
      <c r="AC196" s="615"/>
      <c r="AD196" s="615"/>
      <c r="AE196" s="615"/>
      <c r="AF196" s="615"/>
      <c r="AG196" s="615"/>
      <c r="AH196" s="615"/>
      <c r="AI196" s="615"/>
      <c r="AJ196" s="615"/>
      <c r="AK196" s="615"/>
      <c r="AL196" s="615"/>
      <c r="AM196" s="615"/>
      <c r="AN196" s="615"/>
      <c r="AO196" s="615"/>
      <c r="AP196" s="615"/>
      <c r="AQ196" s="615"/>
      <c r="AR196" s="615"/>
      <c r="AS196" s="615"/>
    </row>
    <row r="197" spans="12:45">
      <c r="L197" s="615"/>
      <c r="M197" s="615"/>
      <c r="AB197" s="615"/>
      <c r="AC197" s="615"/>
      <c r="AD197" s="615"/>
      <c r="AE197" s="615"/>
      <c r="AF197" s="615"/>
      <c r="AG197" s="615"/>
      <c r="AH197" s="615"/>
      <c r="AI197" s="615"/>
      <c r="AJ197" s="615"/>
      <c r="AK197" s="615"/>
      <c r="AL197" s="615"/>
      <c r="AM197" s="615"/>
      <c r="AN197" s="615"/>
      <c r="AO197" s="615"/>
      <c r="AP197" s="615"/>
      <c r="AQ197" s="615"/>
      <c r="AR197" s="615"/>
      <c r="AS197" s="615"/>
    </row>
    <row r="198" spans="12:45">
      <c r="L198" s="615"/>
      <c r="M198" s="615"/>
      <c r="AB198" s="615"/>
      <c r="AC198" s="615"/>
      <c r="AD198" s="615"/>
      <c r="AE198" s="615"/>
      <c r="AF198" s="615"/>
      <c r="AG198" s="615"/>
      <c r="AH198" s="615"/>
      <c r="AI198" s="615"/>
      <c r="AJ198" s="615"/>
      <c r="AK198" s="615"/>
      <c r="AL198" s="615"/>
      <c r="AM198" s="615"/>
      <c r="AN198" s="615"/>
      <c r="AO198" s="615"/>
      <c r="AP198" s="615"/>
      <c r="AQ198" s="615"/>
      <c r="AR198" s="615"/>
      <c r="AS198" s="615"/>
    </row>
    <row r="199" spans="12:45">
      <c r="L199" s="615"/>
      <c r="M199" s="615"/>
      <c r="AB199" s="615"/>
      <c r="AC199" s="615"/>
      <c r="AD199" s="615"/>
      <c r="AE199" s="615"/>
      <c r="AF199" s="615"/>
      <c r="AG199" s="615"/>
      <c r="AH199" s="615"/>
      <c r="AI199" s="615"/>
      <c r="AJ199" s="615"/>
      <c r="AK199" s="615"/>
      <c r="AL199" s="615"/>
      <c r="AM199" s="615"/>
      <c r="AN199" s="615"/>
      <c r="AO199" s="615"/>
      <c r="AP199" s="615"/>
      <c r="AQ199" s="615"/>
      <c r="AR199" s="615"/>
      <c r="AS199" s="615"/>
    </row>
    <row r="200" spans="12:45">
      <c r="L200" s="615"/>
      <c r="M200" s="615"/>
      <c r="AB200" s="615"/>
      <c r="AC200" s="615"/>
      <c r="AD200" s="615"/>
      <c r="AE200" s="615"/>
      <c r="AF200" s="615"/>
      <c r="AG200" s="615"/>
      <c r="AH200" s="615"/>
      <c r="AI200" s="615"/>
      <c r="AJ200" s="615"/>
      <c r="AK200" s="615"/>
      <c r="AL200" s="615"/>
      <c r="AM200" s="615"/>
      <c r="AN200" s="615"/>
      <c r="AO200" s="615"/>
      <c r="AP200" s="615"/>
      <c r="AQ200" s="615"/>
      <c r="AR200" s="615"/>
      <c r="AS200" s="615"/>
    </row>
    <row r="201" spans="12:45">
      <c r="L201" s="615"/>
      <c r="M201" s="615"/>
      <c r="AB201" s="615"/>
      <c r="AC201" s="615"/>
      <c r="AD201" s="615"/>
      <c r="AE201" s="615"/>
      <c r="AF201" s="615"/>
      <c r="AG201" s="615"/>
      <c r="AH201" s="615"/>
      <c r="AI201" s="615"/>
      <c r="AJ201" s="615"/>
      <c r="AK201" s="615"/>
      <c r="AL201" s="615"/>
      <c r="AM201" s="615"/>
      <c r="AN201" s="615"/>
      <c r="AO201" s="615"/>
      <c r="AP201" s="615"/>
      <c r="AQ201" s="615"/>
      <c r="AR201" s="615"/>
      <c r="AS201" s="615"/>
    </row>
    <row r="202" spans="12:45">
      <c r="L202" s="615"/>
      <c r="M202" s="615"/>
      <c r="AB202" s="615"/>
      <c r="AC202" s="615"/>
      <c r="AD202" s="615"/>
      <c r="AE202" s="615"/>
      <c r="AF202" s="615"/>
      <c r="AG202" s="615"/>
      <c r="AH202" s="615"/>
      <c r="AI202" s="615"/>
      <c r="AJ202" s="615"/>
      <c r="AK202" s="615"/>
      <c r="AL202" s="615"/>
      <c r="AM202" s="615"/>
      <c r="AN202" s="615"/>
      <c r="AO202" s="615"/>
      <c r="AP202" s="615"/>
      <c r="AQ202" s="615"/>
      <c r="AR202" s="615"/>
      <c r="AS202" s="615"/>
    </row>
    <row r="203" spans="12:45">
      <c r="L203" s="615"/>
      <c r="M203" s="615"/>
      <c r="AB203" s="615"/>
      <c r="AC203" s="615"/>
      <c r="AD203" s="615"/>
      <c r="AE203" s="615"/>
      <c r="AF203" s="615"/>
      <c r="AG203" s="615"/>
      <c r="AH203" s="615"/>
      <c r="AI203" s="615"/>
      <c r="AJ203" s="615"/>
      <c r="AK203" s="615"/>
      <c r="AL203" s="615"/>
      <c r="AM203" s="615"/>
      <c r="AN203" s="615"/>
      <c r="AO203" s="615"/>
      <c r="AP203" s="615"/>
      <c r="AQ203" s="615"/>
      <c r="AR203" s="615"/>
      <c r="AS203" s="615"/>
    </row>
    <row r="204" spans="12:45">
      <c r="L204" s="615"/>
      <c r="M204" s="615"/>
      <c r="AB204" s="615"/>
      <c r="AC204" s="615"/>
      <c r="AD204" s="615"/>
      <c r="AE204" s="615"/>
      <c r="AF204" s="615"/>
      <c r="AG204" s="615"/>
      <c r="AH204" s="615"/>
      <c r="AI204" s="615"/>
      <c r="AJ204" s="615"/>
      <c r="AK204" s="615"/>
      <c r="AL204" s="615"/>
      <c r="AM204" s="615"/>
      <c r="AN204" s="615"/>
      <c r="AO204" s="615"/>
      <c r="AP204" s="615"/>
      <c r="AQ204" s="615"/>
      <c r="AR204" s="615"/>
      <c r="AS204" s="615"/>
    </row>
    <row r="205" spans="12:45">
      <c r="L205" s="615"/>
      <c r="M205" s="615"/>
      <c r="AB205" s="615"/>
      <c r="AC205" s="615"/>
      <c r="AD205" s="615"/>
      <c r="AE205" s="615"/>
      <c r="AF205" s="615"/>
      <c r="AG205" s="615"/>
      <c r="AH205" s="615"/>
      <c r="AI205" s="615"/>
      <c r="AJ205" s="615"/>
      <c r="AK205" s="615"/>
      <c r="AL205" s="615"/>
      <c r="AM205" s="615"/>
      <c r="AN205" s="615"/>
      <c r="AO205" s="615"/>
      <c r="AP205" s="615"/>
      <c r="AQ205" s="615"/>
      <c r="AR205" s="615"/>
      <c r="AS205" s="615"/>
    </row>
    <row r="206" spans="12:45">
      <c r="L206" s="615"/>
      <c r="M206" s="615"/>
      <c r="AB206" s="615"/>
      <c r="AC206" s="615"/>
      <c r="AD206" s="615"/>
      <c r="AE206" s="615"/>
      <c r="AF206" s="615"/>
      <c r="AG206" s="615"/>
      <c r="AH206" s="615"/>
      <c r="AI206" s="615"/>
      <c r="AJ206" s="615"/>
      <c r="AK206" s="615"/>
      <c r="AL206" s="615"/>
      <c r="AM206" s="615"/>
      <c r="AN206" s="615"/>
      <c r="AO206" s="615"/>
      <c r="AP206" s="615"/>
      <c r="AQ206" s="615"/>
      <c r="AR206" s="615"/>
      <c r="AS206" s="615"/>
    </row>
    <row r="207" spans="12:45">
      <c r="L207" s="615"/>
      <c r="M207" s="615"/>
      <c r="AB207" s="615"/>
      <c r="AC207" s="615"/>
      <c r="AD207" s="615"/>
      <c r="AE207" s="615"/>
      <c r="AF207" s="615"/>
      <c r="AG207" s="615"/>
      <c r="AH207" s="615"/>
      <c r="AI207" s="615"/>
      <c r="AJ207" s="615"/>
      <c r="AK207" s="615"/>
      <c r="AL207" s="615"/>
      <c r="AM207" s="615"/>
      <c r="AN207" s="615"/>
      <c r="AO207" s="615"/>
      <c r="AP207" s="615"/>
      <c r="AQ207" s="615"/>
      <c r="AR207" s="615"/>
      <c r="AS207" s="615"/>
    </row>
    <row r="208" spans="12:45">
      <c r="L208" s="615"/>
      <c r="M208" s="615"/>
      <c r="AB208" s="615"/>
      <c r="AC208" s="615"/>
      <c r="AD208" s="615"/>
      <c r="AE208" s="615"/>
      <c r="AF208" s="615"/>
      <c r="AG208" s="615"/>
      <c r="AH208" s="615"/>
      <c r="AI208" s="615"/>
      <c r="AJ208" s="615"/>
      <c r="AK208" s="615"/>
      <c r="AL208" s="615"/>
      <c r="AM208" s="615"/>
      <c r="AN208" s="615"/>
      <c r="AO208" s="615"/>
      <c r="AP208" s="615"/>
      <c r="AQ208" s="615"/>
      <c r="AR208" s="615"/>
      <c r="AS208" s="615"/>
    </row>
    <row r="209" spans="12:45">
      <c r="L209" s="615"/>
      <c r="M209" s="615"/>
      <c r="AB209" s="615"/>
      <c r="AC209" s="615"/>
      <c r="AD209" s="615"/>
      <c r="AE209" s="615"/>
      <c r="AF209" s="615"/>
      <c r="AG209" s="615"/>
      <c r="AH209" s="615"/>
      <c r="AI209" s="615"/>
      <c r="AJ209" s="615"/>
      <c r="AK209" s="615"/>
      <c r="AL209" s="615"/>
      <c r="AM209" s="615"/>
      <c r="AN209" s="615"/>
      <c r="AO209" s="615"/>
      <c r="AP209" s="615"/>
      <c r="AQ209" s="615"/>
      <c r="AR209" s="615"/>
      <c r="AS209" s="615"/>
    </row>
    <row r="210" spans="12:45">
      <c r="L210" s="615"/>
      <c r="M210" s="615"/>
      <c r="AB210" s="615"/>
      <c r="AC210" s="615"/>
      <c r="AD210" s="615"/>
      <c r="AE210" s="615"/>
      <c r="AF210" s="615"/>
      <c r="AG210" s="615"/>
      <c r="AH210" s="615"/>
      <c r="AI210" s="615"/>
      <c r="AJ210" s="615"/>
      <c r="AK210" s="615"/>
      <c r="AL210" s="615"/>
      <c r="AM210" s="615"/>
      <c r="AN210" s="615"/>
      <c r="AO210" s="615"/>
      <c r="AP210" s="615"/>
      <c r="AQ210" s="615"/>
      <c r="AR210" s="615"/>
      <c r="AS210" s="615"/>
    </row>
    <row r="211" spans="12:45">
      <c r="L211" s="615"/>
      <c r="M211" s="615"/>
      <c r="AB211" s="615"/>
      <c r="AC211" s="615"/>
      <c r="AD211" s="615"/>
      <c r="AE211" s="615"/>
      <c r="AF211" s="615"/>
      <c r="AG211" s="615"/>
      <c r="AH211" s="615"/>
      <c r="AI211" s="615"/>
      <c r="AJ211" s="615"/>
      <c r="AK211" s="615"/>
      <c r="AL211" s="615"/>
      <c r="AM211" s="615"/>
      <c r="AN211" s="615"/>
      <c r="AO211" s="615"/>
      <c r="AP211" s="615"/>
      <c r="AQ211" s="615"/>
      <c r="AR211" s="615"/>
      <c r="AS211" s="615"/>
    </row>
    <row r="212" spans="12:45">
      <c r="L212" s="615"/>
      <c r="M212" s="615"/>
      <c r="AB212" s="615"/>
      <c r="AC212" s="615"/>
      <c r="AD212" s="615"/>
      <c r="AE212" s="615"/>
      <c r="AF212" s="615"/>
      <c r="AG212" s="615"/>
      <c r="AH212" s="615"/>
      <c r="AI212" s="615"/>
      <c r="AJ212" s="615"/>
      <c r="AK212" s="615"/>
      <c r="AL212" s="615"/>
      <c r="AM212" s="615"/>
      <c r="AN212" s="615"/>
      <c r="AO212" s="615"/>
      <c r="AP212" s="615"/>
      <c r="AQ212" s="615"/>
      <c r="AR212" s="615"/>
      <c r="AS212" s="615"/>
    </row>
    <row r="213" spans="12:45">
      <c r="L213" s="615"/>
      <c r="M213" s="615"/>
      <c r="AB213" s="615"/>
      <c r="AC213" s="615"/>
      <c r="AD213" s="615"/>
      <c r="AE213" s="615"/>
      <c r="AF213" s="615"/>
      <c r="AG213" s="615"/>
      <c r="AH213" s="615"/>
      <c r="AI213" s="615"/>
      <c r="AJ213" s="615"/>
      <c r="AK213" s="615"/>
      <c r="AL213" s="615"/>
      <c r="AM213" s="615"/>
      <c r="AN213" s="615"/>
      <c r="AO213" s="615"/>
      <c r="AP213" s="615"/>
      <c r="AQ213" s="615"/>
      <c r="AR213" s="615"/>
      <c r="AS213" s="615"/>
    </row>
    <row r="214" spans="12:45">
      <c r="L214" s="615"/>
      <c r="M214" s="615"/>
      <c r="AB214" s="615"/>
      <c r="AC214" s="615"/>
      <c r="AD214" s="615"/>
      <c r="AE214" s="615"/>
      <c r="AF214" s="615"/>
      <c r="AG214" s="615"/>
      <c r="AH214" s="615"/>
      <c r="AI214" s="615"/>
      <c r="AJ214" s="615"/>
      <c r="AK214" s="615"/>
      <c r="AL214" s="615"/>
      <c r="AM214" s="615"/>
      <c r="AN214" s="615"/>
      <c r="AO214" s="615"/>
      <c r="AP214" s="615"/>
      <c r="AQ214" s="615"/>
      <c r="AR214" s="615"/>
      <c r="AS214" s="615"/>
    </row>
    <row r="215" spans="12:45">
      <c r="L215" s="615"/>
      <c r="M215" s="615"/>
      <c r="AB215" s="615"/>
      <c r="AC215" s="615"/>
      <c r="AD215" s="615"/>
      <c r="AE215" s="615"/>
      <c r="AF215" s="615"/>
      <c r="AG215" s="615"/>
      <c r="AH215" s="615"/>
      <c r="AI215" s="615"/>
      <c r="AJ215" s="615"/>
      <c r="AK215" s="615"/>
      <c r="AL215" s="615"/>
      <c r="AM215" s="615"/>
      <c r="AN215" s="615"/>
      <c r="AO215" s="615"/>
      <c r="AP215" s="615"/>
      <c r="AQ215" s="615"/>
      <c r="AR215" s="615"/>
      <c r="AS215" s="615"/>
    </row>
    <row r="216" spans="12:45">
      <c r="L216" s="615"/>
      <c r="M216" s="615"/>
      <c r="AB216" s="615"/>
      <c r="AC216" s="615"/>
      <c r="AD216" s="615"/>
      <c r="AE216" s="615"/>
      <c r="AF216" s="615"/>
      <c r="AG216" s="615"/>
      <c r="AH216" s="615"/>
      <c r="AI216" s="615"/>
      <c r="AJ216" s="615"/>
      <c r="AK216" s="615"/>
      <c r="AL216" s="615"/>
      <c r="AM216" s="615"/>
      <c r="AN216" s="615"/>
      <c r="AO216" s="615"/>
      <c r="AP216" s="615"/>
      <c r="AQ216" s="615"/>
      <c r="AR216" s="615"/>
      <c r="AS216" s="615"/>
    </row>
    <row r="217" spans="12:45">
      <c r="L217" s="615"/>
      <c r="M217" s="615"/>
      <c r="AB217" s="615"/>
      <c r="AC217" s="615"/>
      <c r="AD217" s="615"/>
      <c r="AE217" s="615"/>
      <c r="AF217" s="615"/>
      <c r="AG217" s="615"/>
      <c r="AH217" s="615"/>
      <c r="AI217" s="615"/>
      <c r="AJ217" s="615"/>
      <c r="AK217" s="615"/>
      <c r="AL217" s="615"/>
      <c r="AM217" s="615"/>
      <c r="AN217" s="615"/>
      <c r="AO217" s="615"/>
      <c r="AP217" s="615"/>
      <c r="AQ217" s="615"/>
      <c r="AR217" s="615"/>
      <c r="AS217" s="615"/>
    </row>
    <row r="218" spans="12:45">
      <c r="L218" s="615"/>
      <c r="M218" s="615"/>
      <c r="AB218" s="615"/>
      <c r="AC218" s="615"/>
      <c r="AD218" s="615"/>
      <c r="AE218" s="615"/>
      <c r="AF218" s="615"/>
      <c r="AG218" s="615"/>
      <c r="AH218" s="615"/>
      <c r="AI218" s="615"/>
      <c r="AJ218" s="615"/>
      <c r="AK218" s="615"/>
      <c r="AL218" s="615"/>
      <c r="AM218" s="615"/>
      <c r="AN218" s="615"/>
      <c r="AO218" s="615"/>
      <c r="AP218" s="615"/>
      <c r="AQ218" s="615"/>
      <c r="AR218" s="615"/>
      <c r="AS218" s="615"/>
    </row>
    <row r="219" spans="12:45">
      <c r="L219" s="615"/>
      <c r="M219" s="615"/>
      <c r="AB219" s="615"/>
      <c r="AC219" s="615"/>
      <c r="AD219" s="615"/>
      <c r="AE219" s="615"/>
      <c r="AF219" s="615"/>
      <c r="AG219" s="615"/>
      <c r="AH219" s="615"/>
      <c r="AI219" s="615"/>
      <c r="AJ219" s="615"/>
      <c r="AK219" s="615"/>
      <c r="AL219" s="615"/>
      <c r="AM219" s="615"/>
      <c r="AN219" s="615"/>
      <c r="AO219" s="615"/>
      <c r="AP219" s="615"/>
      <c r="AQ219" s="615"/>
      <c r="AR219" s="615"/>
      <c r="AS219" s="615"/>
    </row>
    <row r="220" spans="12:45">
      <c r="L220" s="615"/>
      <c r="M220" s="615"/>
      <c r="AB220" s="615"/>
      <c r="AC220" s="615"/>
      <c r="AD220" s="615"/>
      <c r="AE220" s="615"/>
      <c r="AF220" s="615"/>
      <c r="AG220" s="615"/>
      <c r="AH220" s="615"/>
      <c r="AI220" s="615"/>
      <c r="AJ220" s="615"/>
      <c r="AK220" s="615"/>
      <c r="AL220" s="615"/>
      <c r="AM220" s="615"/>
      <c r="AN220" s="615"/>
      <c r="AO220" s="615"/>
      <c r="AP220" s="615"/>
      <c r="AQ220" s="615"/>
      <c r="AR220" s="615"/>
      <c r="AS220" s="615"/>
    </row>
    <row r="221" spans="12:45">
      <c r="L221" s="615"/>
      <c r="M221" s="615"/>
      <c r="AB221" s="615"/>
      <c r="AC221" s="615"/>
      <c r="AD221" s="615"/>
      <c r="AE221" s="615"/>
      <c r="AF221" s="615"/>
      <c r="AG221" s="615"/>
      <c r="AH221" s="615"/>
      <c r="AI221" s="615"/>
      <c r="AJ221" s="615"/>
      <c r="AK221" s="615"/>
      <c r="AL221" s="615"/>
      <c r="AM221" s="615"/>
      <c r="AN221" s="615"/>
      <c r="AO221" s="615"/>
      <c r="AP221" s="615"/>
      <c r="AQ221" s="615"/>
      <c r="AR221" s="615"/>
      <c r="AS221" s="615"/>
    </row>
    <row r="222" spans="12:45">
      <c r="L222" s="615"/>
      <c r="M222" s="615"/>
      <c r="AB222" s="615"/>
      <c r="AC222" s="615"/>
      <c r="AD222" s="615"/>
      <c r="AE222" s="615"/>
      <c r="AF222" s="615"/>
      <c r="AG222" s="615"/>
      <c r="AH222" s="615"/>
      <c r="AI222" s="615"/>
      <c r="AJ222" s="615"/>
      <c r="AK222" s="615"/>
      <c r="AL222" s="615"/>
      <c r="AM222" s="615"/>
      <c r="AN222" s="615"/>
      <c r="AO222" s="615"/>
      <c r="AP222" s="615"/>
      <c r="AQ222" s="615"/>
      <c r="AR222" s="615"/>
      <c r="AS222" s="615"/>
    </row>
    <row r="223" spans="12:45">
      <c r="L223" s="615"/>
      <c r="M223" s="615"/>
      <c r="AB223" s="615"/>
      <c r="AC223" s="615"/>
      <c r="AD223" s="615"/>
      <c r="AE223" s="615"/>
      <c r="AF223" s="615"/>
      <c r="AG223" s="615"/>
      <c r="AH223" s="615"/>
      <c r="AI223" s="615"/>
      <c r="AJ223" s="615"/>
      <c r="AK223" s="615"/>
      <c r="AL223" s="615"/>
      <c r="AM223" s="615"/>
      <c r="AN223" s="615"/>
      <c r="AO223" s="615"/>
      <c r="AP223" s="615"/>
      <c r="AQ223" s="615"/>
      <c r="AR223" s="615"/>
      <c r="AS223" s="615"/>
    </row>
    <row r="224" spans="12:45">
      <c r="L224" s="615"/>
      <c r="M224" s="615"/>
      <c r="AB224" s="615"/>
      <c r="AC224" s="615"/>
      <c r="AD224" s="615"/>
      <c r="AE224" s="615"/>
      <c r="AF224" s="615"/>
      <c r="AG224" s="615"/>
      <c r="AH224" s="615"/>
      <c r="AI224" s="615"/>
      <c r="AJ224" s="615"/>
      <c r="AK224" s="615"/>
      <c r="AL224" s="615"/>
      <c r="AM224" s="615"/>
      <c r="AN224" s="615"/>
      <c r="AO224" s="615"/>
      <c r="AP224" s="615"/>
      <c r="AQ224" s="615"/>
      <c r="AR224" s="615"/>
      <c r="AS224" s="615"/>
    </row>
    <row r="225" spans="12:45">
      <c r="L225" s="615"/>
      <c r="M225" s="615"/>
      <c r="AB225" s="615"/>
      <c r="AC225" s="615"/>
      <c r="AD225" s="615"/>
      <c r="AE225" s="615"/>
      <c r="AF225" s="615"/>
      <c r="AG225" s="615"/>
      <c r="AH225" s="615"/>
      <c r="AI225" s="615"/>
      <c r="AJ225" s="615"/>
      <c r="AK225" s="615"/>
      <c r="AL225" s="615"/>
      <c r="AM225" s="615"/>
      <c r="AN225" s="615"/>
      <c r="AO225" s="615"/>
      <c r="AP225" s="615"/>
      <c r="AQ225" s="615"/>
      <c r="AR225" s="615"/>
      <c r="AS225" s="615"/>
    </row>
    <row r="226" spans="12:45">
      <c r="L226" s="615"/>
      <c r="M226" s="615"/>
      <c r="AB226" s="615"/>
      <c r="AC226" s="615"/>
      <c r="AD226" s="615"/>
      <c r="AE226" s="615"/>
      <c r="AF226" s="615"/>
      <c r="AG226" s="615"/>
      <c r="AH226" s="615"/>
      <c r="AI226" s="615"/>
      <c r="AJ226" s="615"/>
      <c r="AK226" s="615"/>
      <c r="AL226" s="615"/>
      <c r="AM226" s="615"/>
      <c r="AN226" s="615"/>
      <c r="AO226" s="615"/>
      <c r="AP226" s="615"/>
      <c r="AQ226" s="615"/>
      <c r="AR226" s="615"/>
      <c r="AS226" s="615"/>
    </row>
    <row r="227" spans="12:45">
      <c r="L227" s="615"/>
      <c r="M227" s="615"/>
      <c r="AB227" s="615"/>
      <c r="AC227" s="615"/>
      <c r="AD227" s="615"/>
      <c r="AE227" s="615"/>
      <c r="AF227" s="615"/>
      <c r="AG227" s="615"/>
      <c r="AH227" s="615"/>
      <c r="AI227" s="615"/>
      <c r="AJ227" s="615"/>
      <c r="AK227" s="615"/>
      <c r="AL227" s="615"/>
      <c r="AM227" s="615"/>
      <c r="AN227" s="615"/>
      <c r="AO227" s="615"/>
      <c r="AP227" s="615"/>
      <c r="AQ227" s="615"/>
      <c r="AR227" s="615"/>
      <c r="AS227" s="615"/>
    </row>
    <row r="228" spans="12:45">
      <c r="L228" s="615"/>
      <c r="M228" s="615"/>
      <c r="AB228" s="615"/>
      <c r="AC228" s="615"/>
      <c r="AD228" s="615"/>
      <c r="AE228" s="615"/>
      <c r="AF228" s="615"/>
      <c r="AG228" s="615"/>
      <c r="AH228" s="615"/>
      <c r="AI228" s="615"/>
      <c r="AJ228" s="615"/>
      <c r="AK228" s="615"/>
      <c r="AL228" s="615"/>
      <c r="AM228" s="615"/>
      <c r="AN228" s="615"/>
      <c r="AO228" s="615"/>
      <c r="AP228" s="615"/>
      <c r="AQ228" s="615"/>
      <c r="AR228" s="615"/>
      <c r="AS228" s="615"/>
    </row>
    <row r="229" spans="12:45">
      <c r="L229" s="615"/>
      <c r="M229" s="615"/>
      <c r="AB229" s="615"/>
      <c r="AC229" s="615"/>
      <c r="AD229" s="615"/>
      <c r="AE229" s="615"/>
      <c r="AF229" s="615"/>
      <c r="AG229" s="615"/>
      <c r="AH229" s="615"/>
      <c r="AI229" s="615"/>
      <c r="AJ229" s="615"/>
      <c r="AK229" s="615"/>
      <c r="AL229" s="615"/>
      <c r="AM229" s="615"/>
      <c r="AN229" s="615"/>
      <c r="AO229" s="615"/>
      <c r="AP229" s="615"/>
      <c r="AQ229" s="615"/>
      <c r="AR229" s="615"/>
      <c r="AS229" s="615"/>
    </row>
    <row r="230" spans="12:45">
      <c r="L230" s="615"/>
      <c r="M230" s="615"/>
      <c r="AB230" s="615"/>
      <c r="AC230" s="615"/>
      <c r="AD230" s="615"/>
      <c r="AE230" s="615"/>
      <c r="AF230" s="615"/>
      <c r="AG230" s="615"/>
      <c r="AH230" s="615"/>
      <c r="AI230" s="615"/>
      <c r="AJ230" s="615"/>
      <c r="AK230" s="615"/>
      <c r="AL230" s="615"/>
      <c r="AM230" s="615"/>
      <c r="AN230" s="615"/>
      <c r="AO230" s="615"/>
      <c r="AP230" s="615"/>
      <c r="AQ230" s="615"/>
      <c r="AR230" s="615"/>
      <c r="AS230" s="615"/>
    </row>
    <row r="231" spans="12:45">
      <c r="L231" s="615"/>
      <c r="M231" s="615"/>
      <c r="AB231" s="615"/>
      <c r="AC231" s="615"/>
      <c r="AD231" s="615"/>
      <c r="AE231" s="615"/>
      <c r="AF231" s="615"/>
      <c r="AG231" s="615"/>
      <c r="AH231" s="615"/>
      <c r="AI231" s="615"/>
      <c r="AJ231" s="615"/>
      <c r="AK231" s="615"/>
      <c r="AL231" s="615"/>
      <c r="AM231" s="615"/>
      <c r="AN231" s="615"/>
      <c r="AO231" s="615"/>
      <c r="AP231" s="615"/>
      <c r="AQ231" s="615"/>
      <c r="AR231" s="615"/>
      <c r="AS231" s="615"/>
    </row>
    <row r="232" spans="12:45">
      <c r="L232" s="615"/>
      <c r="M232" s="615"/>
      <c r="AB232" s="615"/>
      <c r="AC232" s="615"/>
      <c r="AD232" s="615"/>
      <c r="AE232" s="615"/>
      <c r="AF232" s="615"/>
      <c r="AG232" s="615"/>
      <c r="AH232" s="615"/>
      <c r="AI232" s="615"/>
      <c r="AJ232" s="615"/>
      <c r="AK232" s="615"/>
      <c r="AL232" s="615"/>
      <c r="AM232" s="615"/>
      <c r="AN232" s="615"/>
      <c r="AO232" s="615"/>
      <c r="AP232" s="615"/>
      <c r="AQ232" s="615"/>
      <c r="AR232" s="615"/>
      <c r="AS232" s="615"/>
    </row>
    <row r="233" spans="12:45">
      <c r="L233" s="615"/>
      <c r="M233" s="615"/>
      <c r="AB233" s="615"/>
      <c r="AC233" s="615"/>
      <c r="AD233" s="615"/>
      <c r="AE233" s="615"/>
      <c r="AF233" s="615"/>
      <c r="AG233" s="615"/>
      <c r="AH233" s="615"/>
      <c r="AI233" s="615"/>
      <c r="AJ233" s="615"/>
      <c r="AK233" s="615"/>
      <c r="AL233" s="615"/>
      <c r="AM233" s="615"/>
      <c r="AN233" s="615"/>
      <c r="AO233" s="615"/>
      <c r="AP233" s="615"/>
      <c r="AQ233" s="615"/>
      <c r="AR233" s="615"/>
      <c r="AS233" s="615"/>
    </row>
    <row r="234" spans="12:45">
      <c r="L234" s="615"/>
      <c r="M234" s="615"/>
      <c r="AB234" s="615"/>
      <c r="AC234" s="615"/>
      <c r="AD234" s="615"/>
      <c r="AE234" s="615"/>
      <c r="AF234" s="615"/>
      <c r="AG234" s="615"/>
      <c r="AH234" s="615"/>
      <c r="AI234" s="615"/>
      <c r="AJ234" s="615"/>
      <c r="AK234" s="615"/>
      <c r="AL234" s="615"/>
      <c r="AM234" s="615"/>
      <c r="AN234" s="615"/>
      <c r="AO234" s="615"/>
      <c r="AP234" s="615"/>
      <c r="AQ234" s="615"/>
      <c r="AR234" s="615"/>
      <c r="AS234" s="615"/>
    </row>
    <row r="235" spans="12:45">
      <c r="L235" s="615"/>
      <c r="M235" s="615"/>
      <c r="AB235" s="615"/>
      <c r="AC235" s="615"/>
      <c r="AD235" s="615"/>
      <c r="AE235" s="615"/>
      <c r="AF235" s="615"/>
      <c r="AG235" s="615"/>
      <c r="AH235" s="615"/>
      <c r="AI235" s="615"/>
      <c r="AJ235" s="615"/>
      <c r="AK235" s="615"/>
      <c r="AL235" s="615"/>
      <c r="AM235" s="615"/>
      <c r="AN235" s="615"/>
      <c r="AO235" s="615"/>
      <c r="AP235" s="615"/>
      <c r="AQ235" s="615"/>
      <c r="AR235" s="615"/>
      <c r="AS235" s="615"/>
    </row>
    <row r="236" spans="12:45">
      <c r="L236" s="615"/>
      <c r="M236" s="615"/>
      <c r="AB236" s="615"/>
      <c r="AC236" s="615"/>
      <c r="AD236" s="615"/>
      <c r="AE236" s="615"/>
      <c r="AF236" s="615"/>
      <c r="AG236" s="615"/>
      <c r="AH236" s="615"/>
      <c r="AI236" s="615"/>
      <c r="AJ236" s="615"/>
      <c r="AK236" s="615"/>
      <c r="AL236" s="615"/>
      <c r="AM236" s="615"/>
      <c r="AN236" s="615"/>
      <c r="AO236" s="615"/>
      <c r="AP236" s="615"/>
      <c r="AQ236" s="615"/>
      <c r="AR236" s="615"/>
      <c r="AS236" s="615"/>
    </row>
    <row r="237" spans="12:45">
      <c r="L237" s="615"/>
      <c r="M237" s="615"/>
      <c r="AB237" s="615"/>
      <c r="AC237" s="615"/>
      <c r="AD237" s="615"/>
      <c r="AE237" s="615"/>
      <c r="AF237" s="615"/>
      <c r="AG237" s="615"/>
      <c r="AH237" s="615"/>
      <c r="AI237" s="615"/>
      <c r="AJ237" s="615"/>
      <c r="AK237" s="615"/>
      <c r="AL237" s="615"/>
      <c r="AM237" s="615"/>
      <c r="AN237" s="615"/>
      <c r="AO237" s="615"/>
      <c r="AP237" s="615"/>
      <c r="AQ237" s="615"/>
      <c r="AR237" s="615"/>
      <c r="AS237" s="615"/>
    </row>
    <row r="238" spans="12:45">
      <c r="L238" s="615"/>
      <c r="M238" s="615"/>
      <c r="AB238" s="615"/>
      <c r="AC238" s="615"/>
      <c r="AD238" s="615"/>
      <c r="AE238" s="615"/>
      <c r="AF238" s="615"/>
      <c r="AG238" s="615"/>
      <c r="AH238" s="615"/>
      <c r="AI238" s="615"/>
      <c r="AJ238" s="615"/>
      <c r="AK238" s="615"/>
      <c r="AL238" s="615"/>
      <c r="AM238" s="615"/>
      <c r="AN238" s="615"/>
      <c r="AO238" s="615"/>
      <c r="AP238" s="615"/>
      <c r="AQ238" s="615"/>
      <c r="AR238" s="615"/>
      <c r="AS238" s="615"/>
    </row>
    <row r="239" spans="12:45">
      <c r="L239" s="615"/>
      <c r="M239" s="615"/>
      <c r="AB239" s="615"/>
      <c r="AC239" s="615"/>
      <c r="AD239" s="615"/>
      <c r="AE239" s="615"/>
      <c r="AF239" s="615"/>
      <c r="AG239" s="615"/>
      <c r="AH239" s="615"/>
      <c r="AI239" s="615"/>
      <c r="AJ239" s="615"/>
      <c r="AK239" s="615"/>
      <c r="AL239" s="615"/>
      <c r="AM239" s="615"/>
      <c r="AN239" s="615"/>
      <c r="AO239" s="615"/>
      <c r="AP239" s="615"/>
      <c r="AQ239" s="615"/>
      <c r="AR239" s="615"/>
      <c r="AS239" s="615"/>
    </row>
    <row r="240" spans="12:45">
      <c r="L240" s="615"/>
      <c r="M240" s="615"/>
      <c r="AB240" s="615"/>
      <c r="AC240" s="615"/>
      <c r="AD240" s="615"/>
      <c r="AE240" s="615"/>
      <c r="AF240" s="615"/>
      <c r="AG240" s="615"/>
      <c r="AH240" s="615"/>
      <c r="AI240" s="615"/>
      <c r="AJ240" s="615"/>
      <c r="AK240" s="615"/>
      <c r="AL240" s="615"/>
      <c r="AM240" s="615"/>
      <c r="AN240" s="615"/>
      <c r="AO240" s="615"/>
      <c r="AP240" s="615"/>
      <c r="AQ240" s="615"/>
      <c r="AR240" s="615"/>
      <c r="AS240" s="615"/>
    </row>
    <row r="241" spans="12:45">
      <c r="L241" s="615"/>
      <c r="M241" s="615"/>
      <c r="AB241" s="615"/>
      <c r="AC241" s="615"/>
      <c r="AD241" s="615"/>
      <c r="AE241" s="615"/>
      <c r="AF241" s="615"/>
      <c r="AG241" s="615"/>
      <c r="AH241" s="615"/>
      <c r="AI241" s="615"/>
      <c r="AJ241" s="615"/>
      <c r="AK241" s="615"/>
      <c r="AL241" s="615"/>
      <c r="AM241" s="615"/>
      <c r="AN241" s="615"/>
      <c r="AO241" s="615"/>
      <c r="AP241" s="615"/>
      <c r="AQ241" s="615"/>
      <c r="AR241" s="615"/>
      <c r="AS241" s="615"/>
    </row>
    <row r="242" spans="12:45">
      <c r="L242" s="615"/>
      <c r="M242" s="615"/>
      <c r="AB242" s="615"/>
      <c r="AC242" s="615"/>
      <c r="AD242" s="615"/>
      <c r="AE242" s="615"/>
      <c r="AF242" s="615"/>
      <c r="AG242" s="615"/>
      <c r="AH242" s="615"/>
      <c r="AI242" s="615"/>
      <c r="AJ242" s="615"/>
      <c r="AK242" s="615"/>
      <c r="AL242" s="615"/>
      <c r="AM242" s="615"/>
      <c r="AN242" s="615"/>
      <c r="AO242" s="615"/>
      <c r="AP242" s="615"/>
      <c r="AQ242" s="615"/>
      <c r="AR242" s="615"/>
      <c r="AS242" s="615"/>
    </row>
    <row r="243" spans="12:45">
      <c r="L243" s="615"/>
      <c r="M243" s="615"/>
      <c r="AB243" s="615"/>
      <c r="AC243" s="615"/>
      <c r="AD243" s="615"/>
      <c r="AE243" s="615"/>
      <c r="AF243" s="615"/>
      <c r="AG243" s="615"/>
      <c r="AH243" s="615"/>
      <c r="AI243" s="615"/>
      <c r="AJ243" s="615"/>
      <c r="AK243" s="615"/>
      <c r="AL243" s="615"/>
      <c r="AM243" s="615"/>
      <c r="AN243" s="615"/>
      <c r="AO243" s="615"/>
      <c r="AP243" s="615"/>
      <c r="AQ243" s="615"/>
      <c r="AR243" s="615"/>
      <c r="AS243" s="615"/>
    </row>
    <row r="244" spans="12:45">
      <c r="L244" s="615"/>
      <c r="M244" s="615"/>
      <c r="AB244" s="615"/>
      <c r="AC244" s="615"/>
      <c r="AD244" s="615"/>
      <c r="AE244" s="615"/>
      <c r="AF244" s="615"/>
      <c r="AG244" s="615"/>
      <c r="AH244" s="615"/>
      <c r="AI244" s="615"/>
      <c r="AJ244" s="615"/>
      <c r="AK244" s="615"/>
      <c r="AL244" s="615"/>
      <c r="AM244" s="615"/>
      <c r="AN244" s="615"/>
      <c r="AO244" s="615"/>
      <c r="AP244" s="615"/>
      <c r="AQ244" s="615"/>
      <c r="AR244" s="615"/>
      <c r="AS244" s="615"/>
    </row>
    <row r="245" spans="12:45">
      <c r="L245" s="615"/>
      <c r="M245" s="615"/>
      <c r="AB245" s="615"/>
      <c r="AC245" s="615"/>
      <c r="AD245" s="615"/>
      <c r="AE245" s="615"/>
      <c r="AF245" s="615"/>
      <c r="AG245" s="615"/>
      <c r="AH245" s="615"/>
      <c r="AI245" s="615"/>
      <c r="AJ245" s="615"/>
      <c r="AK245" s="615"/>
      <c r="AL245" s="615"/>
      <c r="AM245" s="615"/>
      <c r="AN245" s="615"/>
      <c r="AO245" s="615"/>
      <c r="AP245" s="615"/>
      <c r="AQ245" s="615"/>
      <c r="AR245" s="615"/>
      <c r="AS245" s="615"/>
    </row>
    <row r="246" spans="12:45">
      <c r="L246" s="615"/>
      <c r="M246" s="615"/>
      <c r="AB246" s="615"/>
      <c r="AC246" s="615"/>
      <c r="AD246" s="615"/>
      <c r="AE246" s="615"/>
      <c r="AF246" s="615"/>
      <c r="AG246" s="615"/>
      <c r="AH246" s="615"/>
      <c r="AI246" s="615"/>
      <c r="AJ246" s="615"/>
      <c r="AK246" s="615"/>
      <c r="AL246" s="615"/>
      <c r="AM246" s="615"/>
      <c r="AN246" s="615"/>
      <c r="AO246" s="615"/>
      <c r="AP246" s="615"/>
      <c r="AQ246" s="615"/>
      <c r="AR246" s="615"/>
      <c r="AS246" s="615"/>
    </row>
    <row r="247" spans="12:45">
      <c r="L247" s="615"/>
      <c r="M247" s="615"/>
      <c r="AB247" s="615"/>
      <c r="AC247" s="615"/>
      <c r="AD247" s="615"/>
      <c r="AE247" s="615"/>
      <c r="AF247" s="615"/>
      <c r="AG247" s="615"/>
      <c r="AH247" s="615"/>
      <c r="AI247" s="615"/>
      <c r="AJ247" s="615"/>
      <c r="AK247" s="615"/>
      <c r="AL247" s="615"/>
      <c r="AM247" s="615"/>
      <c r="AN247" s="615"/>
      <c r="AO247" s="615"/>
      <c r="AP247" s="615"/>
      <c r="AQ247" s="615"/>
      <c r="AR247" s="615"/>
      <c r="AS247" s="615"/>
    </row>
    <row r="248" spans="12:45">
      <c r="L248" s="615"/>
      <c r="M248" s="615"/>
      <c r="AB248" s="615"/>
      <c r="AC248" s="615"/>
      <c r="AD248" s="615"/>
      <c r="AE248" s="615"/>
      <c r="AF248" s="615"/>
      <c r="AG248" s="615"/>
      <c r="AH248" s="615"/>
      <c r="AI248" s="615"/>
      <c r="AJ248" s="615"/>
      <c r="AK248" s="615"/>
      <c r="AL248" s="615"/>
      <c r="AM248" s="615"/>
      <c r="AN248" s="615"/>
      <c r="AO248" s="615"/>
      <c r="AP248" s="615"/>
      <c r="AQ248" s="615"/>
      <c r="AR248" s="615"/>
      <c r="AS248" s="615"/>
    </row>
    <row r="249" spans="12:45">
      <c r="L249" s="615"/>
      <c r="M249" s="615"/>
      <c r="AB249" s="615"/>
      <c r="AC249" s="615"/>
      <c r="AD249" s="615"/>
      <c r="AE249" s="615"/>
      <c r="AF249" s="615"/>
      <c r="AG249" s="615"/>
      <c r="AH249" s="615"/>
      <c r="AI249" s="615"/>
      <c r="AJ249" s="615"/>
      <c r="AK249" s="615"/>
      <c r="AL249" s="615"/>
      <c r="AM249" s="615"/>
      <c r="AN249" s="615"/>
      <c r="AO249" s="615"/>
      <c r="AP249" s="615"/>
      <c r="AQ249" s="615"/>
      <c r="AR249" s="615"/>
      <c r="AS249" s="615"/>
    </row>
    <row r="250" spans="12:45">
      <c r="L250" s="615"/>
      <c r="M250" s="615"/>
      <c r="AB250" s="615"/>
      <c r="AC250" s="615"/>
      <c r="AD250" s="615"/>
      <c r="AE250" s="615"/>
      <c r="AF250" s="615"/>
      <c r="AG250" s="615"/>
      <c r="AH250" s="615"/>
      <c r="AI250" s="615"/>
      <c r="AJ250" s="615"/>
      <c r="AK250" s="615"/>
      <c r="AL250" s="615"/>
      <c r="AM250" s="615"/>
      <c r="AN250" s="615"/>
      <c r="AO250" s="615"/>
      <c r="AP250" s="615"/>
      <c r="AQ250" s="615"/>
      <c r="AR250" s="615"/>
      <c r="AS250" s="615"/>
    </row>
    <row r="251" spans="12:45">
      <c r="L251" s="615"/>
      <c r="M251" s="615"/>
      <c r="AB251" s="615"/>
      <c r="AC251" s="615"/>
      <c r="AD251" s="615"/>
      <c r="AE251" s="615"/>
      <c r="AF251" s="615"/>
      <c r="AG251" s="615"/>
      <c r="AH251" s="615"/>
      <c r="AI251" s="615"/>
      <c r="AJ251" s="615"/>
      <c r="AK251" s="615"/>
      <c r="AL251" s="615"/>
      <c r="AM251" s="615"/>
      <c r="AN251" s="615"/>
      <c r="AO251" s="615"/>
      <c r="AP251" s="615"/>
      <c r="AQ251" s="615"/>
      <c r="AR251" s="615"/>
      <c r="AS251" s="615"/>
    </row>
    <row r="252" spans="12:45">
      <c r="L252" s="615"/>
      <c r="M252" s="615"/>
      <c r="AB252" s="615"/>
      <c r="AC252" s="615"/>
      <c r="AD252" s="615"/>
      <c r="AE252" s="615"/>
      <c r="AF252" s="615"/>
      <c r="AG252" s="615"/>
      <c r="AH252" s="615"/>
      <c r="AI252" s="615"/>
      <c r="AJ252" s="615"/>
      <c r="AK252" s="615"/>
      <c r="AL252" s="615"/>
      <c r="AM252" s="615"/>
      <c r="AN252" s="615"/>
      <c r="AO252" s="615"/>
      <c r="AP252" s="615"/>
      <c r="AQ252" s="615"/>
      <c r="AR252" s="615"/>
      <c r="AS252" s="615"/>
    </row>
    <row r="253" spans="12:45">
      <c r="L253" s="615"/>
      <c r="M253" s="615"/>
      <c r="AB253" s="615"/>
      <c r="AC253" s="615"/>
      <c r="AD253" s="615"/>
      <c r="AE253" s="615"/>
      <c r="AF253" s="615"/>
      <c r="AG253" s="615"/>
      <c r="AH253" s="615"/>
      <c r="AI253" s="615"/>
      <c r="AJ253" s="615"/>
      <c r="AK253" s="615"/>
      <c r="AL253" s="615"/>
      <c r="AM253" s="615"/>
      <c r="AN253" s="615"/>
      <c r="AO253" s="615"/>
      <c r="AP253" s="615"/>
      <c r="AQ253" s="615"/>
      <c r="AR253" s="615"/>
      <c r="AS253" s="615"/>
    </row>
    <row r="254" spans="12:45">
      <c r="L254" s="615"/>
      <c r="M254" s="615"/>
      <c r="AB254" s="615"/>
      <c r="AC254" s="615"/>
      <c r="AD254" s="615"/>
      <c r="AE254" s="615"/>
      <c r="AF254" s="615"/>
      <c r="AG254" s="615"/>
      <c r="AH254" s="615"/>
      <c r="AI254" s="615"/>
      <c r="AJ254" s="615"/>
      <c r="AK254" s="615"/>
      <c r="AL254" s="615"/>
      <c r="AM254" s="615"/>
      <c r="AN254" s="615"/>
      <c r="AO254" s="615"/>
      <c r="AP254" s="615"/>
      <c r="AQ254" s="615"/>
      <c r="AR254" s="615"/>
      <c r="AS254" s="615"/>
    </row>
    <row r="255" spans="12:45">
      <c r="L255" s="615"/>
      <c r="M255" s="615"/>
      <c r="AB255" s="615"/>
      <c r="AC255" s="615"/>
      <c r="AD255" s="615"/>
      <c r="AE255" s="615"/>
      <c r="AF255" s="615"/>
      <c r="AG255" s="615"/>
      <c r="AH255" s="615"/>
      <c r="AI255" s="615"/>
      <c r="AJ255" s="615"/>
      <c r="AK255" s="615"/>
      <c r="AL255" s="615"/>
      <c r="AM255" s="615"/>
      <c r="AN255" s="615"/>
      <c r="AO255" s="615"/>
      <c r="AP255" s="615"/>
      <c r="AQ255" s="615"/>
      <c r="AR255" s="615"/>
      <c r="AS255" s="615"/>
    </row>
    <row r="256" spans="12:45">
      <c r="L256" s="615"/>
      <c r="M256" s="615"/>
      <c r="AB256" s="615"/>
      <c r="AC256" s="615"/>
      <c r="AD256" s="615"/>
      <c r="AE256" s="615"/>
      <c r="AF256" s="615"/>
      <c r="AG256" s="615"/>
      <c r="AH256" s="615"/>
      <c r="AI256" s="615"/>
      <c r="AJ256" s="615"/>
      <c r="AK256" s="615"/>
      <c r="AL256" s="615"/>
      <c r="AM256" s="615"/>
      <c r="AN256" s="615"/>
      <c r="AO256" s="615"/>
      <c r="AP256" s="615"/>
      <c r="AQ256" s="615"/>
      <c r="AR256" s="615"/>
      <c r="AS256" s="615"/>
    </row>
    <row r="257" spans="12:45">
      <c r="L257" s="615"/>
      <c r="M257" s="615"/>
      <c r="AB257" s="615"/>
      <c r="AC257" s="615"/>
      <c r="AD257" s="615"/>
      <c r="AE257" s="615"/>
      <c r="AF257" s="615"/>
      <c r="AG257" s="615"/>
      <c r="AH257" s="615"/>
      <c r="AI257" s="615"/>
      <c r="AJ257" s="615"/>
      <c r="AK257" s="615"/>
      <c r="AL257" s="615"/>
      <c r="AM257" s="615"/>
      <c r="AN257" s="615"/>
      <c r="AO257" s="615"/>
      <c r="AP257" s="615"/>
      <c r="AQ257" s="615"/>
      <c r="AR257" s="615"/>
      <c r="AS257" s="615"/>
    </row>
    <row r="258" spans="12:45">
      <c r="L258" s="615"/>
      <c r="M258" s="615"/>
      <c r="AB258" s="615"/>
      <c r="AC258" s="615"/>
      <c r="AD258" s="615"/>
      <c r="AE258" s="615"/>
      <c r="AF258" s="615"/>
      <c r="AG258" s="615"/>
      <c r="AH258" s="615"/>
      <c r="AI258" s="615"/>
      <c r="AJ258" s="615"/>
      <c r="AK258" s="615"/>
      <c r="AL258" s="615"/>
      <c r="AM258" s="615"/>
      <c r="AN258" s="615"/>
      <c r="AO258" s="615"/>
      <c r="AP258" s="615"/>
      <c r="AQ258" s="615"/>
      <c r="AR258" s="615"/>
      <c r="AS258" s="615"/>
    </row>
    <row r="259" spans="12:45">
      <c r="L259" s="615"/>
      <c r="M259" s="615"/>
      <c r="AB259" s="615"/>
      <c r="AC259" s="615"/>
      <c r="AD259" s="615"/>
      <c r="AE259" s="615"/>
      <c r="AF259" s="615"/>
      <c r="AG259" s="615"/>
      <c r="AH259" s="615"/>
      <c r="AI259" s="615"/>
      <c r="AJ259" s="615"/>
      <c r="AK259" s="615"/>
      <c r="AL259" s="615"/>
      <c r="AM259" s="615"/>
      <c r="AN259" s="615"/>
      <c r="AO259" s="615"/>
      <c r="AP259" s="615"/>
      <c r="AQ259" s="615"/>
      <c r="AR259" s="615"/>
      <c r="AS259" s="615"/>
    </row>
    <row r="260" spans="12:45">
      <c r="L260" s="615"/>
      <c r="M260" s="615"/>
      <c r="AB260" s="615"/>
      <c r="AC260" s="615"/>
      <c r="AD260" s="615"/>
      <c r="AE260" s="615"/>
      <c r="AF260" s="615"/>
      <c r="AG260" s="615"/>
      <c r="AH260" s="615"/>
      <c r="AI260" s="615"/>
      <c r="AJ260" s="615"/>
      <c r="AK260" s="615"/>
      <c r="AL260" s="615"/>
      <c r="AM260" s="615"/>
      <c r="AN260" s="615"/>
      <c r="AO260" s="615"/>
      <c r="AP260" s="615"/>
      <c r="AQ260" s="615"/>
      <c r="AR260" s="615"/>
      <c r="AS260" s="615"/>
    </row>
    <row r="261" spans="12:45">
      <c r="L261" s="615"/>
      <c r="M261" s="615"/>
      <c r="AB261" s="615"/>
      <c r="AC261" s="615"/>
      <c r="AD261" s="615"/>
      <c r="AE261" s="615"/>
      <c r="AF261" s="615"/>
      <c r="AG261" s="615"/>
      <c r="AH261" s="615"/>
      <c r="AI261" s="615"/>
      <c r="AJ261" s="615"/>
      <c r="AK261" s="615"/>
      <c r="AL261" s="615"/>
      <c r="AM261" s="615"/>
      <c r="AN261" s="615"/>
      <c r="AO261" s="615"/>
      <c r="AP261" s="615"/>
      <c r="AQ261" s="615"/>
      <c r="AR261" s="615"/>
      <c r="AS261" s="615"/>
    </row>
    <row r="262" spans="12:45">
      <c r="L262" s="615"/>
      <c r="M262" s="615"/>
      <c r="AB262" s="615"/>
      <c r="AC262" s="615"/>
      <c r="AD262" s="615"/>
      <c r="AE262" s="615"/>
      <c r="AF262" s="615"/>
      <c r="AG262" s="615"/>
      <c r="AH262" s="615"/>
      <c r="AI262" s="615"/>
      <c r="AJ262" s="615"/>
      <c r="AK262" s="615"/>
      <c r="AL262" s="615"/>
      <c r="AM262" s="615"/>
      <c r="AN262" s="615"/>
      <c r="AO262" s="615"/>
      <c r="AP262" s="615"/>
      <c r="AQ262" s="615"/>
      <c r="AR262" s="615"/>
      <c r="AS262" s="615"/>
    </row>
    <row r="263" spans="12:45">
      <c r="L263" s="615"/>
      <c r="M263" s="615"/>
      <c r="AB263" s="615"/>
      <c r="AC263" s="615"/>
      <c r="AD263" s="615"/>
      <c r="AE263" s="615"/>
      <c r="AF263" s="615"/>
      <c r="AG263" s="615"/>
      <c r="AH263" s="615"/>
      <c r="AI263" s="615"/>
      <c r="AJ263" s="615"/>
      <c r="AK263" s="615"/>
      <c r="AL263" s="615"/>
      <c r="AM263" s="615"/>
      <c r="AN263" s="615"/>
      <c r="AO263" s="615"/>
      <c r="AP263" s="615"/>
      <c r="AQ263" s="615"/>
      <c r="AR263" s="615"/>
      <c r="AS263" s="615"/>
    </row>
    <row r="264" spans="12:45">
      <c r="L264" s="615"/>
      <c r="M264" s="615"/>
      <c r="AB264" s="615"/>
      <c r="AC264" s="615"/>
      <c r="AD264" s="615"/>
      <c r="AE264" s="615"/>
      <c r="AF264" s="615"/>
      <c r="AG264" s="615"/>
      <c r="AH264" s="615"/>
      <c r="AI264" s="615"/>
      <c r="AJ264" s="615"/>
      <c r="AK264" s="615"/>
      <c r="AL264" s="615"/>
      <c r="AM264" s="615"/>
      <c r="AN264" s="615"/>
      <c r="AO264" s="615"/>
      <c r="AP264" s="615"/>
      <c r="AQ264" s="615"/>
      <c r="AR264" s="615"/>
      <c r="AS264" s="615"/>
    </row>
    <row r="265" spans="12:45">
      <c r="L265" s="615"/>
      <c r="M265" s="615"/>
      <c r="AB265" s="615"/>
      <c r="AC265" s="615"/>
      <c r="AD265" s="615"/>
      <c r="AE265" s="615"/>
      <c r="AF265" s="615"/>
      <c r="AG265" s="615"/>
      <c r="AH265" s="615"/>
      <c r="AI265" s="615"/>
      <c r="AJ265" s="615"/>
      <c r="AK265" s="615"/>
      <c r="AL265" s="615"/>
      <c r="AM265" s="615"/>
      <c r="AN265" s="615"/>
      <c r="AO265" s="615"/>
      <c r="AP265" s="615"/>
      <c r="AQ265" s="615"/>
      <c r="AR265" s="615"/>
      <c r="AS265" s="615"/>
    </row>
    <row r="266" spans="12:45">
      <c r="L266" s="615"/>
      <c r="M266" s="615"/>
      <c r="AB266" s="615"/>
      <c r="AC266" s="615"/>
      <c r="AD266" s="615"/>
      <c r="AE266" s="615"/>
      <c r="AF266" s="615"/>
      <c r="AG266" s="615"/>
      <c r="AH266" s="615"/>
      <c r="AI266" s="615"/>
      <c r="AJ266" s="615"/>
      <c r="AK266" s="615"/>
      <c r="AL266" s="615"/>
      <c r="AM266" s="615"/>
      <c r="AN266" s="615"/>
      <c r="AO266" s="615"/>
      <c r="AP266" s="615"/>
      <c r="AQ266" s="615"/>
      <c r="AR266" s="615"/>
      <c r="AS266" s="615"/>
    </row>
    <row r="267" spans="12:45">
      <c r="L267" s="615"/>
      <c r="M267" s="615"/>
      <c r="AB267" s="615"/>
      <c r="AC267" s="615"/>
      <c r="AD267" s="615"/>
      <c r="AE267" s="615"/>
      <c r="AF267" s="615"/>
      <c r="AG267" s="615"/>
      <c r="AH267" s="615"/>
      <c r="AI267" s="615"/>
      <c r="AJ267" s="615"/>
      <c r="AK267" s="615"/>
      <c r="AL267" s="615"/>
      <c r="AM267" s="615"/>
      <c r="AN267" s="615"/>
      <c r="AO267" s="615"/>
      <c r="AP267" s="615"/>
      <c r="AQ267" s="615"/>
      <c r="AR267" s="615"/>
      <c r="AS267" s="615"/>
    </row>
    <row r="268" spans="12:45">
      <c r="L268" s="615"/>
      <c r="M268" s="615"/>
      <c r="AB268" s="615"/>
      <c r="AC268" s="615"/>
      <c r="AD268" s="615"/>
      <c r="AE268" s="615"/>
      <c r="AF268" s="615"/>
      <c r="AG268" s="615"/>
      <c r="AH268" s="615"/>
      <c r="AI268" s="615"/>
      <c r="AJ268" s="615"/>
      <c r="AK268" s="615"/>
      <c r="AL268" s="615"/>
      <c r="AM268" s="615"/>
      <c r="AN268" s="615"/>
      <c r="AO268" s="615"/>
      <c r="AP268" s="615"/>
      <c r="AQ268" s="615"/>
      <c r="AR268" s="615"/>
      <c r="AS268" s="615"/>
    </row>
    <row r="269" spans="12:45">
      <c r="L269" s="615"/>
      <c r="M269" s="615"/>
      <c r="AB269" s="615"/>
      <c r="AC269" s="615"/>
      <c r="AD269" s="615"/>
      <c r="AE269" s="615"/>
      <c r="AF269" s="615"/>
      <c r="AG269" s="615"/>
      <c r="AH269" s="615"/>
      <c r="AI269" s="615"/>
      <c r="AJ269" s="615"/>
      <c r="AK269" s="615"/>
      <c r="AL269" s="615"/>
      <c r="AM269" s="615"/>
      <c r="AN269" s="615"/>
      <c r="AO269" s="615"/>
      <c r="AP269" s="615"/>
      <c r="AQ269" s="615"/>
      <c r="AR269" s="615"/>
      <c r="AS269" s="615"/>
    </row>
    <row r="270" spans="12:45">
      <c r="L270" s="615"/>
      <c r="M270" s="615"/>
      <c r="AB270" s="615"/>
      <c r="AC270" s="615"/>
      <c r="AD270" s="615"/>
      <c r="AE270" s="615"/>
      <c r="AF270" s="615"/>
      <c r="AG270" s="615"/>
      <c r="AH270" s="615"/>
      <c r="AI270" s="615"/>
      <c r="AJ270" s="615"/>
      <c r="AK270" s="615"/>
      <c r="AL270" s="615"/>
      <c r="AM270" s="615"/>
      <c r="AN270" s="615"/>
      <c r="AO270" s="615"/>
      <c r="AP270" s="615"/>
      <c r="AQ270" s="615"/>
      <c r="AR270" s="615"/>
      <c r="AS270" s="615"/>
    </row>
    <row r="271" spans="12:45">
      <c r="L271" s="615"/>
      <c r="M271" s="615"/>
      <c r="AB271" s="615"/>
      <c r="AC271" s="615"/>
      <c r="AD271" s="615"/>
      <c r="AE271" s="615"/>
      <c r="AF271" s="615"/>
      <c r="AG271" s="615"/>
      <c r="AH271" s="615"/>
      <c r="AI271" s="615"/>
      <c r="AJ271" s="615"/>
      <c r="AK271" s="615"/>
      <c r="AL271" s="615"/>
      <c r="AM271" s="615"/>
      <c r="AN271" s="615"/>
      <c r="AO271" s="615"/>
      <c r="AP271" s="615"/>
      <c r="AQ271" s="615"/>
      <c r="AR271" s="615"/>
      <c r="AS271" s="615"/>
    </row>
    <row r="272" spans="12:45">
      <c r="L272" s="615"/>
      <c r="M272" s="615"/>
      <c r="AB272" s="615"/>
      <c r="AC272" s="615"/>
      <c r="AD272" s="615"/>
      <c r="AE272" s="615"/>
      <c r="AF272" s="615"/>
      <c r="AG272" s="615"/>
      <c r="AH272" s="615"/>
      <c r="AI272" s="615"/>
      <c r="AJ272" s="615"/>
      <c r="AK272" s="615"/>
      <c r="AL272" s="615"/>
      <c r="AM272" s="615"/>
      <c r="AN272" s="615"/>
      <c r="AO272" s="615"/>
      <c r="AP272" s="615"/>
      <c r="AQ272" s="615"/>
      <c r="AR272" s="615"/>
      <c r="AS272" s="615"/>
    </row>
    <row r="273" spans="12:45">
      <c r="L273" s="615"/>
      <c r="M273" s="615"/>
      <c r="AB273" s="615"/>
      <c r="AC273" s="615"/>
      <c r="AD273" s="615"/>
      <c r="AE273" s="615"/>
      <c r="AF273" s="615"/>
      <c r="AG273" s="615"/>
      <c r="AH273" s="615"/>
      <c r="AI273" s="615"/>
      <c r="AJ273" s="615"/>
      <c r="AK273" s="615"/>
      <c r="AL273" s="615"/>
      <c r="AM273" s="615"/>
      <c r="AN273" s="615"/>
      <c r="AO273" s="615"/>
      <c r="AP273" s="615"/>
      <c r="AQ273" s="615"/>
      <c r="AR273" s="615"/>
      <c r="AS273" s="615"/>
    </row>
    <row r="274" spans="12:45">
      <c r="L274" s="615"/>
      <c r="M274" s="615"/>
      <c r="AB274" s="615"/>
      <c r="AC274" s="615"/>
      <c r="AD274" s="615"/>
      <c r="AE274" s="615"/>
      <c r="AF274" s="615"/>
      <c r="AG274" s="615"/>
      <c r="AH274" s="615"/>
      <c r="AI274" s="615"/>
      <c r="AJ274" s="615"/>
      <c r="AK274" s="615"/>
      <c r="AL274" s="615"/>
      <c r="AM274" s="615"/>
      <c r="AN274" s="615"/>
      <c r="AO274" s="615"/>
      <c r="AP274" s="615"/>
      <c r="AQ274" s="615"/>
      <c r="AR274" s="615"/>
      <c r="AS274" s="615"/>
    </row>
    <row r="275" spans="12:45">
      <c r="L275" s="615"/>
      <c r="M275" s="615"/>
      <c r="AB275" s="615"/>
      <c r="AC275" s="615"/>
      <c r="AD275" s="615"/>
      <c r="AE275" s="615"/>
      <c r="AF275" s="615"/>
      <c r="AG275" s="615"/>
      <c r="AH275" s="615"/>
      <c r="AI275" s="615"/>
      <c r="AJ275" s="615"/>
      <c r="AK275" s="615"/>
      <c r="AL275" s="615"/>
      <c r="AM275" s="615"/>
      <c r="AN275" s="615"/>
      <c r="AO275" s="615"/>
      <c r="AP275" s="615"/>
      <c r="AQ275" s="615"/>
      <c r="AR275" s="615"/>
      <c r="AS275" s="615"/>
    </row>
    <row r="276" spans="12:45">
      <c r="L276" s="615"/>
      <c r="M276" s="615"/>
      <c r="AB276" s="615"/>
      <c r="AC276" s="615"/>
      <c r="AD276" s="615"/>
      <c r="AE276" s="615"/>
      <c r="AF276" s="615"/>
      <c r="AG276" s="615"/>
      <c r="AH276" s="615"/>
      <c r="AI276" s="615"/>
      <c r="AJ276" s="615"/>
      <c r="AK276" s="615"/>
      <c r="AL276" s="615"/>
      <c r="AM276" s="615"/>
      <c r="AN276" s="615"/>
      <c r="AO276" s="615"/>
      <c r="AP276" s="615"/>
      <c r="AQ276" s="615"/>
      <c r="AR276" s="615"/>
      <c r="AS276" s="615"/>
    </row>
    <row r="277" spans="12:45">
      <c r="L277" s="615"/>
      <c r="M277" s="615"/>
      <c r="AB277" s="615"/>
      <c r="AC277" s="615"/>
      <c r="AD277" s="615"/>
      <c r="AE277" s="615"/>
      <c r="AF277" s="615"/>
      <c r="AG277" s="615"/>
      <c r="AH277" s="615"/>
      <c r="AI277" s="615"/>
      <c r="AJ277" s="615"/>
      <c r="AK277" s="615"/>
      <c r="AL277" s="615"/>
      <c r="AM277" s="615"/>
      <c r="AN277" s="615"/>
      <c r="AO277" s="615"/>
      <c r="AP277" s="615"/>
      <c r="AQ277" s="615"/>
      <c r="AR277" s="615"/>
      <c r="AS277" s="615"/>
    </row>
    <row r="278" spans="12:45">
      <c r="L278" s="615"/>
      <c r="M278" s="615"/>
      <c r="AB278" s="615"/>
      <c r="AC278" s="615"/>
      <c r="AD278" s="615"/>
      <c r="AE278" s="615"/>
      <c r="AF278" s="615"/>
      <c r="AG278" s="615"/>
      <c r="AH278" s="615"/>
      <c r="AI278" s="615"/>
      <c r="AJ278" s="615"/>
      <c r="AK278" s="615"/>
      <c r="AL278" s="615"/>
      <c r="AM278" s="615"/>
      <c r="AN278" s="615"/>
      <c r="AO278" s="615"/>
      <c r="AP278" s="615"/>
      <c r="AQ278" s="615"/>
      <c r="AR278" s="615"/>
      <c r="AS278" s="615"/>
    </row>
    <row r="279" spans="12:45">
      <c r="L279" s="615"/>
      <c r="M279" s="615"/>
      <c r="AB279" s="615"/>
      <c r="AC279" s="615"/>
      <c r="AD279" s="615"/>
      <c r="AE279" s="615"/>
      <c r="AF279" s="615"/>
      <c r="AG279" s="615"/>
      <c r="AH279" s="615"/>
      <c r="AI279" s="615"/>
      <c r="AJ279" s="615"/>
      <c r="AK279" s="615"/>
      <c r="AL279" s="615"/>
      <c r="AM279" s="615"/>
      <c r="AN279" s="615"/>
      <c r="AO279" s="615"/>
      <c r="AP279" s="615"/>
      <c r="AQ279" s="615"/>
      <c r="AR279" s="615"/>
      <c r="AS279" s="615"/>
    </row>
    <row r="280" spans="12:45">
      <c r="L280" s="615"/>
      <c r="M280" s="615"/>
      <c r="AB280" s="615"/>
      <c r="AC280" s="615"/>
      <c r="AD280" s="615"/>
      <c r="AE280" s="615"/>
      <c r="AF280" s="615"/>
      <c r="AG280" s="615"/>
      <c r="AH280" s="615"/>
      <c r="AI280" s="615"/>
      <c r="AJ280" s="615"/>
      <c r="AK280" s="615"/>
      <c r="AL280" s="615"/>
      <c r="AM280" s="615"/>
      <c r="AN280" s="615"/>
      <c r="AO280" s="615"/>
      <c r="AP280" s="615"/>
      <c r="AQ280" s="615"/>
      <c r="AR280" s="615"/>
      <c r="AS280" s="615"/>
    </row>
    <row r="281" spans="12:45">
      <c r="L281" s="615"/>
      <c r="M281" s="615"/>
      <c r="AB281" s="615"/>
      <c r="AC281" s="615"/>
      <c r="AD281" s="615"/>
      <c r="AE281" s="615"/>
      <c r="AF281" s="615"/>
      <c r="AG281" s="615"/>
      <c r="AH281" s="615"/>
      <c r="AI281" s="615"/>
      <c r="AJ281" s="615"/>
      <c r="AK281" s="615"/>
      <c r="AL281" s="615"/>
      <c r="AM281" s="615"/>
      <c r="AN281" s="615"/>
      <c r="AO281" s="615"/>
      <c r="AP281" s="615"/>
      <c r="AQ281" s="615"/>
      <c r="AR281" s="615"/>
      <c r="AS281" s="615"/>
    </row>
    <row r="282" spans="12:45">
      <c r="L282" s="615"/>
      <c r="M282" s="615"/>
      <c r="AB282" s="615"/>
      <c r="AC282" s="615"/>
      <c r="AD282" s="615"/>
      <c r="AE282" s="615"/>
      <c r="AF282" s="615"/>
      <c r="AG282" s="615"/>
      <c r="AH282" s="615"/>
      <c r="AI282" s="615"/>
      <c r="AJ282" s="615"/>
      <c r="AK282" s="615"/>
      <c r="AL282" s="615"/>
      <c r="AM282" s="615"/>
      <c r="AN282" s="615"/>
      <c r="AO282" s="615"/>
      <c r="AP282" s="615"/>
      <c r="AQ282" s="615"/>
      <c r="AR282" s="615"/>
      <c r="AS282" s="615"/>
    </row>
    <row r="283" spans="12:45">
      <c r="L283" s="615"/>
      <c r="M283" s="615"/>
      <c r="AB283" s="615"/>
      <c r="AC283" s="615"/>
      <c r="AD283" s="615"/>
      <c r="AE283" s="615"/>
      <c r="AF283" s="615"/>
      <c r="AG283" s="615"/>
      <c r="AH283" s="615"/>
      <c r="AI283" s="615"/>
      <c r="AJ283" s="615"/>
      <c r="AK283" s="615"/>
      <c r="AL283" s="615"/>
      <c r="AM283" s="615"/>
      <c r="AN283" s="615"/>
      <c r="AO283" s="615"/>
      <c r="AP283" s="615"/>
      <c r="AQ283" s="615"/>
      <c r="AR283" s="615"/>
      <c r="AS283" s="615"/>
    </row>
    <row r="284" spans="12:45">
      <c r="L284" s="615"/>
      <c r="M284" s="615"/>
      <c r="AB284" s="615"/>
      <c r="AC284" s="615"/>
      <c r="AD284" s="615"/>
      <c r="AE284" s="615"/>
      <c r="AF284" s="615"/>
      <c r="AG284" s="615"/>
      <c r="AH284" s="615"/>
      <c r="AI284" s="615"/>
      <c r="AJ284" s="615"/>
      <c r="AK284" s="615"/>
      <c r="AL284" s="615"/>
      <c r="AM284" s="615"/>
      <c r="AN284" s="615"/>
      <c r="AO284" s="615"/>
      <c r="AP284" s="615"/>
      <c r="AQ284" s="615"/>
      <c r="AR284" s="615"/>
      <c r="AS284" s="615"/>
    </row>
    <row r="285" spans="12:45">
      <c r="L285" s="615"/>
      <c r="M285" s="615"/>
      <c r="AB285" s="615"/>
      <c r="AC285" s="615"/>
      <c r="AD285" s="615"/>
      <c r="AE285" s="615"/>
      <c r="AF285" s="615"/>
      <c r="AG285" s="615"/>
      <c r="AH285" s="615"/>
      <c r="AI285" s="615"/>
      <c r="AJ285" s="615"/>
      <c r="AK285" s="615"/>
      <c r="AL285" s="615"/>
      <c r="AM285" s="615"/>
      <c r="AN285" s="615"/>
      <c r="AO285" s="615"/>
      <c r="AP285" s="615"/>
      <c r="AQ285" s="615"/>
      <c r="AR285" s="615"/>
      <c r="AS285" s="615"/>
    </row>
    <row r="286" spans="12:45">
      <c r="L286" s="615"/>
      <c r="M286" s="615"/>
      <c r="AB286" s="615"/>
      <c r="AC286" s="615"/>
      <c r="AD286" s="615"/>
      <c r="AE286" s="615"/>
      <c r="AF286" s="615"/>
      <c r="AG286" s="615"/>
      <c r="AH286" s="615"/>
      <c r="AI286" s="615"/>
      <c r="AJ286" s="615"/>
      <c r="AK286" s="615"/>
      <c r="AL286" s="615"/>
      <c r="AM286" s="615"/>
      <c r="AN286" s="615"/>
      <c r="AO286" s="615"/>
      <c r="AP286" s="615"/>
      <c r="AQ286" s="615"/>
      <c r="AR286" s="615"/>
      <c r="AS286" s="615"/>
    </row>
    <row r="287" spans="12:45">
      <c r="L287" s="615"/>
      <c r="M287" s="615"/>
      <c r="AB287" s="615"/>
      <c r="AC287" s="615"/>
      <c r="AD287" s="615"/>
      <c r="AE287" s="615"/>
      <c r="AF287" s="615"/>
      <c r="AG287" s="615"/>
      <c r="AH287" s="615"/>
      <c r="AI287" s="615"/>
      <c r="AJ287" s="615"/>
      <c r="AK287" s="615"/>
      <c r="AL287" s="615"/>
      <c r="AM287" s="615"/>
      <c r="AN287" s="615"/>
      <c r="AO287" s="615"/>
      <c r="AP287" s="615"/>
      <c r="AQ287" s="615"/>
      <c r="AR287" s="615"/>
      <c r="AS287" s="615"/>
    </row>
    <row r="288" spans="12:45">
      <c r="L288" s="615"/>
      <c r="M288" s="615"/>
      <c r="AB288" s="615"/>
      <c r="AC288" s="615"/>
      <c r="AD288" s="615"/>
      <c r="AE288" s="615"/>
      <c r="AF288" s="615"/>
      <c r="AG288" s="615"/>
      <c r="AH288" s="615"/>
      <c r="AI288" s="615"/>
      <c r="AJ288" s="615"/>
      <c r="AK288" s="615"/>
      <c r="AL288" s="615"/>
      <c r="AM288" s="615"/>
      <c r="AN288" s="615"/>
      <c r="AO288" s="615"/>
      <c r="AP288" s="615"/>
      <c r="AQ288" s="615"/>
      <c r="AR288" s="615"/>
      <c r="AS288" s="615"/>
    </row>
    <row r="289" spans="12:45">
      <c r="L289" s="615"/>
      <c r="M289" s="615"/>
      <c r="AB289" s="615"/>
      <c r="AC289" s="615"/>
      <c r="AD289" s="615"/>
      <c r="AE289" s="615"/>
      <c r="AF289" s="615"/>
      <c r="AG289" s="615"/>
      <c r="AH289" s="615"/>
      <c r="AI289" s="615"/>
      <c r="AJ289" s="615"/>
      <c r="AK289" s="615"/>
      <c r="AL289" s="615"/>
      <c r="AM289" s="615"/>
      <c r="AN289" s="615"/>
      <c r="AO289" s="615"/>
      <c r="AP289" s="615"/>
      <c r="AQ289" s="615"/>
      <c r="AR289" s="615"/>
      <c r="AS289" s="615"/>
    </row>
    <row r="290" spans="12:45">
      <c r="L290" s="615"/>
      <c r="M290" s="615"/>
      <c r="AB290" s="615"/>
      <c r="AC290" s="615"/>
      <c r="AD290" s="615"/>
      <c r="AE290" s="615"/>
      <c r="AF290" s="615"/>
      <c r="AG290" s="615"/>
      <c r="AH290" s="615"/>
      <c r="AI290" s="615"/>
      <c r="AJ290" s="615"/>
      <c r="AK290" s="615"/>
      <c r="AL290" s="615"/>
      <c r="AM290" s="615"/>
      <c r="AN290" s="615"/>
      <c r="AO290" s="615"/>
      <c r="AP290" s="615"/>
      <c r="AQ290" s="615"/>
      <c r="AR290" s="615"/>
      <c r="AS290" s="615"/>
    </row>
    <row r="291" spans="12:45">
      <c r="L291" s="615"/>
      <c r="M291" s="615"/>
      <c r="AB291" s="615"/>
      <c r="AC291" s="615"/>
      <c r="AD291" s="615"/>
      <c r="AE291" s="615"/>
      <c r="AF291" s="615"/>
      <c r="AG291" s="615"/>
      <c r="AH291" s="615"/>
      <c r="AI291" s="615"/>
      <c r="AJ291" s="615"/>
      <c r="AK291" s="615"/>
      <c r="AL291" s="615"/>
      <c r="AM291" s="615"/>
      <c r="AN291" s="615"/>
      <c r="AO291" s="615"/>
      <c r="AP291" s="615"/>
      <c r="AQ291" s="615"/>
      <c r="AR291" s="615"/>
      <c r="AS291" s="615"/>
    </row>
    <row r="292" spans="12:45">
      <c r="L292" s="615"/>
      <c r="M292" s="615"/>
      <c r="AB292" s="615"/>
      <c r="AC292" s="615"/>
      <c r="AD292" s="615"/>
      <c r="AE292" s="615"/>
      <c r="AF292" s="615"/>
      <c r="AG292" s="615"/>
      <c r="AH292" s="615"/>
      <c r="AI292" s="615"/>
      <c r="AJ292" s="615"/>
      <c r="AK292" s="615"/>
      <c r="AL292" s="615"/>
      <c r="AM292" s="615"/>
      <c r="AN292" s="615"/>
      <c r="AO292" s="615"/>
      <c r="AP292" s="615"/>
      <c r="AQ292" s="615"/>
      <c r="AR292" s="615"/>
      <c r="AS292" s="615"/>
    </row>
    <row r="293" spans="12:45">
      <c r="L293" s="615"/>
      <c r="M293" s="615"/>
      <c r="AB293" s="615"/>
      <c r="AC293" s="615"/>
      <c r="AD293" s="615"/>
      <c r="AE293" s="615"/>
      <c r="AF293" s="615"/>
      <c r="AG293" s="615"/>
      <c r="AH293" s="615"/>
      <c r="AI293" s="615"/>
      <c r="AJ293" s="615"/>
      <c r="AK293" s="615"/>
      <c r="AL293" s="615"/>
      <c r="AM293" s="615"/>
      <c r="AN293" s="615"/>
      <c r="AO293" s="615"/>
      <c r="AP293" s="615"/>
      <c r="AQ293" s="615"/>
      <c r="AR293" s="615"/>
      <c r="AS293" s="615"/>
    </row>
    <row r="294" spans="12:45">
      <c r="L294" s="615"/>
      <c r="M294" s="615"/>
      <c r="AB294" s="615"/>
      <c r="AC294" s="615"/>
      <c r="AD294" s="615"/>
      <c r="AE294" s="615"/>
      <c r="AF294" s="615"/>
      <c r="AG294" s="615"/>
      <c r="AH294" s="615"/>
      <c r="AI294" s="615"/>
      <c r="AJ294" s="615"/>
      <c r="AK294" s="615"/>
      <c r="AL294" s="615"/>
      <c r="AM294" s="615"/>
      <c r="AN294" s="615"/>
      <c r="AO294" s="615"/>
      <c r="AP294" s="615"/>
      <c r="AQ294" s="615"/>
      <c r="AR294" s="615"/>
      <c r="AS294" s="615"/>
    </row>
    <row r="295" spans="12:45">
      <c r="L295" s="615"/>
      <c r="M295" s="615"/>
      <c r="AB295" s="615"/>
      <c r="AC295" s="615"/>
      <c r="AD295" s="615"/>
      <c r="AE295" s="615"/>
      <c r="AF295" s="615"/>
      <c r="AG295" s="615"/>
      <c r="AH295" s="615"/>
      <c r="AI295" s="615"/>
      <c r="AJ295" s="615"/>
      <c r="AK295" s="615"/>
      <c r="AL295" s="615"/>
      <c r="AM295" s="615"/>
      <c r="AN295" s="615"/>
      <c r="AO295" s="615"/>
      <c r="AP295" s="615"/>
      <c r="AQ295" s="615"/>
      <c r="AR295" s="615"/>
      <c r="AS295" s="615"/>
    </row>
    <row r="296" spans="12:45">
      <c r="L296" s="615"/>
      <c r="M296" s="615"/>
      <c r="AB296" s="615"/>
      <c r="AC296" s="615"/>
      <c r="AD296" s="615"/>
      <c r="AE296" s="615"/>
      <c r="AF296" s="615"/>
      <c r="AG296" s="615"/>
      <c r="AH296" s="615"/>
      <c r="AI296" s="615"/>
      <c r="AJ296" s="615"/>
      <c r="AK296" s="615"/>
      <c r="AL296" s="615"/>
      <c r="AM296" s="615"/>
      <c r="AN296" s="615"/>
      <c r="AO296" s="615"/>
      <c r="AP296" s="615"/>
      <c r="AQ296" s="615"/>
      <c r="AR296" s="615"/>
      <c r="AS296" s="615"/>
    </row>
    <row r="297" spans="12:45">
      <c r="L297" s="615"/>
      <c r="M297" s="615"/>
      <c r="AB297" s="615"/>
      <c r="AC297" s="615"/>
      <c r="AD297" s="615"/>
      <c r="AE297" s="615"/>
      <c r="AF297" s="615"/>
      <c r="AG297" s="615"/>
      <c r="AH297" s="615"/>
      <c r="AI297" s="615"/>
      <c r="AJ297" s="615"/>
      <c r="AK297" s="615"/>
      <c r="AL297" s="615"/>
      <c r="AM297" s="615"/>
      <c r="AN297" s="615"/>
      <c r="AO297" s="615"/>
      <c r="AP297" s="615"/>
      <c r="AQ297" s="615"/>
      <c r="AR297" s="615"/>
      <c r="AS297" s="615"/>
    </row>
    <row r="298" spans="12:45">
      <c r="L298" s="615"/>
      <c r="M298" s="615"/>
      <c r="AB298" s="615"/>
      <c r="AC298" s="615"/>
      <c r="AD298" s="615"/>
      <c r="AE298" s="615"/>
      <c r="AF298" s="615"/>
      <c r="AG298" s="615"/>
      <c r="AH298" s="615"/>
      <c r="AI298" s="615"/>
      <c r="AJ298" s="615"/>
      <c r="AK298" s="615"/>
      <c r="AL298" s="615"/>
      <c r="AM298" s="615"/>
      <c r="AN298" s="615"/>
      <c r="AO298" s="615"/>
      <c r="AP298" s="615"/>
      <c r="AQ298" s="615"/>
      <c r="AR298" s="615"/>
      <c r="AS298" s="615"/>
    </row>
    <row r="299" spans="12:45">
      <c r="L299" s="615"/>
      <c r="M299" s="615"/>
      <c r="AB299" s="615"/>
      <c r="AC299" s="615"/>
      <c r="AD299" s="615"/>
      <c r="AE299" s="615"/>
      <c r="AF299" s="615"/>
      <c r="AG299" s="615"/>
      <c r="AH299" s="615"/>
      <c r="AI299" s="615"/>
      <c r="AJ299" s="615"/>
      <c r="AK299" s="615"/>
      <c r="AL299" s="615"/>
      <c r="AM299" s="615"/>
      <c r="AN299" s="615"/>
      <c r="AO299" s="615"/>
      <c r="AP299" s="615"/>
      <c r="AQ299" s="615"/>
      <c r="AR299" s="615"/>
      <c r="AS299" s="615"/>
    </row>
    <row r="300" spans="12:45">
      <c r="L300" s="615"/>
      <c r="M300" s="615"/>
      <c r="AB300" s="615"/>
      <c r="AC300" s="615"/>
      <c r="AD300" s="615"/>
      <c r="AE300" s="615"/>
      <c r="AF300" s="615"/>
      <c r="AG300" s="615"/>
      <c r="AH300" s="615"/>
      <c r="AI300" s="615"/>
      <c r="AJ300" s="615"/>
      <c r="AK300" s="615"/>
      <c r="AL300" s="615"/>
      <c r="AM300" s="615"/>
      <c r="AN300" s="615"/>
      <c r="AO300" s="615"/>
      <c r="AP300" s="615"/>
      <c r="AQ300" s="615"/>
      <c r="AR300" s="615"/>
      <c r="AS300" s="615"/>
    </row>
    <row r="301" spans="12:45">
      <c r="L301" s="615"/>
      <c r="M301" s="615"/>
      <c r="AB301" s="615"/>
      <c r="AC301" s="615"/>
      <c r="AD301" s="615"/>
      <c r="AE301" s="615"/>
      <c r="AF301" s="615"/>
      <c r="AG301" s="615"/>
      <c r="AH301" s="615"/>
      <c r="AI301" s="615"/>
      <c r="AJ301" s="615"/>
      <c r="AK301" s="615"/>
      <c r="AL301" s="615"/>
      <c r="AM301" s="615"/>
      <c r="AN301" s="615"/>
      <c r="AO301" s="615"/>
      <c r="AP301" s="615"/>
      <c r="AQ301" s="615"/>
      <c r="AR301" s="615"/>
      <c r="AS301" s="615"/>
    </row>
    <row r="302" spans="12:45">
      <c r="L302" s="615"/>
      <c r="M302" s="615"/>
      <c r="AB302" s="615"/>
      <c r="AC302" s="615"/>
      <c r="AD302" s="615"/>
      <c r="AE302" s="615"/>
      <c r="AF302" s="615"/>
      <c r="AG302" s="615"/>
      <c r="AH302" s="615"/>
      <c r="AI302" s="615"/>
      <c r="AJ302" s="615"/>
      <c r="AK302" s="615"/>
      <c r="AL302" s="615"/>
      <c r="AM302" s="615"/>
      <c r="AN302" s="615"/>
      <c r="AO302" s="615"/>
      <c r="AP302" s="615"/>
      <c r="AQ302" s="615"/>
      <c r="AR302" s="615"/>
      <c r="AS302" s="615"/>
    </row>
    <row r="303" spans="12:45">
      <c r="L303" s="615"/>
      <c r="M303" s="615"/>
      <c r="AB303" s="615"/>
      <c r="AC303" s="615"/>
      <c r="AD303" s="615"/>
      <c r="AE303" s="615"/>
      <c r="AF303" s="615"/>
      <c r="AG303" s="615"/>
      <c r="AH303" s="615"/>
      <c r="AI303" s="615"/>
      <c r="AJ303" s="615"/>
      <c r="AK303" s="615"/>
      <c r="AL303" s="615"/>
      <c r="AM303" s="615"/>
      <c r="AN303" s="615"/>
      <c r="AO303" s="615"/>
      <c r="AP303" s="615"/>
      <c r="AQ303" s="615"/>
      <c r="AR303" s="615"/>
      <c r="AS303" s="615"/>
    </row>
    <row r="304" spans="12:45">
      <c r="L304" s="615"/>
      <c r="M304" s="615"/>
      <c r="AB304" s="615"/>
      <c r="AC304" s="615"/>
      <c r="AD304" s="615"/>
      <c r="AE304" s="615"/>
      <c r="AF304" s="615"/>
      <c r="AG304" s="615"/>
      <c r="AH304" s="615"/>
      <c r="AI304" s="615"/>
      <c r="AJ304" s="615"/>
      <c r="AK304" s="615"/>
      <c r="AL304" s="615"/>
      <c r="AM304" s="615"/>
      <c r="AN304" s="615"/>
      <c r="AO304" s="615"/>
      <c r="AP304" s="615"/>
      <c r="AQ304" s="615"/>
      <c r="AR304" s="615"/>
      <c r="AS304" s="615"/>
    </row>
    <row r="305" spans="12:45">
      <c r="L305" s="615"/>
      <c r="M305" s="615"/>
      <c r="AB305" s="615"/>
      <c r="AC305" s="615"/>
      <c r="AD305" s="615"/>
      <c r="AE305" s="615"/>
      <c r="AF305" s="615"/>
      <c r="AG305" s="615"/>
      <c r="AH305" s="615"/>
      <c r="AI305" s="615"/>
      <c r="AJ305" s="615"/>
      <c r="AK305" s="615"/>
      <c r="AL305" s="615"/>
      <c r="AM305" s="615"/>
      <c r="AN305" s="615"/>
      <c r="AO305" s="615"/>
      <c r="AP305" s="615"/>
      <c r="AQ305" s="615"/>
      <c r="AR305" s="615"/>
      <c r="AS305" s="615"/>
    </row>
    <row r="306" spans="12:45">
      <c r="L306" s="615"/>
      <c r="M306" s="615"/>
      <c r="AB306" s="615"/>
      <c r="AC306" s="615"/>
      <c r="AD306" s="615"/>
      <c r="AE306" s="615"/>
      <c r="AF306" s="615"/>
      <c r="AG306" s="615"/>
      <c r="AH306" s="615"/>
      <c r="AI306" s="615"/>
      <c r="AJ306" s="615"/>
      <c r="AK306" s="615"/>
      <c r="AL306" s="615"/>
      <c r="AM306" s="615"/>
      <c r="AN306" s="615"/>
      <c r="AO306" s="615"/>
      <c r="AP306" s="615"/>
      <c r="AQ306" s="615"/>
      <c r="AR306" s="615"/>
      <c r="AS306" s="615"/>
    </row>
    <row r="307" spans="12:45">
      <c r="L307" s="615"/>
      <c r="M307" s="615"/>
      <c r="AB307" s="615"/>
      <c r="AC307" s="615"/>
      <c r="AD307" s="615"/>
      <c r="AE307" s="615"/>
      <c r="AF307" s="615"/>
      <c r="AG307" s="615"/>
      <c r="AH307" s="615"/>
      <c r="AI307" s="615"/>
      <c r="AJ307" s="615"/>
      <c r="AK307" s="615"/>
      <c r="AL307" s="615"/>
      <c r="AM307" s="615"/>
      <c r="AN307" s="615"/>
      <c r="AO307" s="615"/>
      <c r="AP307" s="615"/>
      <c r="AQ307" s="615"/>
      <c r="AR307" s="615"/>
      <c r="AS307" s="615"/>
    </row>
    <row r="308" spans="12:45">
      <c r="L308" s="615"/>
      <c r="M308" s="615"/>
      <c r="AB308" s="615"/>
      <c r="AC308" s="615"/>
      <c r="AD308" s="615"/>
      <c r="AE308" s="615"/>
      <c r="AF308" s="615"/>
      <c r="AG308" s="615"/>
      <c r="AH308" s="615"/>
      <c r="AI308" s="615"/>
      <c r="AJ308" s="615"/>
      <c r="AK308" s="615"/>
      <c r="AL308" s="615"/>
      <c r="AM308" s="615"/>
      <c r="AN308" s="615"/>
      <c r="AO308" s="615"/>
      <c r="AP308" s="615"/>
      <c r="AQ308" s="615"/>
      <c r="AR308" s="615"/>
      <c r="AS308" s="615"/>
    </row>
    <row r="309" spans="12:45">
      <c r="L309" s="615"/>
      <c r="M309" s="615"/>
      <c r="AB309" s="615"/>
      <c r="AC309" s="615"/>
      <c r="AD309" s="615"/>
      <c r="AE309" s="615"/>
      <c r="AF309" s="615"/>
      <c r="AG309" s="615"/>
      <c r="AH309" s="615"/>
      <c r="AI309" s="615"/>
      <c r="AJ309" s="615"/>
      <c r="AK309" s="615"/>
      <c r="AL309" s="615"/>
      <c r="AM309" s="615"/>
      <c r="AN309" s="615"/>
      <c r="AO309" s="615"/>
      <c r="AP309" s="615"/>
      <c r="AQ309" s="615"/>
      <c r="AR309" s="615"/>
      <c r="AS309" s="615"/>
    </row>
    <row r="310" spans="12:45">
      <c r="L310" s="615"/>
      <c r="M310" s="615"/>
      <c r="AB310" s="615"/>
      <c r="AC310" s="615"/>
      <c r="AD310" s="615"/>
      <c r="AE310" s="615"/>
      <c r="AF310" s="615"/>
      <c r="AG310" s="615"/>
      <c r="AH310" s="615"/>
      <c r="AI310" s="615"/>
      <c r="AJ310" s="615"/>
      <c r="AK310" s="615"/>
      <c r="AL310" s="615"/>
      <c r="AM310" s="615"/>
      <c r="AN310" s="615"/>
      <c r="AO310" s="615"/>
      <c r="AP310" s="615"/>
      <c r="AQ310" s="615"/>
      <c r="AR310" s="615"/>
      <c r="AS310" s="615"/>
    </row>
    <row r="311" spans="12:45">
      <c r="L311" s="615"/>
      <c r="M311" s="615"/>
      <c r="AB311" s="615"/>
      <c r="AC311" s="615"/>
      <c r="AD311" s="615"/>
      <c r="AE311" s="615"/>
      <c r="AF311" s="615"/>
      <c r="AG311" s="615"/>
      <c r="AH311" s="615"/>
      <c r="AI311" s="615"/>
      <c r="AJ311" s="615"/>
      <c r="AK311" s="615"/>
      <c r="AL311" s="615"/>
      <c r="AM311" s="615"/>
      <c r="AN311" s="615"/>
      <c r="AO311" s="615"/>
      <c r="AP311" s="615"/>
      <c r="AQ311" s="615"/>
      <c r="AR311" s="615"/>
      <c r="AS311" s="615"/>
    </row>
    <row r="312" spans="12:45">
      <c r="L312" s="615"/>
      <c r="M312" s="615"/>
      <c r="AB312" s="615"/>
      <c r="AC312" s="615"/>
      <c r="AD312" s="615"/>
      <c r="AE312" s="615"/>
      <c r="AF312" s="615"/>
      <c r="AG312" s="615"/>
      <c r="AH312" s="615"/>
      <c r="AI312" s="615"/>
      <c r="AJ312" s="615"/>
      <c r="AK312" s="615"/>
      <c r="AL312" s="615"/>
      <c r="AM312" s="615"/>
      <c r="AN312" s="615"/>
      <c r="AO312" s="615"/>
      <c r="AP312" s="615"/>
      <c r="AQ312" s="615"/>
      <c r="AR312" s="615"/>
      <c r="AS312" s="615"/>
    </row>
    <row r="313" spans="12:45">
      <c r="L313" s="615"/>
      <c r="M313" s="615"/>
      <c r="AD313" s="615"/>
      <c r="AE313" s="615"/>
      <c r="AF313" s="615"/>
      <c r="AG313" s="615"/>
      <c r="AH313" s="615"/>
      <c r="AI313" s="615"/>
      <c r="AJ313" s="615"/>
      <c r="AK313" s="615"/>
      <c r="AL313" s="615"/>
      <c r="AM313" s="615"/>
      <c r="AN313" s="615"/>
      <c r="AO313" s="615"/>
      <c r="AP313" s="615"/>
      <c r="AQ313" s="615"/>
      <c r="AR313" s="615"/>
      <c r="AS313" s="615"/>
    </row>
    <row r="314" spans="12:45">
      <c r="L314" s="615"/>
      <c r="M314" s="615"/>
      <c r="AD314" s="615"/>
      <c r="AE314" s="615"/>
      <c r="AF314" s="615"/>
      <c r="AG314" s="615"/>
      <c r="AH314" s="615"/>
      <c r="AI314" s="615"/>
      <c r="AJ314" s="615"/>
      <c r="AK314" s="615"/>
      <c r="AL314" s="615"/>
      <c r="AM314" s="615"/>
      <c r="AN314" s="615"/>
      <c r="AO314" s="615"/>
      <c r="AP314" s="615"/>
      <c r="AQ314" s="615"/>
      <c r="AR314" s="615"/>
      <c r="AS314" s="615"/>
    </row>
  </sheetData>
  <sheetProtection sheet="1" objects="1" scenarios="1"/>
  <mergeCells count="132">
    <mergeCell ref="O34:Q34"/>
    <mergeCell ref="S30:AA31"/>
    <mergeCell ref="A31:C31"/>
    <mergeCell ref="E31:H31"/>
    <mergeCell ref="L31:M31"/>
    <mergeCell ref="O32:Q32"/>
    <mergeCell ref="S32:AA33"/>
    <mergeCell ref="O33:Q33"/>
    <mergeCell ref="A29:M29"/>
    <mergeCell ref="O29:Q29"/>
    <mergeCell ref="A30:C30"/>
    <mergeCell ref="E30:H30"/>
    <mergeCell ref="L30:M30"/>
    <mergeCell ref="O30:Q30"/>
    <mergeCell ref="L22:M23"/>
    <mergeCell ref="O22:Q22"/>
    <mergeCell ref="O23:Q24"/>
    <mergeCell ref="A27:C27"/>
    <mergeCell ref="E27:H27"/>
    <mergeCell ref="L27:M27"/>
    <mergeCell ref="Q27:Q28"/>
    <mergeCell ref="S27:Y28"/>
    <mergeCell ref="A28:C28"/>
    <mergeCell ref="E28:H28"/>
    <mergeCell ref="L28:M28"/>
    <mergeCell ref="S23:AA25"/>
    <mergeCell ref="A24:A25"/>
    <mergeCell ref="B24:M25"/>
    <mergeCell ref="O25:Q25"/>
    <mergeCell ref="O26:Q26"/>
    <mergeCell ref="S26:AA26"/>
    <mergeCell ref="O17:Q17"/>
    <mergeCell ref="S17:AA19"/>
    <mergeCell ref="O18:Q18"/>
    <mergeCell ref="O19:Q19"/>
    <mergeCell ref="A20:A21"/>
    <mergeCell ref="B20:B21"/>
    <mergeCell ref="C20:C21"/>
    <mergeCell ref="J20:J21"/>
    <mergeCell ref="K20:K21"/>
    <mergeCell ref="L20:M21"/>
    <mergeCell ref="O20:Q20"/>
    <mergeCell ref="A18:A19"/>
    <mergeCell ref="B18:B19"/>
    <mergeCell ref="C18:C19"/>
    <mergeCell ref="J18:J19"/>
    <mergeCell ref="K18:K19"/>
    <mergeCell ref="L18:M19"/>
    <mergeCell ref="S20:AA22"/>
    <mergeCell ref="O21:Q21"/>
    <mergeCell ref="A22:A23"/>
    <mergeCell ref="B22:B23"/>
    <mergeCell ref="C22:C23"/>
    <mergeCell ref="J22:J23"/>
    <mergeCell ref="K22:K23"/>
    <mergeCell ref="O13:R13"/>
    <mergeCell ref="S13:U13"/>
    <mergeCell ref="W13:AA13"/>
    <mergeCell ref="A14:A15"/>
    <mergeCell ref="B14:B15"/>
    <mergeCell ref="C14:C15"/>
    <mergeCell ref="J14:J15"/>
    <mergeCell ref="K14:K15"/>
    <mergeCell ref="L14:M15"/>
    <mergeCell ref="O15:Q15"/>
    <mergeCell ref="A12:A13"/>
    <mergeCell ref="B12:B13"/>
    <mergeCell ref="C12:C13"/>
    <mergeCell ref="J12:J13"/>
    <mergeCell ref="K12:K13"/>
    <mergeCell ref="L12:M13"/>
    <mergeCell ref="S15:AA16"/>
    <mergeCell ref="A16:A17"/>
    <mergeCell ref="B16:B17"/>
    <mergeCell ref="C16:C17"/>
    <mergeCell ref="J16:J17"/>
    <mergeCell ref="K16:K17"/>
    <mergeCell ref="L16:M17"/>
    <mergeCell ref="O16:Q16"/>
    <mergeCell ref="O10:R10"/>
    <mergeCell ref="S10:U10"/>
    <mergeCell ref="W10:AA10"/>
    <mergeCell ref="O11:R11"/>
    <mergeCell ref="S11:U12"/>
    <mergeCell ref="W11:AA12"/>
    <mergeCell ref="O12:R12"/>
    <mergeCell ref="A10:A11"/>
    <mergeCell ref="B10:B11"/>
    <mergeCell ref="C10:C11"/>
    <mergeCell ref="J10:J11"/>
    <mergeCell ref="K10:K11"/>
    <mergeCell ref="L10:M11"/>
    <mergeCell ref="I8:I9"/>
    <mergeCell ref="J8:M8"/>
    <mergeCell ref="O8:R8"/>
    <mergeCell ref="S8:U8"/>
    <mergeCell ref="W8:AA8"/>
    <mergeCell ref="L9:M9"/>
    <mergeCell ref="O9:R9"/>
    <mergeCell ref="S9:U9"/>
    <mergeCell ref="W9:AA9"/>
    <mergeCell ref="A8:A9"/>
    <mergeCell ref="B8:B9"/>
    <mergeCell ref="C8:C9"/>
    <mergeCell ref="D8:E9"/>
    <mergeCell ref="F8:G9"/>
    <mergeCell ref="H8:H9"/>
    <mergeCell ref="A6:D6"/>
    <mergeCell ref="E6:F6"/>
    <mergeCell ref="G6:H6"/>
    <mergeCell ref="O2:T2"/>
    <mergeCell ref="A4:B4"/>
    <mergeCell ref="C4:E4"/>
    <mergeCell ref="I4:J4"/>
    <mergeCell ref="K4:L4"/>
    <mergeCell ref="B5:D5"/>
    <mergeCell ref="E5:G5"/>
    <mergeCell ref="H5:I5"/>
    <mergeCell ref="J5:L5"/>
    <mergeCell ref="C1:H1"/>
    <mergeCell ref="J1:K1"/>
    <mergeCell ref="L1:M1"/>
    <mergeCell ref="B2:G2"/>
    <mergeCell ref="H2:I2"/>
    <mergeCell ref="J2:M2"/>
    <mergeCell ref="I6:J6"/>
    <mergeCell ref="K6:L6"/>
    <mergeCell ref="A7:C7"/>
    <mergeCell ref="D7:E7"/>
    <mergeCell ref="F7:G7"/>
    <mergeCell ref="H7:J7"/>
    <mergeCell ref="K7:L7"/>
  </mergeCells>
  <dataValidations count="15">
    <dataValidation type="whole" errorStyle="information" allowBlank="1" showInputMessage="1" showErrorMessage="1" error="Enter Number not Range._x000a__x000a_If &gt;50% Rock Considered Bedrock - Zero Treatment Credit" promptTitle="Rock Fragment Percentage" prompt="Enter percentage number not a range._x000a_Reminder:_x000a_0-35% Rock = 100% Credit_x000a_35-50% Rock in Sand = 50% Credit_x000a_50+% Rock = 0% Credit" sqref="C10:C23" xr:uid="{88ECB25D-3FBB-4F75-B8D8-9E77239E70A5}">
      <formula1>0</formula1>
      <formula2>50</formula2>
    </dataValidation>
    <dataValidation allowBlank="1" showInputMessage="1" showErrorMessage="1" prompt="Location of observation" sqref="H7:J7" xr:uid="{B8B524F8-DFBE-43C2-BE16-843BA6DC9B66}"/>
    <dataValidation allowBlank="1" showInputMessage="1" showErrorMessage="1" prompt="Observation #" sqref="D7:E7" xr:uid="{D707BB79-12BF-45D3-98A0-45C412A4449D}"/>
    <dataValidation allowBlank="1" showInputMessage="1" showErrorMessage="1" prompt="From Prelim Page" sqref="B2:G2 J2:M2 H5:I5" xr:uid="{36D0ADC3-D5CA-40F3-818D-B060C6507DEC}"/>
    <dataValidation type="list" allowBlank="1" showInputMessage="1" showErrorMessage="1" sqref="M4" xr:uid="{6CDCF2A2-C31C-4E04-B179-81256C089103}">
      <formula1>YN</formula1>
    </dataValidation>
    <dataValidation type="list" allowBlank="1" sqref="D10:D23" xr:uid="{39DAA08E-3308-4BD1-942F-14CAAC49F9F1}">
      <formula1>Hue</formula1>
    </dataValidation>
    <dataValidation type="list" allowBlank="1" sqref="G10:G23 E10:E23" xr:uid="{046F7F6C-94F2-4626-B4C7-EAD6602BC988}">
      <formula1>ValueChroma</formula1>
    </dataValidation>
    <dataValidation type="list" allowBlank="1" sqref="J22 J18 J10 J12 J14 J16 J20" xr:uid="{DE5E0624-6591-4793-966F-F9973EC0F2F7}">
      <formula1>StructureShape</formula1>
    </dataValidation>
    <dataValidation type="list" allowBlank="1" sqref="K22 K18 K10 K12 K14 K16 K20" xr:uid="{94238F96-9AF9-4B6E-B2EF-7E75E2B9B83A}">
      <formula1>StructureGrade</formula1>
    </dataValidation>
    <dataValidation type="list" allowBlank="1" sqref="L22 L20 L12 L14 L16 L18 L10:M11" xr:uid="{76A62239-CFD6-4678-85D1-D58CA8989B41}">
      <formula1>StructureConsistence</formula1>
    </dataValidation>
    <dataValidation type="list" allowBlank="1" showInputMessage="1" prompt="Choose from the list or add your own description with texture" sqref="B22 B18 B10 B12 B14 B16 B20" xr:uid="{0EC58F49-F2C1-42D7-86A3-A3D229374766}">
      <formula1>SoilTexture7080</formula1>
    </dataValidation>
    <dataValidation type="list" allowBlank="1" sqref="I4" xr:uid="{D4B96A0F-C381-4A89-BF76-D829C4A9647F}">
      <formula1>SlopeShape</formula1>
    </dataValidation>
    <dataValidation type="decimal" errorStyle="information" showDropDown="1" showInputMessage="1" showErrorMessage="1" errorTitle="Slope" error="Check slope value" prompt="Land Slope" sqref="G4" xr:uid="{FFF14798-8517-473E-AB67-0EED66DD8553}">
      <formula1>0</formula1>
      <formula2>25</formula2>
    </dataValidation>
    <dataValidation errorStyle="information" allowBlank="1" showInputMessage="1" showErrorMessage="1" error="Check type before proceeding" prompt="Depth of standing water if encountered" sqref="M7" xr:uid="{EB8076CC-9F20-4283-9F6F-E6079425A4E7}"/>
    <dataValidation type="list" allowBlank="1" showInputMessage="1" prompt="If Mottle Color is entered, Redox Kind(s) needs to be completed." sqref="F10:F23" xr:uid="{8FFEAC9E-9DE7-4DF2-A5E1-74051BD00FF5}">
      <formula1>Hue</formula1>
    </dataValidation>
  </dataValidations>
  <printOptions horizontalCentered="1" verticalCentered="1"/>
  <pageMargins left="0.25" right="0.25" top="0.25" bottom="0.25" header="0" footer="0"/>
  <pageSetup fitToHeight="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552129" r:id="rId4" name="Check Box 1">
              <controlPr defaultSize="0" autoFill="0" autoLine="0" autoPict="0">
                <anchor moveWithCells="1" sizeWithCells="1">
                  <from>
                    <xdr:col>4</xdr:col>
                    <xdr:colOff>123825</xdr:colOff>
                    <xdr:row>2</xdr:row>
                    <xdr:rowOff>28575</xdr:rowOff>
                  </from>
                  <to>
                    <xdr:col>6</xdr:col>
                    <xdr:colOff>114300</xdr:colOff>
                    <xdr:row>2</xdr:row>
                    <xdr:rowOff>238125</xdr:rowOff>
                  </to>
                </anchor>
              </controlPr>
            </control>
          </mc:Choice>
        </mc:AlternateContent>
        <mc:AlternateContent xmlns:mc="http://schemas.openxmlformats.org/markup-compatibility/2006">
          <mc:Choice Requires="x14">
            <control shapeId="5552130" r:id="rId5" name="Check Box 2">
              <controlPr defaultSize="0" autoFill="0" autoLine="0" autoPict="0">
                <anchor moveWithCells="1" sizeWithCells="1">
                  <from>
                    <xdr:col>5</xdr:col>
                    <xdr:colOff>266700</xdr:colOff>
                    <xdr:row>2</xdr:row>
                    <xdr:rowOff>28575</xdr:rowOff>
                  </from>
                  <to>
                    <xdr:col>7</xdr:col>
                    <xdr:colOff>257175</xdr:colOff>
                    <xdr:row>2</xdr:row>
                    <xdr:rowOff>238125</xdr:rowOff>
                  </to>
                </anchor>
              </controlPr>
            </control>
          </mc:Choice>
        </mc:AlternateContent>
        <mc:AlternateContent xmlns:mc="http://schemas.openxmlformats.org/markup-compatibility/2006">
          <mc:Choice Requires="x14">
            <control shapeId="5552131" r:id="rId6" name="Check Box 3">
              <controlPr defaultSize="0" autoFill="0" autoLine="0" autoPict="0">
                <anchor moveWithCells="1" sizeWithCells="1">
                  <from>
                    <xdr:col>6</xdr:col>
                    <xdr:colOff>447675</xdr:colOff>
                    <xdr:row>2</xdr:row>
                    <xdr:rowOff>28575</xdr:rowOff>
                  </from>
                  <to>
                    <xdr:col>7</xdr:col>
                    <xdr:colOff>952500</xdr:colOff>
                    <xdr:row>2</xdr:row>
                    <xdr:rowOff>238125</xdr:rowOff>
                  </to>
                </anchor>
              </controlPr>
            </control>
          </mc:Choice>
        </mc:AlternateContent>
        <mc:AlternateContent xmlns:mc="http://schemas.openxmlformats.org/markup-compatibility/2006">
          <mc:Choice Requires="x14">
            <control shapeId="5552132" r:id="rId7" name="Check Box 4">
              <controlPr defaultSize="0" autoFill="0" autoLine="0" autoPict="0">
                <anchor moveWithCells="1" sizeWithCells="1">
                  <from>
                    <xdr:col>7</xdr:col>
                    <xdr:colOff>428625</xdr:colOff>
                    <xdr:row>2</xdr:row>
                    <xdr:rowOff>28575</xdr:rowOff>
                  </from>
                  <to>
                    <xdr:col>8</xdr:col>
                    <xdr:colOff>485775</xdr:colOff>
                    <xdr:row>2</xdr:row>
                    <xdr:rowOff>238125</xdr:rowOff>
                  </to>
                </anchor>
              </controlPr>
            </control>
          </mc:Choice>
        </mc:AlternateContent>
        <mc:AlternateContent xmlns:mc="http://schemas.openxmlformats.org/markup-compatibility/2006">
          <mc:Choice Requires="x14">
            <control shapeId="5552133" r:id="rId8" name="Check Box 5">
              <controlPr defaultSize="0" autoFill="0" autoLine="0" autoPict="0">
                <anchor moveWithCells="1" sizeWithCells="1">
                  <from>
                    <xdr:col>7</xdr:col>
                    <xdr:colOff>819150</xdr:colOff>
                    <xdr:row>2</xdr:row>
                    <xdr:rowOff>28575</xdr:rowOff>
                  </from>
                  <to>
                    <xdr:col>9</xdr:col>
                    <xdr:colOff>114300</xdr:colOff>
                    <xdr:row>2</xdr:row>
                    <xdr:rowOff>238125</xdr:rowOff>
                  </to>
                </anchor>
              </controlPr>
            </control>
          </mc:Choice>
        </mc:AlternateContent>
        <mc:AlternateContent xmlns:mc="http://schemas.openxmlformats.org/markup-compatibility/2006">
          <mc:Choice Requires="x14">
            <control shapeId="5552134" r:id="rId9" name="Check Box 6">
              <controlPr defaultSize="0" autoFill="0" autoLine="0" autoPict="0">
                <anchor moveWithCells="1" sizeWithCells="1">
                  <from>
                    <xdr:col>8</xdr:col>
                    <xdr:colOff>485775</xdr:colOff>
                    <xdr:row>2</xdr:row>
                    <xdr:rowOff>28575</xdr:rowOff>
                  </from>
                  <to>
                    <xdr:col>9</xdr:col>
                    <xdr:colOff>733425</xdr:colOff>
                    <xdr:row>2</xdr:row>
                    <xdr:rowOff>238125</xdr:rowOff>
                  </to>
                </anchor>
              </controlPr>
            </control>
          </mc:Choice>
        </mc:AlternateContent>
        <mc:AlternateContent xmlns:mc="http://schemas.openxmlformats.org/markup-compatibility/2006">
          <mc:Choice Requires="x14">
            <control shapeId="5552135" r:id="rId10" name="Check Box 7">
              <controlPr defaultSize="0" autoFill="0" autoLine="0" autoPict="0">
                <anchor moveWithCells="1" sizeWithCells="1">
                  <from>
                    <xdr:col>9</xdr:col>
                    <xdr:colOff>352425</xdr:colOff>
                    <xdr:row>2</xdr:row>
                    <xdr:rowOff>28575</xdr:rowOff>
                  </from>
                  <to>
                    <xdr:col>10</xdr:col>
                    <xdr:colOff>600075</xdr:colOff>
                    <xdr:row>2</xdr:row>
                    <xdr:rowOff>238125</xdr:rowOff>
                  </to>
                </anchor>
              </controlPr>
            </control>
          </mc:Choice>
        </mc:AlternateContent>
        <mc:AlternateContent xmlns:mc="http://schemas.openxmlformats.org/markup-compatibility/2006">
          <mc:Choice Requires="x14">
            <control shapeId="5552136" r:id="rId11" name="Check Box 8">
              <controlPr defaultSize="0" autoFill="0" autoLine="0" autoPict="0">
                <anchor moveWithCells="1">
                  <from>
                    <xdr:col>10</xdr:col>
                    <xdr:colOff>523875</xdr:colOff>
                    <xdr:row>2</xdr:row>
                    <xdr:rowOff>28575</xdr:rowOff>
                  </from>
                  <to>
                    <xdr:col>11</xdr:col>
                    <xdr:colOff>400050</xdr:colOff>
                    <xdr:row>2</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prompt="Observation Type" xr:uid="{18C70245-AB7E-40FB-8276-D0B9412E02F8}">
          <x14:formula1>
            <xm:f>'Drop-Down Lists'!$V$2:$V$5</xm:f>
          </x14:formula1>
          <xm:sqref>F7:G7</xm:sqref>
        </x14:dataValidation>
        <x14:dataValidation type="list" allowBlank="1" showInputMessage="1" prompt="Choose from the list or add your own description" xr:uid="{840528E6-4264-4E32-87C5-ED2AE362BD80}">
          <x14:formula1>
            <xm:f>'Drop-Down Lists'!$T$2:$T$10</xm:f>
          </x14:formula1>
          <xm:sqref>C4:E4</xm:sqref>
        </x14:dataValidation>
        <x14:dataValidation type="list" allowBlank="1" showInputMessage="1" prompt="Choose from the list or add your own description" xr:uid="{218316CB-E623-459C-8B69-FFD8C948E153}">
          <x14:formula1>
            <xm:f>'Drop-Down Lists'!$U$2:$U$9</xm:f>
          </x14:formula1>
          <xm:sqref>B5:D5</xm:sqref>
        </x14:dataValidation>
        <x14:dataValidation type="list" allowBlank="1" showInputMessage="1" prompt="Indicator definitions are found on soil chart." xr:uid="{EA244240-147B-4F42-B900-76661122C0FF}">
          <x14:formula1>
            <xm:f>'Drop-Down Lists'!$M$2:$M$34</xm:f>
          </x14:formula1>
          <xm:sqref>I10:I23</xm:sqref>
        </x14:dataValidation>
        <x14:dataValidation type="list" allowBlank="1" showInputMessage="1" prompt="If Redox Kind(s) are entered, Type of Indicator needs to be completed" xr:uid="{4ED9A7FD-FA85-49C0-8FE8-815607F4798B}">
          <x14:formula1>
            <xm:f>'Drop-Down Lists'!$L$2:$L$5</xm:f>
          </x14:formula1>
          <xm:sqref>H10:H23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E8CDA-9E6A-4D10-BD6C-FB8525433308}">
  <sheetPr>
    <tabColor rgb="FFFF6600"/>
    <pageSetUpPr fitToPage="1"/>
  </sheetPr>
  <dimension ref="A1:AS314"/>
  <sheetViews>
    <sheetView view="pageBreakPreview" zoomScaleNormal="100" zoomScaleSheetLayoutView="100" workbookViewId="0">
      <selection activeCell="C4" sqref="C4:E4"/>
    </sheetView>
  </sheetViews>
  <sheetFormatPr defaultColWidth="9.140625" defaultRowHeight="15"/>
  <cols>
    <col min="1" max="1" width="10.42578125" style="613" customWidth="1"/>
    <col min="2" max="2" width="11.42578125" style="613" customWidth="1"/>
    <col min="3" max="3" width="7.85546875" style="613" customWidth="1"/>
    <col min="4" max="7" width="7.42578125" style="613" customWidth="1"/>
    <col min="8" max="8" width="14" style="613" customWidth="1"/>
    <col min="9" max="9" width="11.140625" style="613" customWidth="1"/>
    <col min="10" max="10" width="11.42578125" style="613" customWidth="1"/>
    <col min="11" max="11" width="14.7109375" style="613" customWidth="1"/>
    <col min="12" max="12" width="12.7109375" style="613" customWidth="1"/>
    <col min="13" max="13" width="9.140625" style="613"/>
    <col min="14" max="14" width="13.140625" style="614" customWidth="1"/>
    <col min="15" max="15" width="7.85546875" style="614" customWidth="1"/>
    <col min="16" max="27" width="9.140625" style="614"/>
    <col min="28" max="16384" width="9.140625" style="613"/>
  </cols>
  <sheetData>
    <row r="1" spans="1:45" ht="45.75" customHeight="1" thickBot="1">
      <c r="B1" s="1623"/>
      <c r="C1" s="2503" t="s">
        <v>682</v>
      </c>
      <c r="D1" s="2503"/>
      <c r="E1" s="2503"/>
      <c r="F1" s="2503"/>
      <c r="G1" s="2503"/>
      <c r="H1" s="2503"/>
      <c r="I1" s="1139" t="s">
        <v>551</v>
      </c>
      <c r="J1" s="2504" t="str">
        <f>IF(ISBLANK(Prelim!S5)," ",Prelim!S5)</f>
        <v xml:space="preserve"> </v>
      </c>
      <c r="K1" s="2504"/>
      <c r="L1" s="2504" t="str">
        <f>'Drop-Down Lists'!A2</f>
        <v>v 05.01.2026</v>
      </c>
      <c r="M1" s="2504"/>
      <c r="AB1" s="615"/>
      <c r="AC1" s="615"/>
      <c r="AD1" s="615"/>
      <c r="AE1" s="615"/>
      <c r="AF1" s="615"/>
      <c r="AG1" s="615"/>
      <c r="AH1" s="615"/>
      <c r="AI1" s="615"/>
      <c r="AJ1" s="615"/>
      <c r="AK1" s="615"/>
      <c r="AL1" s="615"/>
      <c r="AM1" s="615"/>
      <c r="AN1" s="615"/>
      <c r="AO1" s="615"/>
      <c r="AP1" s="615"/>
      <c r="AQ1" s="615"/>
      <c r="AR1" s="615"/>
      <c r="AS1" s="615"/>
    </row>
    <row r="2" spans="1:45" ht="18" customHeight="1">
      <c r="A2" s="1188" t="s">
        <v>683</v>
      </c>
      <c r="B2" s="2617" t="str">
        <f>IF(ISBLANK(Prelim!G3),"  ", Prelim!G3)</f>
        <v xml:space="preserve">  </v>
      </c>
      <c r="C2" s="2617"/>
      <c r="D2" s="2617"/>
      <c r="E2" s="2617"/>
      <c r="F2" s="2617"/>
      <c r="G2" s="2617"/>
      <c r="H2" s="2506" t="s">
        <v>684</v>
      </c>
      <c r="I2" s="2507"/>
      <c r="J2" s="2618" t="str">
        <f>IF(ISBLANK(Prelim!G5), " ", Prelim!G5)</f>
        <v xml:space="preserve"> </v>
      </c>
      <c r="K2" s="2618"/>
      <c r="L2" s="2618"/>
      <c r="M2" s="2619"/>
      <c r="O2" s="2556" t="s">
        <v>707</v>
      </c>
      <c r="P2" s="2557"/>
      <c r="Q2" s="2557"/>
      <c r="R2" s="2557"/>
      <c r="S2" s="2557"/>
      <c r="T2" s="2557"/>
      <c r="U2" s="1471"/>
      <c r="V2" s="1471"/>
      <c r="W2" s="1472"/>
      <c r="AB2" s="615"/>
      <c r="AC2" s="615"/>
      <c r="AD2" s="615"/>
      <c r="AE2" s="615"/>
      <c r="AF2" s="615"/>
      <c r="AG2" s="615"/>
      <c r="AH2" s="615"/>
      <c r="AI2" s="615"/>
      <c r="AJ2" s="615"/>
      <c r="AK2" s="615"/>
      <c r="AL2" s="615"/>
      <c r="AM2" s="615"/>
      <c r="AN2" s="615"/>
      <c r="AO2" s="615"/>
      <c r="AP2" s="615"/>
      <c r="AQ2" s="615"/>
      <c r="AR2" s="615"/>
      <c r="AS2" s="615"/>
    </row>
    <row r="3" spans="1:45" ht="20.100000000000001" customHeight="1">
      <c r="A3" s="1140" t="s">
        <v>685</v>
      </c>
      <c r="M3" s="1141"/>
      <c r="O3" s="627" t="s">
        <v>708</v>
      </c>
      <c r="P3" s="1226"/>
      <c r="Q3" s="1226"/>
      <c r="R3" s="1238"/>
      <c r="S3" s="1238"/>
      <c r="T3" s="1238"/>
      <c r="W3" s="1473"/>
      <c r="AB3" s="615"/>
      <c r="AC3" s="615"/>
      <c r="AD3" s="615"/>
      <c r="AE3" s="615"/>
      <c r="AF3" s="615"/>
      <c r="AG3" s="615"/>
      <c r="AH3" s="615"/>
      <c r="AI3" s="615"/>
      <c r="AJ3" s="615"/>
      <c r="AK3" s="615"/>
      <c r="AL3" s="615"/>
      <c r="AM3" s="615"/>
      <c r="AN3" s="615"/>
      <c r="AO3" s="615"/>
      <c r="AP3" s="615"/>
      <c r="AQ3" s="615"/>
      <c r="AR3" s="615"/>
      <c r="AS3" s="615"/>
    </row>
    <row r="4" spans="1:45" ht="19.5" customHeight="1">
      <c r="A4" s="2517" t="s">
        <v>686</v>
      </c>
      <c r="B4" s="2518"/>
      <c r="C4" s="2519"/>
      <c r="D4" s="2519"/>
      <c r="E4" s="2520"/>
      <c r="F4" s="1142" t="s">
        <v>687</v>
      </c>
      <c r="G4" s="1143"/>
      <c r="H4" s="1624" t="s">
        <v>650</v>
      </c>
      <c r="I4" s="2510"/>
      <c r="J4" s="2511"/>
      <c r="K4" s="2612" t="s">
        <v>688</v>
      </c>
      <c r="L4" s="2612"/>
      <c r="M4" s="1219"/>
      <c r="O4" s="627" t="s">
        <v>709</v>
      </c>
      <c r="P4" s="1226"/>
      <c r="Q4" s="1226"/>
      <c r="R4" s="1238"/>
      <c r="S4" s="1238"/>
      <c r="T4" s="1238"/>
      <c r="W4" s="1473"/>
      <c r="AB4" s="615"/>
      <c r="AC4" s="615"/>
      <c r="AD4" s="615"/>
      <c r="AE4" s="615"/>
      <c r="AF4" s="615"/>
      <c r="AG4" s="615"/>
      <c r="AH4" s="615"/>
      <c r="AI4" s="615"/>
      <c r="AJ4" s="615"/>
      <c r="AK4" s="615"/>
      <c r="AL4" s="615"/>
      <c r="AM4" s="615"/>
      <c r="AN4" s="615"/>
      <c r="AO4" s="615"/>
      <c r="AP4" s="615"/>
      <c r="AQ4" s="615"/>
      <c r="AR4" s="615"/>
      <c r="AS4" s="615"/>
    </row>
    <row r="5" spans="1:45" ht="19.5" customHeight="1">
      <c r="A5" s="1218" t="s">
        <v>689</v>
      </c>
      <c r="B5" s="2510"/>
      <c r="C5" s="2510"/>
      <c r="D5" s="2511"/>
      <c r="E5" s="2512" t="s">
        <v>690</v>
      </c>
      <c r="F5" s="2513"/>
      <c r="G5" s="2513"/>
      <c r="H5" s="2615" t="str">
        <f>IF(ISBLANK(Prelim!G84)," ",Prelim!G84)</f>
        <v xml:space="preserve"> </v>
      </c>
      <c r="I5" s="2616"/>
      <c r="J5" s="2613" t="s">
        <v>691</v>
      </c>
      <c r="K5" s="2614"/>
      <c r="L5" s="2614"/>
      <c r="M5" s="2210"/>
      <c r="O5" s="627" t="s">
        <v>710</v>
      </c>
      <c r="P5" s="1226"/>
      <c r="Q5" s="1226"/>
      <c r="R5" s="1238"/>
      <c r="S5" s="1238"/>
      <c r="T5" s="1238"/>
      <c r="W5" s="1473"/>
      <c r="Y5" s="615"/>
      <c r="Z5" s="615"/>
      <c r="AA5" s="615"/>
      <c r="AB5" s="615"/>
      <c r="AC5" s="615"/>
      <c r="AD5" s="615"/>
      <c r="AE5" s="615"/>
      <c r="AF5" s="615"/>
      <c r="AG5" s="615"/>
      <c r="AH5" s="615"/>
      <c r="AI5" s="615"/>
      <c r="AJ5" s="615"/>
      <c r="AK5" s="615"/>
      <c r="AL5" s="615"/>
      <c r="AM5" s="615"/>
      <c r="AN5" s="615"/>
      <c r="AO5" s="615"/>
      <c r="AP5" s="615"/>
      <c r="AQ5" s="615"/>
      <c r="AR5" s="615"/>
      <c r="AS5" s="615"/>
    </row>
    <row r="6" spans="1:45" ht="19.5" customHeight="1">
      <c r="A6" s="2517" t="s">
        <v>692</v>
      </c>
      <c r="B6" s="2518"/>
      <c r="C6" s="2518"/>
      <c r="D6" s="2529"/>
      <c r="E6" s="2621"/>
      <c r="F6" s="2511"/>
      <c r="G6" s="2622"/>
      <c r="H6" s="2511"/>
      <c r="I6" s="2530"/>
      <c r="J6" s="2511"/>
      <c r="K6" s="2620" t="s">
        <v>693</v>
      </c>
      <c r="L6" s="2612"/>
      <c r="M6" s="2211"/>
      <c r="O6" s="1630" t="s">
        <v>711</v>
      </c>
      <c r="P6" s="1226"/>
      <c r="Q6" s="1226"/>
      <c r="R6" s="1238"/>
      <c r="S6" s="629"/>
      <c r="T6" s="629"/>
      <c r="U6" s="1474"/>
      <c r="V6" s="1474"/>
      <c r="W6" s="1475"/>
      <c r="AB6" s="615"/>
      <c r="AC6" s="615"/>
      <c r="AD6" s="615"/>
      <c r="AE6" s="615"/>
      <c r="AF6" s="615"/>
      <c r="AG6" s="615"/>
      <c r="AH6" s="615"/>
      <c r="AI6" s="615"/>
      <c r="AJ6" s="615"/>
      <c r="AK6" s="615"/>
      <c r="AL6" s="615"/>
      <c r="AM6" s="615"/>
      <c r="AN6" s="615"/>
      <c r="AO6" s="615"/>
      <c r="AP6" s="615"/>
      <c r="AQ6" s="615"/>
      <c r="AR6" s="615"/>
      <c r="AS6" s="615"/>
    </row>
    <row r="7" spans="1:45" ht="19.5" customHeight="1" thickBot="1">
      <c r="A7" s="2610" t="s">
        <v>725</v>
      </c>
      <c r="B7" s="2611"/>
      <c r="C7" s="2611"/>
      <c r="D7" s="2623"/>
      <c r="E7" s="2624"/>
      <c r="F7" s="2623"/>
      <c r="G7" s="2624"/>
      <c r="H7" s="2575"/>
      <c r="I7" s="2575"/>
      <c r="J7" s="2575"/>
      <c r="K7" s="2609" t="s">
        <v>726</v>
      </c>
      <c r="L7" s="2609"/>
      <c r="M7" s="2306"/>
      <c r="O7" s="1632" t="s">
        <v>712</v>
      </c>
      <c r="P7" s="1626"/>
      <c r="Q7" s="1626"/>
      <c r="R7" s="1631"/>
      <c r="S7" s="1633" t="s">
        <v>727</v>
      </c>
      <c r="T7" s="1628"/>
      <c r="U7" s="1628"/>
      <c r="V7" s="1232"/>
      <c r="W7" s="1232"/>
      <c r="X7" s="1232"/>
      <c r="Y7" s="624"/>
      <c r="Z7" s="624"/>
      <c r="AA7" s="1231"/>
      <c r="AB7" s="615"/>
      <c r="AC7" s="615"/>
      <c r="AD7" s="615"/>
      <c r="AE7" s="615"/>
      <c r="AF7" s="615"/>
      <c r="AG7" s="615"/>
      <c r="AH7" s="615"/>
      <c r="AI7" s="615"/>
      <c r="AJ7" s="615"/>
      <c r="AK7" s="615"/>
      <c r="AL7" s="615"/>
      <c r="AM7" s="615"/>
      <c r="AN7" s="615"/>
      <c r="AO7" s="615"/>
    </row>
    <row r="8" spans="1:45" ht="14.1" customHeight="1">
      <c r="A8" s="2545" t="s">
        <v>696</v>
      </c>
      <c r="B8" s="2531" t="s">
        <v>697</v>
      </c>
      <c r="C8" s="2547" t="s">
        <v>698</v>
      </c>
      <c r="D8" s="2549" t="s">
        <v>699</v>
      </c>
      <c r="E8" s="2550"/>
      <c r="F8" s="2549" t="s">
        <v>700</v>
      </c>
      <c r="G8" s="2553"/>
      <c r="H8" s="2625" t="s">
        <v>701</v>
      </c>
      <c r="I8" s="2625" t="s">
        <v>702</v>
      </c>
      <c r="J8" s="2626" t="s">
        <v>703</v>
      </c>
      <c r="K8" s="2533"/>
      <c r="L8" s="2533"/>
      <c r="M8" s="2534"/>
      <c r="O8" s="2564" t="s">
        <v>713</v>
      </c>
      <c r="P8" s="2565"/>
      <c r="Q8" s="2565"/>
      <c r="R8" s="2566"/>
      <c r="S8" s="2591" t="s">
        <v>96</v>
      </c>
      <c r="T8" s="2591"/>
      <c r="U8" s="2591"/>
      <c r="V8" s="1230"/>
      <c r="W8" s="2565" t="s">
        <v>728</v>
      </c>
      <c r="X8" s="2565"/>
      <c r="Y8" s="2565"/>
      <c r="Z8" s="2565"/>
      <c r="AA8" s="2566"/>
      <c r="AB8" s="615"/>
      <c r="AC8" s="615"/>
      <c r="AD8" s="615"/>
      <c r="AE8" s="615"/>
      <c r="AF8" s="615"/>
      <c r="AG8" s="615"/>
      <c r="AH8" s="615"/>
      <c r="AI8" s="615"/>
      <c r="AJ8" s="615"/>
      <c r="AK8" s="615"/>
      <c r="AL8" s="615"/>
      <c r="AM8" s="615"/>
      <c r="AN8" s="615"/>
      <c r="AO8" s="615"/>
      <c r="AP8" s="615"/>
      <c r="AQ8" s="615"/>
      <c r="AR8" s="615"/>
    </row>
    <row r="9" spans="1:45" ht="14.1" customHeight="1" thickBot="1">
      <c r="A9" s="2546"/>
      <c r="B9" s="2532"/>
      <c r="C9" s="2548"/>
      <c r="D9" s="2551"/>
      <c r="E9" s="2552"/>
      <c r="F9" s="2554"/>
      <c r="G9" s="2555"/>
      <c r="H9" s="2532"/>
      <c r="I9" s="2532"/>
      <c r="J9" s="1217" t="s">
        <v>704</v>
      </c>
      <c r="K9" s="1217" t="s">
        <v>705</v>
      </c>
      <c r="L9" s="2627" t="s">
        <v>706</v>
      </c>
      <c r="M9" s="2628"/>
      <c r="O9" s="2564" t="s">
        <v>714</v>
      </c>
      <c r="P9" s="2565"/>
      <c r="Q9" s="2565"/>
      <c r="R9" s="2566"/>
      <c r="S9" s="2591" t="s">
        <v>152</v>
      </c>
      <c r="T9" s="2591"/>
      <c r="U9" s="2591"/>
      <c r="V9" s="1230"/>
      <c r="W9" s="2565" t="s">
        <v>729</v>
      </c>
      <c r="X9" s="2565"/>
      <c r="Y9" s="2565"/>
      <c r="Z9" s="2565"/>
      <c r="AA9" s="2566"/>
      <c r="AB9" s="615"/>
      <c r="AC9" s="615"/>
      <c r="AD9" s="615"/>
      <c r="AE9" s="615"/>
      <c r="AF9" s="615"/>
      <c r="AG9" s="615"/>
      <c r="AH9" s="615"/>
      <c r="AI9" s="615"/>
      <c r="AJ9" s="615"/>
      <c r="AK9" s="615"/>
      <c r="AL9" s="615"/>
      <c r="AM9" s="615"/>
      <c r="AN9" s="615"/>
      <c r="AO9" s="615"/>
      <c r="AP9" s="615"/>
      <c r="AQ9" s="615"/>
      <c r="AR9" s="615"/>
    </row>
    <row r="10" spans="1:45" ht="18" customHeight="1" thickTop="1">
      <c r="A10" s="2536"/>
      <c r="B10" s="2538"/>
      <c r="C10" s="2538"/>
      <c r="D10" s="1403"/>
      <c r="E10" s="1404"/>
      <c r="F10" s="1403"/>
      <c r="G10" s="1404"/>
      <c r="H10" s="2267"/>
      <c r="I10" s="1400"/>
      <c r="J10" s="2541"/>
      <c r="K10" s="2541"/>
      <c r="L10" s="2541"/>
      <c r="M10" s="2543"/>
      <c r="N10" s="617"/>
      <c r="O10" s="2564" t="s">
        <v>715</v>
      </c>
      <c r="P10" s="2565"/>
      <c r="Q10" s="2565"/>
      <c r="R10" s="2566"/>
      <c r="S10" s="2591" t="s">
        <v>208</v>
      </c>
      <c r="T10" s="2591"/>
      <c r="U10" s="2591"/>
      <c r="V10" s="1230"/>
      <c r="W10" s="2565" t="s">
        <v>730</v>
      </c>
      <c r="X10" s="2565"/>
      <c r="Y10" s="2565"/>
      <c r="Z10" s="2565"/>
      <c r="AA10" s="2566"/>
      <c r="AB10" s="615"/>
      <c r="AC10" s="615"/>
      <c r="AD10" s="615"/>
      <c r="AE10" s="615"/>
      <c r="AF10" s="615"/>
      <c r="AG10" s="615"/>
      <c r="AH10" s="615"/>
      <c r="AI10" s="615"/>
      <c r="AJ10" s="615"/>
      <c r="AK10" s="615"/>
      <c r="AL10" s="615"/>
      <c r="AM10" s="615"/>
      <c r="AN10" s="615"/>
      <c r="AO10" s="615"/>
      <c r="AP10" s="615"/>
      <c r="AQ10" s="615"/>
      <c r="AR10" s="615"/>
    </row>
    <row r="11" spans="1:45" ht="18" customHeight="1">
      <c r="A11" s="2537"/>
      <c r="B11" s="2539"/>
      <c r="C11" s="2540"/>
      <c r="D11" s="1401"/>
      <c r="E11" s="1402"/>
      <c r="F11" s="1403"/>
      <c r="G11" s="1402"/>
      <c r="H11" s="1400"/>
      <c r="I11" s="1400"/>
      <c r="J11" s="2542"/>
      <c r="K11" s="2542"/>
      <c r="L11" s="2542"/>
      <c r="M11" s="2544"/>
      <c r="N11" s="617"/>
      <c r="O11" s="2564" t="s">
        <v>716</v>
      </c>
      <c r="P11" s="2565"/>
      <c r="Q11" s="2565"/>
      <c r="R11" s="2566"/>
      <c r="S11" s="2629" t="s">
        <v>249</v>
      </c>
      <c r="T11" s="2629"/>
      <c r="U11" s="2629"/>
      <c r="V11" s="1230"/>
      <c r="W11" s="2593" t="s">
        <v>731</v>
      </c>
      <c r="X11" s="2593"/>
      <c r="Y11" s="2593"/>
      <c r="Z11" s="2593"/>
      <c r="AA11" s="2594"/>
      <c r="AB11" s="615"/>
      <c r="AC11" s="615"/>
      <c r="AD11" s="615"/>
      <c r="AE11" s="615"/>
      <c r="AF11" s="615"/>
      <c r="AG11" s="615"/>
      <c r="AH11" s="615"/>
      <c r="AI11" s="615"/>
      <c r="AJ11" s="615"/>
      <c r="AK11" s="615"/>
      <c r="AL11" s="615"/>
      <c r="AM11" s="615"/>
      <c r="AN11" s="615"/>
      <c r="AO11" s="615"/>
      <c r="AP11" s="615"/>
      <c r="AQ11" s="615"/>
      <c r="AR11" s="615"/>
    </row>
    <row r="12" spans="1:45" ht="18" customHeight="1">
      <c r="A12" s="2537"/>
      <c r="B12" s="2539"/>
      <c r="C12" s="2538"/>
      <c r="D12" s="1401"/>
      <c r="E12" s="1402"/>
      <c r="F12" s="1403"/>
      <c r="G12" s="1402"/>
      <c r="H12" s="1400"/>
      <c r="I12" s="1400"/>
      <c r="J12" s="2542"/>
      <c r="K12" s="2542"/>
      <c r="L12" s="2542"/>
      <c r="M12" s="2544"/>
      <c r="N12" s="617"/>
      <c r="O12" s="2564" t="s">
        <v>717</v>
      </c>
      <c r="P12" s="2565"/>
      <c r="Q12" s="2565"/>
      <c r="R12" s="2566"/>
      <c r="S12" s="2629"/>
      <c r="T12" s="2629"/>
      <c r="U12" s="2629"/>
      <c r="V12" s="1230"/>
      <c r="W12" s="2593"/>
      <c r="X12" s="2593"/>
      <c r="Y12" s="2593"/>
      <c r="Z12" s="2593"/>
      <c r="AA12" s="2594"/>
      <c r="AB12" s="615"/>
      <c r="AC12" s="615"/>
      <c r="AD12" s="615"/>
      <c r="AE12" s="615"/>
      <c r="AF12" s="615"/>
      <c r="AG12" s="615"/>
      <c r="AH12" s="615"/>
      <c r="AI12" s="615"/>
      <c r="AJ12" s="615"/>
      <c r="AK12" s="615"/>
      <c r="AL12" s="615"/>
      <c r="AM12" s="615"/>
      <c r="AN12" s="615"/>
      <c r="AO12" s="615"/>
      <c r="AP12" s="615"/>
      <c r="AQ12" s="615"/>
      <c r="AR12" s="615"/>
    </row>
    <row r="13" spans="1:45" ht="18" customHeight="1">
      <c r="A13" s="2537"/>
      <c r="B13" s="2539"/>
      <c r="C13" s="2540"/>
      <c r="D13" s="1401"/>
      <c r="E13" s="1402"/>
      <c r="F13" s="1403"/>
      <c r="G13" s="1402"/>
      <c r="H13" s="1400"/>
      <c r="I13" s="1400"/>
      <c r="J13" s="2542"/>
      <c r="K13" s="2542"/>
      <c r="L13" s="2542"/>
      <c r="M13" s="2544"/>
      <c r="N13" s="617"/>
      <c r="O13" s="2567" t="s">
        <v>718</v>
      </c>
      <c r="P13" s="2568"/>
      <c r="Q13" s="2568"/>
      <c r="R13" s="2569"/>
      <c r="S13" s="2596" t="s">
        <v>277</v>
      </c>
      <c r="T13" s="2596"/>
      <c r="U13" s="2596"/>
      <c r="V13" s="1229"/>
      <c r="W13" s="2597" t="s">
        <v>732</v>
      </c>
      <c r="X13" s="2597"/>
      <c r="Y13" s="2597"/>
      <c r="Z13" s="2597"/>
      <c r="AA13" s="2598"/>
      <c r="AC13" s="615"/>
      <c r="AD13" s="615"/>
      <c r="AE13" s="615"/>
      <c r="AF13" s="615"/>
      <c r="AG13" s="615"/>
      <c r="AH13" s="615"/>
      <c r="AI13" s="615"/>
      <c r="AJ13" s="615"/>
      <c r="AK13" s="615"/>
      <c r="AL13" s="615"/>
      <c r="AM13" s="615"/>
      <c r="AN13" s="615"/>
      <c r="AO13" s="615"/>
      <c r="AP13" s="615"/>
      <c r="AQ13" s="615"/>
      <c r="AR13" s="615"/>
    </row>
    <row r="14" spans="1:45" ht="18" customHeight="1">
      <c r="A14" s="2537"/>
      <c r="B14" s="2539"/>
      <c r="C14" s="2538"/>
      <c r="D14" s="1401"/>
      <c r="E14" s="1402"/>
      <c r="F14" s="1403"/>
      <c r="G14" s="1402"/>
      <c r="H14" s="1400"/>
      <c r="I14" s="1400"/>
      <c r="J14" s="2542"/>
      <c r="K14" s="2542"/>
      <c r="L14" s="2542"/>
      <c r="M14" s="2544"/>
      <c r="N14" s="617"/>
      <c r="O14" s="1627" t="s">
        <v>733</v>
      </c>
      <c r="P14" s="1628"/>
      <c r="Q14" s="1628"/>
      <c r="R14" s="1232"/>
      <c r="S14" s="1241"/>
      <c r="T14" s="1241"/>
      <c r="U14" s="632"/>
      <c r="V14" s="632"/>
      <c r="W14" s="632"/>
      <c r="X14" s="632"/>
      <c r="Y14" s="632"/>
      <c r="Z14" s="632"/>
      <c r="AA14" s="623"/>
      <c r="AD14" s="615"/>
      <c r="AE14" s="615"/>
      <c r="AF14" s="615"/>
      <c r="AG14" s="615"/>
      <c r="AH14" s="615"/>
      <c r="AI14" s="615"/>
      <c r="AJ14" s="615"/>
      <c r="AK14" s="615"/>
      <c r="AL14" s="615"/>
      <c r="AM14" s="615"/>
      <c r="AN14" s="615"/>
      <c r="AO14" s="615"/>
      <c r="AP14" s="615"/>
      <c r="AQ14" s="615"/>
      <c r="AR14" s="615"/>
      <c r="AS14" s="615"/>
    </row>
    <row r="15" spans="1:45" ht="18" customHeight="1">
      <c r="A15" s="2537"/>
      <c r="B15" s="2539"/>
      <c r="C15" s="2540"/>
      <c r="D15" s="1401"/>
      <c r="E15" s="1402"/>
      <c r="F15" s="1403"/>
      <c r="G15" s="1402"/>
      <c r="H15" s="1400"/>
      <c r="I15" s="1400"/>
      <c r="J15" s="2542"/>
      <c r="K15" s="2542"/>
      <c r="L15" s="2542"/>
      <c r="M15" s="2544"/>
      <c r="N15" s="617"/>
      <c r="O15" s="2592" t="s">
        <v>150</v>
      </c>
      <c r="P15" s="2591"/>
      <c r="Q15" s="2591"/>
      <c r="R15" s="1230"/>
      <c r="S15" s="2605" t="s">
        <v>734</v>
      </c>
      <c r="T15" s="2605"/>
      <c r="U15" s="2605"/>
      <c r="V15" s="2605"/>
      <c r="W15" s="2605"/>
      <c r="X15" s="2605"/>
      <c r="Y15" s="2605"/>
      <c r="Z15" s="2605"/>
      <c r="AA15" s="2606"/>
      <c r="AF15" s="615"/>
      <c r="AG15" s="615"/>
      <c r="AH15" s="615"/>
      <c r="AI15" s="615"/>
      <c r="AJ15" s="615"/>
      <c r="AK15" s="615"/>
      <c r="AL15" s="615"/>
      <c r="AM15" s="615"/>
      <c r="AN15" s="615"/>
      <c r="AO15" s="615"/>
      <c r="AP15" s="615"/>
      <c r="AQ15" s="615"/>
      <c r="AR15" s="615"/>
      <c r="AS15" s="615"/>
    </row>
    <row r="16" spans="1:45" ht="18" customHeight="1">
      <c r="A16" s="2537"/>
      <c r="B16" s="2539"/>
      <c r="C16" s="2538"/>
      <c r="D16" s="1401"/>
      <c r="E16" s="1402"/>
      <c r="F16" s="1403"/>
      <c r="G16" s="1402"/>
      <c r="H16" s="1400"/>
      <c r="I16" s="1400"/>
      <c r="J16" s="2542"/>
      <c r="K16" s="2542"/>
      <c r="L16" s="2542"/>
      <c r="M16" s="2544"/>
      <c r="N16" s="617"/>
      <c r="O16" s="2592"/>
      <c r="P16" s="2591"/>
      <c r="Q16" s="2591"/>
      <c r="R16" s="1230"/>
      <c r="S16" s="2605"/>
      <c r="T16" s="2605"/>
      <c r="U16" s="2605"/>
      <c r="V16" s="2605"/>
      <c r="W16" s="2605"/>
      <c r="X16" s="2605"/>
      <c r="Y16" s="2605"/>
      <c r="Z16" s="2605"/>
      <c r="AA16" s="2606"/>
      <c r="AF16" s="615"/>
      <c r="AG16" s="615"/>
      <c r="AH16" s="615"/>
      <c r="AI16" s="615"/>
      <c r="AJ16" s="615"/>
      <c r="AK16" s="615"/>
      <c r="AL16" s="615"/>
      <c r="AM16" s="615"/>
      <c r="AN16" s="615"/>
      <c r="AO16" s="615"/>
      <c r="AP16" s="615"/>
      <c r="AQ16" s="615"/>
      <c r="AR16" s="615"/>
      <c r="AS16" s="615"/>
    </row>
    <row r="17" spans="1:45" ht="18" customHeight="1">
      <c r="A17" s="2537"/>
      <c r="B17" s="2539"/>
      <c r="C17" s="2540"/>
      <c r="D17" s="1401"/>
      <c r="E17" s="1402"/>
      <c r="F17" s="1403"/>
      <c r="G17" s="1402"/>
      <c r="H17" s="1400"/>
      <c r="I17" s="1400"/>
      <c r="J17" s="2542"/>
      <c r="K17" s="2542"/>
      <c r="L17" s="2542"/>
      <c r="M17" s="2544"/>
      <c r="N17" s="617"/>
      <c r="O17" s="2592" t="s">
        <v>206</v>
      </c>
      <c r="P17" s="2591"/>
      <c r="Q17" s="2591"/>
      <c r="R17" s="1230"/>
      <c r="S17" s="2605" t="s">
        <v>735</v>
      </c>
      <c r="T17" s="2605"/>
      <c r="U17" s="2605"/>
      <c r="V17" s="2605"/>
      <c r="W17" s="2605"/>
      <c r="X17" s="2605"/>
      <c r="Y17" s="2605"/>
      <c r="Z17" s="2605"/>
      <c r="AA17" s="2606"/>
      <c r="AF17" s="615"/>
      <c r="AG17" s="615"/>
      <c r="AH17" s="615"/>
      <c r="AI17" s="615"/>
      <c r="AJ17" s="615"/>
      <c r="AK17" s="615"/>
      <c r="AL17" s="615"/>
      <c r="AM17" s="615"/>
      <c r="AN17" s="615"/>
      <c r="AO17" s="615"/>
      <c r="AP17" s="615"/>
      <c r="AQ17" s="615"/>
      <c r="AR17" s="615"/>
      <c r="AS17" s="615"/>
    </row>
    <row r="18" spans="1:45" ht="18" customHeight="1">
      <c r="A18" s="2537"/>
      <c r="B18" s="2539"/>
      <c r="C18" s="2538"/>
      <c r="D18" s="1401"/>
      <c r="E18" s="1402"/>
      <c r="F18" s="1403"/>
      <c r="G18" s="1402"/>
      <c r="H18" s="1400"/>
      <c r="I18" s="1400"/>
      <c r="J18" s="2542"/>
      <c r="K18" s="2542"/>
      <c r="L18" s="2542"/>
      <c r="M18" s="2544"/>
      <c r="N18" s="617"/>
      <c r="O18" s="2592"/>
      <c r="P18" s="2591"/>
      <c r="Q18" s="2591"/>
      <c r="R18" s="1230"/>
      <c r="S18" s="2605"/>
      <c r="T18" s="2605"/>
      <c r="U18" s="2605"/>
      <c r="V18" s="2605"/>
      <c r="W18" s="2605"/>
      <c r="X18" s="2605"/>
      <c r="Y18" s="2605"/>
      <c r="Z18" s="2605"/>
      <c r="AA18" s="2606"/>
      <c r="AF18" s="615"/>
      <c r="AG18" s="615"/>
      <c r="AH18" s="615"/>
      <c r="AI18" s="615"/>
      <c r="AJ18" s="615"/>
      <c r="AK18" s="615"/>
      <c r="AL18" s="615"/>
      <c r="AM18" s="615"/>
      <c r="AN18" s="615"/>
      <c r="AO18" s="615"/>
      <c r="AP18" s="615"/>
      <c r="AQ18" s="615"/>
      <c r="AR18" s="615"/>
      <c r="AS18" s="615"/>
    </row>
    <row r="19" spans="1:45" ht="18" customHeight="1">
      <c r="A19" s="2537"/>
      <c r="B19" s="2539"/>
      <c r="C19" s="2540"/>
      <c r="D19" s="1401"/>
      <c r="E19" s="1402"/>
      <c r="F19" s="1403"/>
      <c r="G19" s="1402"/>
      <c r="H19" s="1400"/>
      <c r="I19" s="1400"/>
      <c r="J19" s="2542"/>
      <c r="K19" s="2542"/>
      <c r="L19" s="2542"/>
      <c r="M19" s="2544"/>
      <c r="N19" s="617"/>
      <c r="O19" s="2592"/>
      <c r="P19" s="2591"/>
      <c r="Q19" s="2591"/>
      <c r="R19" s="1230"/>
      <c r="S19" s="2605"/>
      <c r="T19" s="2605"/>
      <c r="U19" s="2605"/>
      <c r="V19" s="2605"/>
      <c r="W19" s="2605"/>
      <c r="X19" s="2605"/>
      <c r="Y19" s="2605"/>
      <c r="Z19" s="2605"/>
      <c r="AA19" s="2606"/>
      <c r="AF19" s="615"/>
      <c r="AG19" s="615"/>
      <c r="AH19" s="615"/>
      <c r="AI19" s="615"/>
      <c r="AJ19" s="615"/>
      <c r="AK19" s="615"/>
      <c r="AL19" s="615"/>
      <c r="AM19" s="615"/>
      <c r="AN19" s="615"/>
      <c r="AO19" s="615"/>
      <c r="AP19" s="615"/>
      <c r="AQ19" s="615"/>
      <c r="AR19" s="615"/>
      <c r="AS19" s="615"/>
    </row>
    <row r="20" spans="1:45" ht="18" customHeight="1">
      <c r="A20" s="2537"/>
      <c r="B20" s="2539"/>
      <c r="C20" s="2538"/>
      <c r="D20" s="1401"/>
      <c r="E20" s="1402"/>
      <c r="F20" s="1403"/>
      <c r="G20" s="1402"/>
      <c r="H20" s="1400"/>
      <c r="I20" s="1400"/>
      <c r="J20" s="2542"/>
      <c r="K20" s="2542"/>
      <c r="L20" s="2542"/>
      <c r="M20" s="2544"/>
      <c r="N20" s="617"/>
      <c r="O20" s="2592" t="s">
        <v>247</v>
      </c>
      <c r="P20" s="2591"/>
      <c r="Q20" s="2591"/>
      <c r="R20" s="1230"/>
      <c r="S20" s="2605" t="s">
        <v>736</v>
      </c>
      <c r="T20" s="2605"/>
      <c r="U20" s="2605"/>
      <c r="V20" s="2605"/>
      <c r="W20" s="2605"/>
      <c r="X20" s="2605"/>
      <c r="Y20" s="2605"/>
      <c r="Z20" s="2605"/>
      <c r="AA20" s="2606"/>
      <c r="AF20" s="615"/>
      <c r="AG20" s="615"/>
      <c r="AH20" s="615"/>
      <c r="AI20" s="615"/>
      <c r="AJ20" s="615"/>
      <c r="AK20" s="615"/>
      <c r="AL20" s="615"/>
      <c r="AM20" s="615"/>
      <c r="AN20" s="615"/>
      <c r="AO20" s="615"/>
      <c r="AP20" s="615"/>
      <c r="AQ20" s="615"/>
      <c r="AR20" s="615"/>
      <c r="AS20" s="615"/>
    </row>
    <row r="21" spans="1:45" ht="18" customHeight="1">
      <c r="A21" s="2537"/>
      <c r="B21" s="2539"/>
      <c r="C21" s="2540"/>
      <c r="D21" s="1401"/>
      <c r="E21" s="1402"/>
      <c r="F21" s="1403"/>
      <c r="G21" s="1402"/>
      <c r="H21" s="1400"/>
      <c r="I21" s="1400"/>
      <c r="J21" s="2542"/>
      <c r="K21" s="2542"/>
      <c r="L21" s="2542"/>
      <c r="M21" s="2544"/>
      <c r="N21" s="617"/>
      <c r="O21" s="2592"/>
      <c r="P21" s="2591"/>
      <c r="Q21" s="2591"/>
      <c r="R21" s="1230"/>
      <c r="S21" s="2605"/>
      <c r="T21" s="2605"/>
      <c r="U21" s="2605"/>
      <c r="V21" s="2605"/>
      <c r="W21" s="2605"/>
      <c r="X21" s="2605"/>
      <c r="Y21" s="2605"/>
      <c r="Z21" s="2605"/>
      <c r="AA21" s="2606"/>
      <c r="AF21" s="615"/>
      <c r="AG21" s="615"/>
      <c r="AH21" s="615"/>
      <c r="AI21" s="615"/>
      <c r="AJ21" s="615"/>
      <c r="AK21" s="615"/>
      <c r="AL21" s="615"/>
      <c r="AM21" s="615"/>
      <c r="AN21" s="615"/>
      <c r="AO21" s="615"/>
      <c r="AP21" s="615"/>
      <c r="AQ21" s="615"/>
      <c r="AR21" s="615"/>
      <c r="AS21" s="615"/>
    </row>
    <row r="22" spans="1:45" ht="18" customHeight="1">
      <c r="A22" s="2537"/>
      <c r="B22" s="2539"/>
      <c r="C22" s="2538"/>
      <c r="D22" s="1401"/>
      <c r="E22" s="1402"/>
      <c r="F22" s="1403"/>
      <c r="G22" s="1402"/>
      <c r="H22" s="1400"/>
      <c r="I22" s="1400"/>
      <c r="J22" s="2542"/>
      <c r="K22" s="2542"/>
      <c r="L22" s="2542"/>
      <c r="M22" s="2544"/>
      <c r="N22" s="617"/>
      <c r="O22" s="2592"/>
      <c r="P22" s="2591"/>
      <c r="Q22" s="2591"/>
      <c r="R22" s="1230"/>
      <c r="S22" s="2605"/>
      <c r="T22" s="2605"/>
      <c r="U22" s="2605"/>
      <c r="V22" s="2605"/>
      <c r="W22" s="2605"/>
      <c r="X22" s="2605"/>
      <c r="Y22" s="2605"/>
      <c r="Z22" s="2605"/>
      <c r="AA22" s="2606"/>
      <c r="AB22" s="621"/>
      <c r="AC22" s="621"/>
      <c r="AF22" s="615"/>
      <c r="AG22" s="615"/>
      <c r="AH22" s="615"/>
      <c r="AI22" s="615"/>
      <c r="AJ22" s="615"/>
      <c r="AK22" s="615"/>
      <c r="AL22" s="615"/>
      <c r="AM22" s="615"/>
      <c r="AN22" s="615"/>
      <c r="AO22" s="615"/>
      <c r="AP22" s="615"/>
      <c r="AQ22" s="615"/>
      <c r="AR22" s="615"/>
      <c r="AS22" s="615"/>
    </row>
    <row r="23" spans="1:45" ht="18" customHeight="1" thickBot="1">
      <c r="A23" s="2574"/>
      <c r="B23" s="2575"/>
      <c r="C23" s="2540"/>
      <c r="D23" s="1405"/>
      <c r="E23" s="1402"/>
      <c r="F23" s="1403"/>
      <c r="G23" s="1406"/>
      <c r="H23" s="1400"/>
      <c r="I23" s="1400"/>
      <c r="J23" s="2576"/>
      <c r="K23" s="2576"/>
      <c r="L23" s="2576"/>
      <c r="M23" s="2577"/>
      <c r="N23" s="617"/>
      <c r="O23" s="2592" t="s">
        <v>275</v>
      </c>
      <c r="P23" s="2591"/>
      <c r="Q23" s="2591"/>
      <c r="R23" s="1230"/>
      <c r="S23" s="2605" t="s">
        <v>737</v>
      </c>
      <c r="T23" s="2605"/>
      <c r="U23" s="2605"/>
      <c r="V23" s="2605"/>
      <c r="W23" s="2605"/>
      <c r="X23" s="2605"/>
      <c r="Y23" s="2605"/>
      <c r="Z23" s="2605"/>
      <c r="AA23" s="2606"/>
      <c r="AF23" s="615"/>
      <c r="AG23" s="615"/>
      <c r="AH23" s="615"/>
      <c r="AI23" s="615"/>
      <c r="AJ23" s="615"/>
      <c r="AK23" s="615"/>
      <c r="AL23" s="615"/>
      <c r="AM23" s="615"/>
      <c r="AN23" s="615"/>
      <c r="AO23" s="615"/>
      <c r="AP23" s="615"/>
      <c r="AQ23" s="615"/>
      <c r="AR23" s="615"/>
      <c r="AS23" s="615"/>
    </row>
    <row r="24" spans="1:45" s="621" customFormat="1" ht="6" customHeight="1">
      <c r="A24" s="2578" t="s">
        <v>719</v>
      </c>
      <c r="B24" s="2580"/>
      <c r="C24" s="2580"/>
      <c r="D24" s="2580"/>
      <c r="E24" s="2580"/>
      <c r="F24" s="2580"/>
      <c r="G24" s="2580"/>
      <c r="H24" s="2580"/>
      <c r="I24" s="2580"/>
      <c r="J24" s="2580"/>
      <c r="K24" s="2580"/>
      <c r="L24" s="2580"/>
      <c r="M24" s="2581"/>
      <c r="N24" s="618"/>
      <c r="O24" s="2592"/>
      <c r="P24" s="2591"/>
      <c r="Q24" s="2591"/>
      <c r="R24" s="1230"/>
      <c r="S24" s="2605"/>
      <c r="T24" s="2605"/>
      <c r="U24" s="2605"/>
      <c r="V24" s="2605"/>
      <c r="W24" s="2605"/>
      <c r="X24" s="2605"/>
      <c r="Y24" s="2605"/>
      <c r="Z24" s="2605"/>
      <c r="AA24" s="2606"/>
      <c r="AB24" s="608"/>
      <c r="AC24" s="608"/>
      <c r="AF24" s="620"/>
      <c r="AG24" s="620"/>
      <c r="AH24" s="620"/>
      <c r="AI24" s="620"/>
      <c r="AJ24" s="620"/>
      <c r="AK24" s="620"/>
      <c r="AL24" s="620"/>
      <c r="AM24" s="620"/>
      <c r="AN24" s="620"/>
      <c r="AO24" s="620"/>
      <c r="AP24" s="620"/>
      <c r="AQ24" s="620"/>
      <c r="AR24" s="620"/>
      <c r="AS24" s="620"/>
    </row>
    <row r="25" spans="1:45" ht="21.95" customHeight="1" thickBot="1">
      <c r="A25" s="2579"/>
      <c r="B25" s="2582"/>
      <c r="C25" s="2582"/>
      <c r="D25" s="2582"/>
      <c r="E25" s="2582"/>
      <c r="F25" s="2582"/>
      <c r="G25" s="2582"/>
      <c r="H25" s="2582"/>
      <c r="I25" s="2582"/>
      <c r="J25" s="2582"/>
      <c r="K25" s="2582"/>
      <c r="L25" s="2582"/>
      <c r="M25" s="2583"/>
      <c r="N25" s="617"/>
      <c r="O25" s="2592"/>
      <c r="P25" s="2591"/>
      <c r="Q25" s="2591"/>
      <c r="R25" s="1230"/>
      <c r="S25" s="2605"/>
      <c r="T25" s="2605"/>
      <c r="U25" s="2605"/>
      <c r="V25" s="2605"/>
      <c r="W25" s="2605"/>
      <c r="X25" s="2605"/>
      <c r="Y25" s="2605"/>
      <c r="Z25" s="2605"/>
      <c r="AA25" s="2606"/>
      <c r="AB25" s="608"/>
      <c r="AC25" s="608"/>
      <c r="AF25" s="615"/>
      <c r="AG25" s="615"/>
      <c r="AH25" s="615"/>
      <c r="AI25" s="615"/>
      <c r="AJ25" s="615"/>
      <c r="AK25" s="615"/>
      <c r="AL25" s="615"/>
      <c r="AM25" s="615"/>
      <c r="AN25" s="615"/>
      <c r="AO25" s="615"/>
      <c r="AP25" s="615"/>
      <c r="AQ25" s="615"/>
      <c r="AR25" s="615"/>
      <c r="AS25" s="615"/>
    </row>
    <row r="26" spans="1:45" s="608" customFormat="1" ht="14.1" customHeight="1">
      <c r="A26" s="1407" t="s">
        <v>720</v>
      </c>
      <c r="B26" s="1408"/>
      <c r="D26" s="1116"/>
      <c r="E26" s="1116"/>
      <c r="F26" s="1116"/>
      <c r="G26" s="1116"/>
      <c r="H26" s="1116"/>
      <c r="I26" s="1116"/>
      <c r="J26" s="1116"/>
      <c r="K26" s="1116"/>
      <c r="L26" s="1116"/>
      <c r="M26" s="1409"/>
      <c r="N26" s="1116"/>
      <c r="O26" s="2601" t="s">
        <v>738</v>
      </c>
      <c r="P26" s="2602"/>
      <c r="Q26" s="2602"/>
      <c r="R26" s="1229"/>
      <c r="S26" s="2603" t="s">
        <v>739</v>
      </c>
      <c r="T26" s="2603"/>
      <c r="U26" s="2603"/>
      <c r="V26" s="2603"/>
      <c r="W26" s="2603"/>
      <c r="X26" s="2603"/>
      <c r="Y26" s="2603"/>
      <c r="Z26" s="2603"/>
      <c r="AA26" s="2604"/>
    </row>
    <row r="27" spans="1:45" s="608" customFormat="1" ht="21.95" customHeight="1" thickBot="1">
      <c r="A27" s="2584"/>
      <c r="B27" s="2585"/>
      <c r="C27" s="2585"/>
      <c r="D27" s="610"/>
      <c r="E27" s="2586"/>
      <c r="F27" s="2586"/>
      <c r="G27" s="2586"/>
      <c r="H27" s="2586"/>
      <c r="J27" s="1564"/>
      <c r="L27" s="2634"/>
      <c r="M27" s="2588"/>
      <c r="N27" s="622"/>
      <c r="O27" s="1635" t="s">
        <v>740</v>
      </c>
      <c r="P27" s="1628"/>
      <c r="Q27" s="2607" t="s">
        <v>96</v>
      </c>
      <c r="R27" s="1232"/>
      <c r="S27" s="2589" t="s">
        <v>741</v>
      </c>
      <c r="T27" s="2589"/>
      <c r="U27" s="2589"/>
      <c r="V27" s="2589"/>
      <c r="W27" s="2589"/>
      <c r="X27" s="2589"/>
      <c r="Y27" s="2589"/>
      <c r="Z27" s="632"/>
      <c r="AA27" s="623"/>
    </row>
    <row r="28" spans="1:45" s="608" customFormat="1" ht="12" customHeight="1">
      <c r="A28" s="2570" t="s">
        <v>721</v>
      </c>
      <c r="B28" s="2571"/>
      <c r="C28" s="2571"/>
      <c r="D28" s="611"/>
      <c r="E28" s="2571" t="s">
        <v>722</v>
      </c>
      <c r="F28" s="2571"/>
      <c r="G28" s="2571"/>
      <c r="H28" s="2572"/>
      <c r="J28" s="1491" t="s">
        <v>723</v>
      </c>
      <c r="L28" s="2465" t="s">
        <v>724</v>
      </c>
      <c r="M28" s="2573"/>
      <c r="N28" s="622"/>
      <c r="O28" s="1634"/>
      <c r="P28" s="1629"/>
      <c r="Q28" s="2608"/>
      <c r="R28" s="1230"/>
      <c r="S28" s="2590"/>
      <c r="T28" s="2590"/>
      <c r="U28" s="2590"/>
      <c r="V28" s="2590"/>
      <c r="W28" s="2590"/>
      <c r="X28" s="2590"/>
      <c r="Y28" s="2590"/>
      <c r="Z28" s="1226"/>
      <c r="AA28" s="1240"/>
    </row>
    <row r="29" spans="1:45" s="608" customFormat="1" ht="27" customHeight="1">
      <c r="A29" s="2639" t="s">
        <v>2661</v>
      </c>
      <c r="B29" s="2640"/>
      <c r="C29" s="2640"/>
      <c r="D29" s="2640"/>
      <c r="E29" s="2640"/>
      <c r="F29" s="2640"/>
      <c r="G29" s="2640"/>
      <c r="H29" s="2640"/>
      <c r="I29" s="2640"/>
      <c r="J29" s="2640"/>
      <c r="K29" s="2640"/>
      <c r="L29" s="2640"/>
      <c r="M29" s="2641"/>
      <c r="N29" s="622"/>
      <c r="O29" s="2592" t="s">
        <v>151</v>
      </c>
      <c r="P29" s="2591"/>
      <c r="Q29" s="2591"/>
      <c r="R29" s="1230"/>
      <c r="S29" s="1239" t="s">
        <v>742</v>
      </c>
      <c r="T29" s="1239"/>
      <c r="U29" s="1239"/>
      <c r="V29" s="1239"/>
      <c r="W29" s="1239"/>
      <c r="X29" s="1239"/>
      <c r="Y29" s="1239"/>
      <c r="Z29" s="1238"/>
      <c r="AA29" s="626"/>
    </row>
    <row r="30" spans="1:45" s="608" customFormat="1" ht="21.95" customHeight="1" thickBot="1">
      <c r="A30" s="2635"/>
      <c r="B30" s="2636"/>
      <c r="C30" s="2636"/>
      <c r="D30" s="610"/>
      <c r="E30" s="2637"/>
      <c r="F30" s="2637"/>
      <c r="G30" s="2637"/>
      <c r="H30" s="2637"/>
      <c r="J30" s="1259"/>
      <c r="L30" s="2634"/>
      <c r="M30" s="2638"/>
      <c r="N30" s="622"/>
      <c r="O30" s="2592" t="s">
        <v>207</v>
      </c>
      <c r="P30" s="2591"/>
      <c r="Q30" s="2591"/>
      <c r="R30" s="1230"/>
      <c r="S30" s="2599" t="s">
        <v>743</v>
      </c>
      <c r="T30" s="2599"/>
      <c r="U30" s="2599"/>
      <c r="V30" s="2599"/>
      <c r="W30" s="2599"/>
      <c r="X30" s="2599"/>
      <c r="Y30" s="2599"/>
      <c r="Z30" s="2599"/>
      <c r="AA30" s="2600"/>
      <c r="AB30" s="613"/>
      <c r="AC30" s="613"/>
    </row>
    <row r="31" spans="1:45" s="608" customFormat="1" ht="14.1" customHeight="1" thickBot="1">
      <c r="A31" s="2630" t="s">
        <v>744</v>
      </c>
      <c r="B31" s="2631"/>
      <c r="C31" s="2631"/>
      <c r="D31" s="894"/>
      <c r="E31" s="2631" t="s">
        <v>722</v>
      </c>
      <c r="F31" s="2631"/>
      <c r="G31" s="2631"/>
      <c r="H31" s="2632"/>
      <c r="I31" s="612"/>
      <c r="J31" s="894" t="s">
        <v>745</v>
      </c>
      <c r="K31" s="612"/>
      <c r="L31" s="2631" t="s">
        <v>724</v>
      </c>
      <c r="M31" s="2633"/>
      <c r="O31" s="1237"/>
      <c r="P31" s="1236"/>
      <c r="Q31" s="1236"/>
      <c r="R31" s="1230"/>
      <c r="S31" s="2599"/>
      <c r="T31" s="2599"/>
      <c r="U31" s="2599"/>
      <c r="V31" s="2599"/>
      <c r="W31" s="2599"/>
      <c r="X31" s="2599"/>
      <c r="Y31" s="2599"/>
      <c r="Z31" s="2599"/>
      <c r="AA31" s="2600"/>
      <c r="AB31" s="613"/>
      <c r="AC31" s="613"/>
    </row>
    <row r="32" spans="1:45">
      <c r="L32" s="615"/>
      <c r="M32" s="615"/>
      <c r="O32" s="2592" t="s">
        <v>248</v>
      </c>
      <c r="P32" s="2591"/>
      <c r="Q32" s="2591"/>
      <c r="R32" s="1230"/>
      <c r="S32" s="2593" t="s">
        <v>746</v>
      </c>
      <c r="T32" s="2593"/>
      <c r="U32" s="2593"/>
      <c r="V32" s="2593"/>
      <c r="W32" s="2593"/>
      <c r="X32" s="2593"/>
      <c r="Y32" s="2593"/>
      <c r="Z32" s="2593"/>
      <c r="AA32" s="2594"/>
      <c r="AF32" s="615"/>
      <c r="AG32" s="615"/>
      <c r="AH32" s="615"/>
      <c r="AI32" s="615"/>
      <c r="AJ32" s="615"/>
      <c r="AK32" s="615"/>
      <c r="AL32" s="615"/>
      <c r="AM32" s="615"/>
      <c r="AN32" s="615"/>
      <c r="AO32" s="615"/>
      <c r="AP32" s="615"/>
      <c r="AQ32" s="615"/>
      <c r="AR32" s="615"/>
      <c r="AS32" s="615"/>
    </row>
    <row r="33" spans="12:45">
      <c r="L33" s="615"/>
      <c r="M33" s="615"/>
      <c r="O33" s="2592"/>
      <c r="P33" s="2591"/>
      <c r="Q33" s="2591"/>
      <c r="R33" s="1230"/>
      <c r="S33" s="2593"/>
      <c r="T33" s="2593"/>
      <c r="U33" s="2593"/>
      <c r="V33" s="2593"/>
      <c r="W33" s="2593"/>
      <c r="X33" s="2593"/>
      <c r="Y33" s="2593"/>
      <c r="Z33" s="2593"/>
      <c r="AA33" s="2594"/>
      <c r="AF33" s="615"/>
      <c r="AG33" s="615"/>
      <c r="AH33" s="615"/>
      <c r="AI33" s="615"/>
      <c r="AJ33" s="615"/>
      <c r="AK33" s="615"/>
      <c r="AL33" s="615"/>
      <c r="AM33" s="615"/>
      <c r="AN33" s="615"/>
      <c r="AO33" s="615"/>
      <c r="AP33" s="615"/>
      <c r="AQ33" s="615"/>
      <c r="AR33" s="615"/>
      <c r="AS33" s="615"/>
    </row>
    <row r="34" spans="12:45">
      <c r="L34" s="615"/>
      <c r="M34" s="615"/>
      <c r="O34" s="2595" t="s">
        <v>276</v>
      </c>
      <c r="P34" s="2596"/>
      <c r="Q34" s="2596"/>
      <c r="R34" s="1229"/>
      <c r="S34" s="631" t="s">
        <v>747</v>
      </c>
      <c r="T34" s="631"/>
      <c r="U34" s="631"/>
      <c r="V34" s="631"/>
      <c r="W34" s="631"/>
      <c r="X34" s="631"/>
      <c r="Y34" s="631"/>
      <c r="Z34" s="629"/>
      <c r="AA34" s="630"/>
      <c r="AF34" s="615"/>
      <c r="AG34" s="615"/>
      <c r="AH34" s="615"/>
      <c r="AI34" s="615"/>
      <c r="AJ34" s="615"/>
      <c r="AK34" s="615"/>
      <c r="AL34" s="615"/>
      <c r="AM34" s="615"/>
      <c r="AN34" s="615"/>
      <c r="AO34" s="615"/>
      <c r="AP34" s="615"/>
      <c r="AQ34" s="615"/>
      <c r="AR34" s="615"/>
      <c r="AS34" s="615"/>
    </row>
    <row r="35" spans="12:45">
      <c r="L35" s="615"/>
      <c r="M35" s="615"/>
      <c r="AF35" s="615"/>
      <c r="AG35" s="615"/>
      <c r="AH35" s="615"/>
      <c r="AI35" s="615"/>
      <c r="AJ35" s="615"/>
      <c r="AK35" s="615"/>
      <c r="AL35" s="615"/>
      <c r="AM35" s="615"/>
      <c r="AN35" s="615"/>
      <c r="AO35" s="615"/>
      <c r="AP35" s="615"/>
      <c r="AQ35" s="615"/>
      <c r="AR35" s="615"/>
      <c r="AS35" s="615"/>
    </row>
    <row r="36" spans="12:45">
      <c r="L36" s="615"/>
      <c r="M36" s="615"/>
      <c r="AF36" s="615"/>
      <c r="AG36" s="615"/>
      <c r="AH36" s="615"/>
      <c r="AI36" s="615"/>
      <c r="AJ36" s="615"/>
      <c r="AK36" s="615"/>
      <c r="AL36" s="615"/>
      <c r="AM36" s="615"/>
      <c r="AN36" s="615"/>
      <c r="AO36" s="615"/>
      <c r="AP36" s="615"/>
      <c r="AQ36" s="615"/>
      <c r="AR36" s="615"/>
      <c r="AS36" s="615"/>
    </row>
    <row r="37" spans="12:45">
      <c r="L37" s="615"/>
      <c r="AF37" s="615"/>
      <c r="AG37" s="615"/>
      <c r="AH37" s="615"/>
      <c r="AI37" s="615"/>
      <c r="AJ37" s="615"/>
      <c r="AK37" s="615"/>
      <c r="AL37" s="615"/>
      <c r="AM37" s="615"/>
      <c r="AN37" s="615"/>
      <c r="AO37" s="615"/>
      <c r="AP37" s="615"/>
      <c r="AQ37" s="615"/>
      <c r="AR37" s="615"/>
      <c r="AS37" s="615"/>
    </row>
    <row r="38" spans="12:45">
      <c r="L38" s="615"/>
      <c r="AF38" s="615"/>
      <c r="AG38" s="615"/>
      <c r="AH38" s="615"/>
      <c r="AI38" s="615"/>
      <c r="AJ38" s="615"/>
      <c r="AK38" s="615"/>
      <c r="AL38" s="615"/>
      <c r="AM38" s="615"/>
      <c r="AN38" s="615"/>
      <c r="AO38" s="615"/>
      <c r="AP38" s="615"/>
      <c r="AQ38" s="615"/>
      <c r="AR38" s="615"/>
      <c r="AS38" s="615"/>
    </row>
    <row r="39" spans="12:45">
      <c r="L39" s="615"/>
      <c r="M39" s="615"/>
      <c r="AF39" s="615"/>
      <c r="AG39" s="615"/>
      <c r="AH39" s="615"/>
      <c r="AI39" s="615"/>
      <c r="AJ39" s="615"/>
      <c r="AK39" s="615"/>
      <c r="AL39" s="615"/>
      <c r="AM39" s="615"/>
      <c r="AN39" s="615"/>
      <c r="AO39" s="615"/>
      <c r="AP39" s="615"/>
      <c r="AQ39" s="615"/>
      <c r="AR39" s="615"/>
      <c r="AS39" s="615"/>
    </row>
    <row r="40" spans="12:45">
      <c r="L40" s="615"/>
      <c r="M40" s="615"/>
      <c r="AB40" s="615"/>
      <c r="AC40" s="615"/>
      <c r="AF40" s="615"/>
      <c r="AG40" s="615"/>
      <c r="AH40" s="615"/>
      <c r="AI40" s="615"/>
      <c r="AJ40" s="615"/>
      <c r="AK40" s="615"/>
      <c r="AL40" s="615"/>
      <c r="AM40" s="615"/>
      <c r="AN40" s="615"/>
      <c r="AO40" s="615"/>
      <c r="AP40" s="615"/>
      <c r="AQ40" s="615"/>
      <c r="AR40" s="615"/>
      <c r="AS40" s="615"/>
    </row>
    <row r="41" spans="12:45">
      <c r="L41" s="615"/>
      <c r="M41" s="615"/>
      <c r="AB41" s="615"/>
      <c r="AC41" s="615"/>
      <c r="AF41" s="615"/>
      <c r="AG41" s="615"/>
      <c r="AH41" s="615"/>
      <c r="AI41" s="615"/>
      <c r="AJ41" s="615"/>
      <c r="AK41" s="615"/>
      <c r="AL41" s="615"/>
      <c r="AM41" s="615"/>
      <c r="AN41" s="615"/>
      <c r="AO41" s="615"/>
      <c r="AP41" s="615"/>
      <c r="AQ41" s="615"/>
      <c r="AR41" s="615"/>
      <c r="AS41" s="615"/>
    </row>
    <row r="42" spans="12:45">
      <c r="L42" s="615"/>
      <c r="M42" s="615"/>
      <c r="AB42" s="615"/>
      <c r="AC42" s="615"/>
      <c r="AD42" s="615"/>
      <c r="AE42" s="615"/>
      <c r="AF42" s="615"/>
      <c r="AG42" s="615"/>
      <c r="AH42" s="615"/>
      <c r="AI42" s="615"/>
      <c r="AJ42" s="615"/>
      <c r="AK42" s="615"/>
      <c r="AL42" s="615"/>
      <c r="AM42" s="615"/>
      <c r="AN42" s="615"/>
      <c r="AO42" s="615"/>
      <c r="AP42" s="615"/>
      <c r="AQ42" s="615"/>
      <c r="AR42" s="615"/>
      <c r="AS42" s="615"/>
    </row>
    <row r="43" spans="12:45">
      <c r="L43" s="615"/>
      <c r="M43" s="615"/>
      <c r="AB43" s="615"/>
      <c r="AC43" s="615"/>
      <c r="AD43" s="615"/>
      <c r="AE43" s="615"/>
      <c r="AF43" s="615"/>
      <c r="AG43" s="615"/>
      <c r="AH43" s="615"/>
      <c r="AI43" s="615"/>
      <c r="AJ43" s="615"/>
      <c r="AK43" s="615"/>
      <c r="AL43" s="615"/>
      <c r="AM43" s="615"/>
      <c r="AN43" s="615"/>
      <c r="AO43" s="615"/>
      <c r="AP43" s="615"/>
      <c r="AQ43" s="615"/>
      <c r="AR43" s="615"/>
      <c r="AS43" s="615"/>
    </row>
    <row r="44" spans="12:45">
      <c r="L44" s="615"/>
      <c r="M44" s="615"/>
      <c r="AB44" s="615"/>
      <c r="AC44" s="615"/>
      <c r="AD44" s="615"/>
      <c r="AE44" s="615"/>
      <c r="AF44" s="615"/>
      <c r="AG44" s="615"/>
      <c r="AH44" s="615"/>
      <c r="AI44" s="615"/>
      <c r="AJ44" s="615"/>
      <c r="AK44" s="615"/>
      <c r="AL44" s="615"/>
      <c r="AM44" s="615"/>
      <c r="AN44" s="615"/>
      <c r="AO44" s="615"/>
      <c r="AP44" s="615"/>
      <c r="AQ44" s="615"/>
      <c r="AR44" s="615"/>
      <c r="AS44" s="615"/>
    </row>
    <row r="45" spans="12:45">
      <c r="L45" s="615"/>
      <c r="M45" s="615"/>
      <c r="AB45" s="615"/>
      <c r="AC45" s="615"/>
      <c r="AD45" s="615"/>
      <c r="AE45" s="615"/>
      <c r="AF45" s="615"/>
      <c r="AG45" s="615"/>
      <c r="AH45" s="615"/>
      <c r="AI45" s="615"/>
      <c r="AJ45" s="615"/>
      <c r="AK45" s="615"/>
      <c r="AL45" s="615"/>
      <c r="AM45" s="615"/>
      <c r="AN45" s="615"/>
      <c r="AO45" s="615"/>
      <c r="AP45" s="615"/>
      <c r="AQ45" s="615"/>
      <c r="AR45" s="615"/>
      <c r="AS45" s="615"/>
    </row>
    <row r="46" spans="12:45">
      <c r="L46" s="615"/>
      <c r="M46" s="615"/>
      <c r="AB46" s="615"/>
      <c r="AC46" s="615"/>
      <c r="AD46" s="615"/>
      <c r="AE46" s="615"/>
      <c r="AF46" s="615"/>
      <c r="AG46" s="615"/>
      <c r="AH46" s="615"/>
      <c r="AI46" s="615"/>
      <c r="AJ46" s="615"/>
      <c r="AK46" s="615"/>
      <c r="AL46" s="615"/>
      <c r="AM46" s="615"/>
      <c r="AN46" s="615"/>
      <c r="AO46" s="615"/>
      <c r="AP46" s="615"/>
      <c r="AQ46" s="615"/>
      <c r="AR46" s="615"/>
      <c r="AS46" s="615"/>
    </row>
    <row r="47" spans="12:45">
      <c r="L47" s="615"/>
      <c r="M47" s="615"/>
      <c r="AB47" s="615"/>
      <c r="AC47" s="615"/>
      <c r="AD47" s="615"/>
      <c r="AE47" s="615"/>
      <c r="AF47" s="615"/>
      <c r="AG47" s="615"/>
      <c r="AH47" s="615"/>
      <c r="AI47" s="615"/>
      <c r="AJ47" s="615"/>
      <c r="AK47" s="615"/>
      <c r="AL47" s="615"/>
      <c r="AM47" s="615"/>
      <c r="AN47" s="615"/>
      <c r="AO47" s="615"/>
      <c r="AP47" s="615"/>
      <c r="AQ47" s="615"/>
      <c r="AR47" s="615"/>
      <c r="AS47" s="615"/>
    </row>
    <row r="48" spans="12:45">
      <c r="L48" s="615"/>
      <c r="M48" s="615"/>
      <c r="AB48" s="615"/>
      <c r="AC48" s="615"/>
      <c r="AD48" s="615"/>
      <c r="AE48" s="615"/>
      <c r="AF48" s="615"/>
      <c r="AG48" s="615"/>
      <c r="AH48" s="615"/>
      <c r="AI48" s="615"/>
      <c r="AJ48" s="615"/>
      <c r="AK48" s="615"/>
      <c r="AL48" s="615"/>
      <c r="AM48" s="615"/>
      <c r="AN48" s="615"/>
      <c r="AO48" s="615"/>
      <c r="AP48" s="615"/>
      <c r="AQ48" s="615"/>
      <c r="AR48" s="615"/>
      <c r="AS48" s="615"/>
    </row>
    <row r="49" spans="12:45">
      <c r="L49" s="615"/>
      <c r="M49" s="615"/>
      <c r="AB49" s="615"/>
      <c r="AC49" s="615"/>
      <c r="AD49" s="615"/>
      <c r="AE49" s="615"/>
      <c r="AF49" s="615"/>
      <c r="AG49" s="615"/>
      <c r="AH49" s="615"/>
      <c r="AI49" s="615"/>
      <c r="AJ49" s="615"/>
      <c r="AK49" s="615"/>
      <c r="AL49" s="615"/>
      <c r="AM49" s="615"/>
      <c r="AN49" s="615"/>
      <c r="AO49" s="615"/>
      <c r="AP49" s="615"/>
      <c r="AQ49" s="615"/>
      <c r="AR49" s="615"/>
      <c r="AS49" s="615"/>
    </row>
    <row r="50" spans="12:45">
      <c r="L50" s="615"/>
      <c r="M50" s="615"/>
      <c r="AB50" s="615"/>
      <c r="AC50" s="615"/>
      <c r="AD50" s="615"/>
      <c r="AE50" s="615"/>
      <c r="AF50" s="615"/>
      <c r="AG50" s="615"/>
      <c r="AH50" s="615"/>
      <c r="AI50" s="615"/>
      <c r="AJ50" s="615"/>
      <c r="AK50" s="615"/>
      <c r="AL50" s="615"/>
      <c r="AM50" s="615"/>
      <c r="AN50" s="615"/>
      <c r="AO50" s="615"/>
      <c r="AP50" s="615"/>
      <c r="AQ50" s="615"/>
      <c r="AR50" s="615"/>
      <c r="AS50" s="615"/>
    </row>
    <row r="51" spans="12:45">
      <c r="L51" s="615"/>
      <c r="M51" s="615"/>
      <c r="AB51" s="615"/>
      <c r="AC51" s="615"/>
      <c r="AD51" s="615"/>
      <c r="AE51" s="615"/>
      <c r="AF51" s="615"/>
      <c r="AG51" s="615"/>
      <c r="AH51" s="615"/>
      <c r="AI51" s="615"/>
      <c r="AJ51" s="615"/>
      <c r="AK51" s="615"/>
      <c r="AL51" s="615"/>
      <c r="AM51" s="615"/>
      <c r="AN51" s="615"/>
      <c r="AO51" s="615"/>
      <c r="AP51" s="615"/>
      <c r="AQ51" s="615"/>
      <c r="AR51" s="615"/>
      <c r="AS51" s="615"/>
    </row>
    <row r="52" spans="12:45">
      <c r="L52" s="615"/>
      <c r="M52" s="615"/>
      <c r="AB52" s="615"/>
      <c r="AC52" s="615"/>
      <c r="AD52" s="615"/>
      <c r="AE52" s="615"/>
      <c r="AF52" s="615"/>
      <c r="AG52" s="615"/>
      <c r="AH52" s="615"/>
      <c r="AI52" s="615"/>
      <c r="AJ52" s="615"/>
      <c r="AK52" s="615"/>
      <c r="AL52" s="615"/>
      <c r="AM52" s="615"/>
      <c r="AN52" s="615"/>
      <c r="AO52" s="615"/>
      <c r="AP52" s="615"/>
      <c r="AQ52" s="615"/>
      <c r="AR52" s="615"/>
      <c r="AS52" s="615"/>
    </row>
    <row r="53" spans="12:45">
      <c r="L53" s="615"/>
      <c r="M53" s="615"/>
      <c r="AB53" s="615"/>
      <c r="AC53" s="615"/>
      <c r="AD53" s="615"/>
      <c r="AE53" s="615"/>
      <c r="AF53" s="615"/>
      <c r="AG53" s="615"/>
      <c r="AH53" s="615"/>
      <c r="AI53" s="615"/>
      <c r="AJ53" s="615"/>
      <c r="AK53" s="615"/>
      <c r="AL53" s="615"/>
      <c r="AM53" s="615"/>
      <c r="AN53" s="615"/>
      <c r="AO53" s="615"/>
      <c r="AP53" s="615"/>
      <c r="AQ53" s="615"/>
      <c r="AR53" s="615"/>
      <c r="AS53" s="615"/>
    </row>
    <row r="54" spans="12:45">
      <c r="L54" s="615"/>
      <c r="M54" s="615"/>
      <c r="AB54" s="615"/>
      <c r="AC54" s="615"/>
      <c r="AD54" s="615"/>
      <c r="AE54" s="615"/>
      <c r="AF54" s="615"/>
      <c r="AG54" s="615"/>
      <c r="AH54" s="615"/>
      <c r="AI54" s="615"/>
      <c r="AJ54" s="615"/>
      <c r="AK54" s="615"/>
      <c r="AL54" s="615"/>
      <c r="AM54" s="615"/>
      <c r="AN54" s="615"/>
      <c r="AO54" s="615"/>
      <c r="AP54" s="615"/>
      <c r="AQ54" s="615"/>
      <c r="AR54" s="615"/>
      <c r="AS54" s="615"/>
    </row>
    <row r="55" spans="12:45">
      <c r="L55" s="615"/>
      <c r="M55" s="615"/>
      <c r="AB55" s="615"/>
      <c r="AC55" s="615"/>
      <c r="AD55" s="615"/>
      <c r="AE55" s="615"/>
      <c r="AF55" s="615"/>
      <c r="AG55" s="615"/>
      <c r="AH55" s="615"/>
      <c r="AI55" s="615"/>
      <c r="AJ55" s="615"/>
      <c r="AK55" s="615"/>
      <c r="AL55" s="615"/>
      <c r="AM55" s="615"/>
      <c r="AN55" s="615"/>
      <c r="AO55" s="615"/>
      <c r="AP55" s="615"/>
      <c r="AQ55" s="615"/>
      <c r="AR55" s="615"/>
      <c r="AS55" s="615"/>
    </row>
    <row r="56" spans="12:45">
      <c r="L56" s="615"/>
      <c r="M56" s="615"/>
      <c r="AB56" s="615"/>
      <c r="AC56" s="615"/>
      <c r="AD56" s="615"/>
      <c r="AE56" s="615"/>
      <c r="AF56" s="615"/>
      <c r="AG56" s="615"/>
      <c r="AH56" s="615"/>
      <c r="AI56" s="615"/>
      <c r="AJ56" s="615"/>
      <c r="AK56" s="615"/>
      <c r="AL56" s="615"/>
      <c r="AM56" s="615"/>
      <c r="AN56" s="615"/>
      <c r="AO56" s="615"/>
      <c r="AP56" s="615"/>
      <c r="AQ56" s="615"/>
      <c r="AR56" s="615"/>
      <c r="AS56" s="615"/>
    </row>
    <row r="57" spans="12:45">
      <c r="L57" s="615"/>
      <c r="M57" s="615"/>
      <c r="AB57" s="615"/>
      <c r="AC57" s="615"/>
      <c r="AD57" s="615"/>
      <c r="AE57" s="615"/>
      <c r="AF57" s="615"/>
      <c r="AG57" s="615"/>
      <c r="AH57" s="615"/>
      <c r="AI57" s="615"/>
      <c r="AJ57" s="615"/>
      <c r="AK57" s="615"/>
      <c r="AL57" s="615"/>
      <c r="AM57" s="615"/>
      <c r="AN57" s="615"/>
      <c r="AO57" s="615"/>
      <c r="AP57" s="615"/>
      <c r="AQ57" s="615"/>
      <c r="AR57" s="615"/>
      <c r="AS57" s="615"/>
    </row>
    <row r="58" spans="12:45">
      <c r="L58" s="615"/>
      <c r="M58" s="615"/>
      <c r="AB58" s="615"/>
      <c r="AC58" s="615"/>
      <c r="AD58" s="615"/>
      <c r="AE58" s="615"/>
      <c r="AF58" s="615"/>
      <c r="AG58" s="615"/>
      <c r="AH58" s="615"/>
      <c r="AI58" s="615"/>
      <c r="AJ58" s="615"/>
      <c r="AK58" s="615"/>
      <c r="AL58" s="615"/>
      <c r="AM58" s="615"/>
      <c r="AN58" s="615"/>
      <c r="AO58" s="615"/>
      <c r="AP58" s="615"/>
      <c r="AQ58" s="615"/>
      <c r="AR58" s="615"/>
      <c r="AS58" s="615"/>
    </row>
    <row r="59" spans="12:45">
      <c r="L59" s="615"/>
      <c r="M59" s="615"/>
      <c r="AB59" s="615"/>
      <c r="AC59" s="615"/>
      <c r="AD59" s="615"/>
      <c r="AE59" s="615"/>
      <c r="AF59" s="615"/>
      <c r="AG59" s="615"/>
      <c r="AH59" s="615"/>
      <c r="AI59" s="615"/>
      <c r="AJ59" s="615"/>
      <c r="AK59" s="615"/>
      <c r="AL59" s="615"/>
      <c r="AM59" s="615"/>
      <c r="AN59" s="615"/>
      <c r="AO59" s="615"/>
      <c r="AP59" s="615"/>
      <c r="AQ59" s="615"/>
      <c r="AR59" s="615"/>
      <c r="AS59" s="615"/>
    </row>
    <row r="60" spans="12:45">
      <c r="L60" s="615"/>
      <c r="M60" s="615"/>
      <c r="AB60" s="615"/>
      <c r="AC60" s="615"/>
      <c r="AD60" s="615"/>
      <c r="AE60" s="615"/>
      <c r="AF60" s="615"/>
      <c r="AG60" s="615"/>
      <c r="AH60" s="615"/>
      <c r="AI60" s="615"/>
      <c r="AJ60" s="615"/>
      <c r="AK60" s="615"/>
      <c r="AL60" s="615"/>
      <c r="AM60" s="615"/>
      <c r="AN60" s="615"/>
      <c r="AO60" s="615"/>
      <c r="AP60" s="615"/>
      <c r="AQ60" s="615"/>
      <c r="AR60" s="615"/>
      <c r="AS60" s="615"/>
    </row>
    <row r="61" spans="12:45">
      <c r="L61" s="615"/>
      <c r="M61" s="615"/>
      <c r="AB61" s="615"/>
      <c r="AC61" s="615"/>
      <c r="AD61" s="615"/>
      <c r="AE61" s="615"/>
      <c r="AF61" s="615"/>
      <c r="AG61" s="615"/>
      <c r="AH61" s="615"/>
      <c r="AI61" s="615"/>
      <c r="AJ61" s="615"/>
      <c r="AK61" s="615"/>
      <c r="AL61" s="615"/>
      <c r="AM61" s="615"/>
      <c r="AN61" s="615"/>
      <c r="AO61" s="615"/>
      <c r="AP61" s="615"/>
      <c r="AQ61" s="615"/>
      <c r="AR61" s="615"/>
      <c r="AS61" s="615"/>
    </row>
    <row r="62" spans="12:45">
      <c r="L62" s="615"/>
      <c r="M62" s="615"/>
      <c r="AB62" s="615"/>
      <c r="AC62" s="615"/>
      <c r="AD62" s="615"/>
      <c r="AE62" s="615"/>
      <c r="AF62" s="615"/>
      <c r="AG62" s="615"/>
      <c r="AH62" s="615"/>
      <c r="AI62" s="615"/>
      <c r="AJ62" s="615"/>
      <c r="AK62" s="615"/>
      <c r="AL62" s="615"/>
      <c r="AM62" s="615"/>
      <c r="AN62" s="615"/>
      <c r="AO62" s="615"/>
      <c r="AP62" s="615"/>
      <c r="AQ62" s="615"/>
      <c r="AR62" s="615"/>
      <c r="AS62" s="615"/>
    </row>
    <row r="63" spans="12:45">
      <c r="L63" s="615"/>
      <c r="M63" s="615"/>
      <c r="AB63" s="615"/>
      <c r="AC63" s="615"/>
      <c r="AD63" s="615"/>
      <c r="AE63" s="615"/>
      <c r="AF63" s="615"/>
      <c r="AG63" s="615"/>
      <c r="AH63" s="615"/>
      <c r="AI63" s="615"/>
      <c r="AJ63" s="615"/>
      <c r="AK63" s="615"/>
      <c r="AL63" s="615"/>
      <c r="AM63" s="615"/>
      <c r="AN63" s="615"/>
      <c r="AO63" s="615"/>
      <c r="AP63" s="615"/>
      <c r="AQ63" s="615"/>
      <c r="AR63" s="615"/>
      <c r="AS63" s="615"/>
    </row>
    <row r="64" spans="12:45">
      <c r="L64" s="615"/>
      <c r="M64" s="615"/>
      <c r="AB64" s="615"/>
      <c r="AC64" s="615"/>
      <c r="AD64" s="615"/>
      <c r="AE64" s="615"/>
      <c r="AF64" s="615"/>
      <c r="AG64" s="615"/>
      <c r="AH64" s="615"/>
      <c r="AI64" s="615"/>
      <c r="AJ64" s="615"/>
      <c r="AK64" s="615"/>
      <c r="AL64" s="615"/>
      <c r="AM64" s="615"/>
      <c r="AN64" s="615"/>
      <c r="AO64" s="615"/>
      <c r="AP64" s="615"/>
      <c r="AQ64" s="615"/>
      <c r="AR64" s="615"/>
      <c r="AS64" s="615"/>
    </row>
    <row r="65" spans="12:45">
      <c r="L65" s="615"/>
      <c r="M65" s="615"/>
      <c r="AB65" s="615"/>
      <c r="AC65" s="615"/>
      <c r="AD65" s="615"/>
      <c r="AE65" s="615"/>
      <c r="AF65" s="615"/>
      <c r="AG65" s="615"/>
      <c r="AH65" s="615"/>
      <c r="AI65" s="615"/>
      <c r="AJ65" s="615"/>
      <c r="AK65" s="615"/>
      <c r="AL65" s="615"/>
      <c r="AM65" s="615"/>
      <c r="AN65" s="615"/>
      <c r="AO65" s="615"/>
      <c r="AP65" s="615"/>
      <c r="AQ65" s="615"/>
      <c r="AR65" s="615"/>
      <c r="AS65" s="615"/>
    </row>
    <row r="66" spans="12:45">
      <c r="L66" s="615"/>
      <c r="M66" s="615"/>
      <c r="AB66" s="615"/>
      <c r="AC66" s="615"/>
      <c r="AD66" s="615"/>
      <c r="AE66" s="615"/>
      <c r="AF66" s="615"/>
      <c r="AG66" s="615"/>
      <c r="AH66" s="615"/>
      <c r="AI66" s="615"/>
      <c r="AJ66" s="615"/>
      <c r="AK66" s="615"/>
      <c r="AL66" s="615"/>
      <c r="AM66" s="615"/>
      <c r="AN66" s="615"/>
      <c r="AO66" s="615"/>
      <c r="AP66" s="615"/>
      <c r="AQ66" s="615"/>
      <c r="AR66" s="615"/>
      <c r="AS66" s="615"/>
    </row>
    <row r="67" spans="12:45">
      <c r="L67" s="615"/>
      <c r="M67" s="615"/>
      <c r="AB67" s="615"/>
      <c r="AC67" s="615"/>
      <c r="AD67" s="615"/>
      <c r="AE67" s="615"/>
      <c r="AF67" s="615"/>
      <c r="AG67" s="615"/>
      <c r="AH67" s="615"/>
      <c r="AI67" s="615"/>
      <c r="AJ67" s="615"/>
      <c r="AK67" s="615"/>
      <c r="AL67" s="615"/>
      <c r="AM67" s="615"/>
      <c r="AN67" s="615"/>
      <c r="AO67" s="615"/>
      <c r="AP67" s="615"/>
      <c r="AQ67" s="615"/>
      <c r="AR67" s="615"/>
      <c r="AS67" s="615"/>
    </row>
    <row r="68" spans="12:45">
      <c r="L68" s="615"/>
      <c r="M68" s="615"/>
      <c r="AB68" s="615"/>
      <c r="AC68" s="615"/>
      <c r="AD68" s="615"/>
      <c r="AE68" s="615"/>
      <c r="AF68" s="615"/>
      <c r="AG68" s="615"/>
      <c r="AH68" s="615"/>
      <c r="AI68" s="615"/>
      <c r="AJ68" s="615"/>
      <c r="AK68" s="615"/>
      <c r="AL68" s="615"/>
      <c r="AM68" s="615"/>
      <c r="AN68" s="615"/>
      <c r="AO68" s="615"/>
      <c r="AP68" s="615"/>
      <c r="AQ68" s="615"/>
      <c r="AR68" s="615"/>
      <c r="AS68" s="615"/>
    </row>
    <row r="69" spans="12:45">
      <c r="L69" s="615"/>
      <c r="M69" s="615"/>
      <c r="AB69" s="615"/>
      <c r="AC69" s="615"/>
      <c r="AD69" s="615"/>
      <c r="AE69" s="615"/>
      <c r="AF69" s="615"/>
      <c r="AG69" s="615"/>
      <c r="AH69" s="615"/>
      <c r="AI69" s="615"/>
      <c r="AJ69" s="615"/>
      <c r="AK69" s="615"/>
      <c r="AL69" s="615"/>
      <c r="AM69" s="615"/>
      <c r="AN69" s="615"/>
      <c r="AO69" s="615"/>
      <c r="AP69" s="615"/>
      <c r="AQ69" s="615"/>
      <c r="AR69" s="615"/>
      <c r="AS69" s="615"/>
    </row>
    <row r="70" spans="12:45">
      <c r="L70" s="615"/>
      <c r="M70" s="615"/>
      <c r="AB70" s="615"/>
      <c r="AC70" s="615"/>
      <c r="AD70" s="615"/>
      <c r="AE70" s="615"/>
      <c r="AF70" s="615"/>
      <c r="AG70" s="615"/>
      <c r="AH70" s="615"/>
      <c r="AI70" s="615"/>
      <c r="AJ70" s="615"/>
      <c r="AK70" s="615"/>
      <c r="AL70" s="615"/>
      <c r="AM70" s="615"/>
      <c r="AN70" s="615"/>
      <c r="AO70" s="615"/>
      <c r="AP70" s="615"/>
      <c r="AQ70" s="615"/>
      <c r="AR70" s="615"/>
      <c r="AS70" s="615"/>
    </row>
    <row r="71" spans="12:45">
      <c r="L71" s="615"/>
      <c r="M71" s="615"/>
      <c r="AB71" s="615"/>
      <c r="AC71" s="615"/>
      <c r="AD71" s="615"/>
      <c r="AE71" s="615"/>
      <c r="AF71" s="615"/>
      <c r="AG71" s="615"/>
      <c r="AH71" s="615"/>
      <c r="AI71" s="615"/>
      <c r="AJ71" s="615"/>
      <c r="AK71" s="615"/>
      <c r="AL71" s="615"/>
      <c r="AM71" s="615"/>
      <c r="AN71" s="615"/>
      <c r="AO71" s="615"/>
      <c r="AP71" s="615"/>
      <c r="AQ71" s="615"/>
      <c r="AR71" s="615"/>
      <c r="AS71" s="615"/>
    </row>
    <row r="72" spans="12:45">
      <c r="L72" s="615"/>
      <c r="M72" s="615"/>
      <c r="AB72" s="615"/>
      <c r="AC72" s="615"/>
      <c r="AD72" s="615"/>
      <c r="AE72" s="615"/>
      <c r="AF72" s="615"/>
      <c r="AG72" s="615"/>
      <c r="AH72" s="615"/>
      <c r="AI72" s="615"/>
      <c r="AJ72" s="615"/>
      <c r="AK72" s="615"/>
      <c r="AL72" s="615"/>
      <c r="AM72" s="615"/>
      <c r="AN72" s="615"/>
      <c r="AO72" s="615"/>
      <c r="AP72" s="615"/>
      <c r="AQ72" s="615"/>
      <c r="AR72" s="615"/>
      <c r="AS72" s="615"/>
    </row>
    <row r="73" spans="12:45">
      <c r="L73" s="615"/>
      <c r="M73" s="615"/>
      <c r="AB73" s="615"/>
      <c r="AC73" s="615"/>
      <c r="AD73" s="615"/>
      <c r="AE73" s="615"/>
      <c r="AF73" s="615"/>
      <c r="AG73" s="615"/>
      <c r="AH73" s="615"/>
      <c r="AI73" s="615"/>
      <c r="AJ73" s="615"/>
      <c r="AK73" s="615"/>
      <c r="AL73" s="615"/>
      <c r="AM73" s="615"/>
      <c r="AN73" s="615"/>
      <c r="AO73" s="615"/>
      <c r="AP73" s="615"/>
      <c r="AQ73" s="615"/>
      <c r="AR73" s="615"/>
      <c r="AS73" s="615"/>
    </row>
    <row r="74" spans="12:45">
      <c r="L74" s="615"/>
      <c r="M74" s="615"/>
      <c r="AB74" s="615"/>
      <c r="AC74" s="615"/>
      <c r="AD74" s="615"/>
      <c r="AE74" s="615"/>
      <c r="AF74" s="615"/>
      <c r="AG74" s="615"/>
      <c r="AH74" s="615"/>
      <c r="AI74" s="615"/>
      <c r="AJ74" s="615"/>
      <c r="AK74" s="615"/>
      <c r="AL74" s="615"/>
      <c r="AM74" s="615"/>
      <c r="AN74" s="615"/>
      <c r="AO74" s="615"/>
      <c r="AP74" s="615"/>
      <c r="AQ74" s="615"/>
      <c r="AR74" s="615"/>
      <c r="AS74" s="615"/>
    </row>
    <row r="75" spans="12:45">
      <c r="L75" s="615"/>
      <c r="M75" s="615"/>
      <c r="AB75" s="615"/>
      <c r="AC75" s="615"/>
      <c r="AD75" s="615"/>
      <c r="AE75" s="615"/>
      <c r="AF75" s="615"/>
      <c r="AG75" s="615"/>
      <c r="AH75" s="615"/>
      <c r="AI75" s="615"/>
      <c r="AJ75" s="615"/>
      <c r="AK75" s="615"/>
      <c r="AL75" s="615"/>
      <c r="AM75" s="615"/>
      <c r="AN75" s="615"/>
      <c r="AO75" s="615"/>
      <c r="AP75" s="615"/>
      <c r="AQ75" s="615"/>
      <c r="AR75" s="615"/>
      <c r="AS75" s="615"/>
    </row>
    <row r="76" spans="12:45">
      <c r="L76" s="615"/>
      <c r="M76" s="615"/>
      <c r="AB76" s="615"/>
      <c r="AC76" s="615"/>
      <c r="AD76" s="615"/>
      <c r="AE76" s="615"/>
      <c r="AF76" s="615"/>
      <c r="AG76" s="615"/>
      <c r="AH76" s="615"/>
      <c r="AI76" s="615"/>
      <c r="AJ76" s="615"/>
      <c r="AK76" s="615"/>
      <c r="AL76" s="615"/>
      <c r="AM76" s="615"/>
      <c r="AN76" s="615"/>
      <c r="AO76" s="615"/>
      <c r="AP76" s="615"/>
      <c r="AQ76" s="615"/>
      <c r="AR76" s="615"/>
      <c r="AS76" s="615"/>
    </row>
    <row r="77" spans="12:45">
      <c r="L77" s="615"/>
      <c r="M77" s="615"/>
      <c r="AB77" s="615"/>
      <c r="AC77" s="615"/>
      <c r="AD77" s="615"/>
      <c r="AE77" s="615"/>
      <c r="AF77" s="615"/>
      <c r="AG77" s="615"/>
      <c r="AH77" s="615"/>
      <c r="AI77" s="615"/>
      <c r="AJ77" s="615"/>
      <c r="AK77" s="615"/>
      <c r="AL77" s="615"/>
      <c r="AM77" s="615"/>
      <c r="AN77" s="615"/>
      <c r="AO77" s="615"/>
      <c r="AP77" s="615"/>
      <c r="AQ77" s="615"/>
      <c r="AR77" s="615"/>
      <c r="AS77" s="615"/>
    </row>
    <row r="78" spans="12:45">
      <c r="L78" s="615"/>
      <c r="M78" s="615"/>
      <c r="AB78" s="615"/>
      <c r="AC78" s="615"/>
      <c r="AD78" s="615"/>
      <c r="AE78" s="615"/>
      <c r="AF78" s="615"/>
      <c r="AG78" s="615"/>
      <c r="AH78" s="615"/>
      <c r="AI78" s="615"/>
      <c r="AJ78" s="615"/>
      <c r="AK78" s="615"/>
      <c r="AL78" s="615"/>
      <c r="AM78" s="615"/>
      <c r="AN78" s="615"/>
      <c r="AO78" s="615"/>
      <c r="AP78" s="615"/>
      <c r="AQ78" s="615"/>
      <c r="AR78" s="615"/>
      <c r="AS78" s="615"/>
    </row>
    <row r="79" spans="12:45">
      <c r="L79" s="615"/>
      <c r="M79" s="615"/>
      <c r="AB79" s="615"/>
      <c r="AC79" s="615"/>
      <c r="AD79" s="615"/>
      <c r="AE79" s="615"/>
      <c r="AF79" s="615"/>
      <c r="AG79" s="615"/>
      <c r="AH79" s="615"/>
      <c r="AI79" s="615"/>
      <c r="AJ79" s="615"/>
      <c r="AK79" s="615"/>
      <c r="AL79" s="615"/>
      <c r="AM79" s="615"/>
      <c r="AN79" s="615"/>
      <c r="AO79" s="615"/>
      <c r="AP79" s="615"/>
      <c r="AQ79" s="615"/>
      <c r="AR79" s="615"/>
      <c r="AS79" s="615"/>
    </row>
    <row r="80" spans="12:45">
      <c r="L80" s="615"/>
      <c r="M80" s="615"/>
      <c r="AB80" s="615"/>
      <c r="AC80" s="615"/>
      <c r="AD80" s="615"/>
      <c r="AE80" s="615"/>
      <c r="AF80" s="615"/>
      <c r="AG80" s="615"/>
      <c r="AH80" s="615"/>
      <c r="AI80" s="615"/>
      <c r="AJ80" s="615"/>
      <c r="AK80" s="615"/>
      <c r="AL80" s="615"/>
      <c r="AM80" s="615"/>
      <c r="AN80" s="615"/>
      <c r="AO80" s="615"/>
      <c r="AP80" s="615"/>
      <c r="AQ80" s="615"/>
      <c r="AR80" s="615"/>
      <c r="AS80" s="615"/>
    </row>
    <row r="81" spans="12:45">
      <c r="L81" s="615"/>
      <c r="M81" s="615"/>
      <c r="AB81" s="615"/>
      <c r="AC81" s="615"/>
      <c r="AD81" s="615"/>
      <c r="AE81" s="615"/>
      <c r="AF81" s="615"/>
      <c r="AG81" s="615"/>
      <c r="AH81" s="615"/>
      <c r="AI81" s="615"/>
      <c r="AJ81" s="615"/>
      <c r="AK81" s="615"/>
      <c r="AL81" s="615"/>
      <c r="AM81" s="615"/>
      <c r="AN81" s="615"/>
      <c r="AO81" s="615"/>
      <c r="AP81" s="615"/>
      <c r="AQ81" s="615"/>
      <c r="AR81" s="615"/>
      <c r="AS81" s="615"/>
    </row>
    <row r="82" spans="12:45">
      <c r="L82" s="615"/>
      <c r="M82" s="615"/>
      <c r="AB82" s="615"/>
      <c r="AC82" s="615"/>
      <c r="AD82" s="615"/>
      <c r="AE82" s="615"/>
      <c r="AF82" s="615"/>
      <c r="AG82" s="615"/>
      <c r="AH82" s="615"/>
      <c r="AI82" s="615"/>
      <c r="AJ82" s="615"/>
      <c r="AK82" s="615"/>
      <c r="AL82" s="615"/>
      <c r="AM82" s="615"/>
      <c r="AN82" s="615"/>
      <c r="AO82" s="615"/>
      <c r="AP82" s="615"/>
      <c r="AQ82" s="615"/>
      <c r="AR82" s="615"/>
      <c r="AS82" s="615"/>
    </row>
    <row r="83" spans="12:45">
      <c r="L83" s="615"/>
      <c r="M83" s="615"/>
      <c r="AB83" s="615"/>
      <c r="AC83" s="615"/>
      <c r="AD83" s="615"/>
      <c r="AE83" s="615"/>
      <c r="AF83" s="615"/>
      <c r="AG83" s="615"/>
      <c r="AH83" s="615"/>
      <c r="AI83" s="615"/>
      <c r="AJ83" s="615"/>
      <c r="AK83" s="615"/>
      <c r="AL83" s="615"/>
      <c r="AM83" s="615"/>
      <c r="AN83" s="615"/>
      <c r="AO83" s="615"/>
      <c r="AP83" s="615"/>
      <c r="AQ83" s="615"/>
      <c r="AR83" s="615"/>
      <c r="AS83" s="615"/>
    </row>
    <row r="84" spans="12:45">
      <c r="L84" s="615"/>
      <c r="M84" s="615"/>
      <c r="AB84" s="615"/>
      <c r="AC84" s="615"/>
      <c r="AD84" s="615"/>
      <c r="AE84" s="615"/>
      <c r="AF84" s="615"/>
      <c r="AG84" s="615"/>
      <c r="AH84" s="615"/>
      <c r="AI84" s="615"/>
      <c r="AJ84" s="615"/>
      <c r="AK84" s="615"/>
      <c r="AL84" s="615"/>
      <c r="AM84" s="615"/>
      <c r="AN84" s="615"/>
      <c r="AO84" s="615"/>
      <c r="AP84" s="615"/>
      <c r="AQ84" s="615"/>
      <c r="AR84" s="615"/>
      <c r="AS84" s="615"/>
    </row>
    <row r="85" spans="12:45">
      <c r="L85" s="615"/>
      <c r="M85" s="615"/>
      <c r="AB85" s="615"/>
      <c r="AC85" s="615"/>
      <c r="AD85" s="615"/>
      <c r="AE85" s="615"/>
      <c r="AF85" s="615"/>
      <c r="AG85" s="615"/>
      <c r="AH85" s="615"/>
      <c r="AI85" s="615"/>
      <c r="AJ85" s="615"/>
      <c r="AK85" s="615"/>
      <c r="AL85" s="615"/>
      <c r="AM85" s="615"/>
      <c r="AN85" s="615"/>
      <c r="AO85" s="615"/>
      <c r="AP85" s="615"/>
      <c r="AQ85" s="615"/>
      <c r="AR85" s="615"/>
      <c r="AS85" s="615"/>
    </row>
    <row r="86" spans="12:45">
      <c r="L86" s="615"/>
      <c r="M86" s="615"/>
      <c r="AB86" s="615"/>
      <c r="AC86" s="615"/>
      <c r="AD86" s="615"/>
      <c r="AE86" s="615"/>
      <c r="AF86" s="615"/>
      <c r="AG86" s="615"/>
      <c r="AH86" s="615"/>
      <c r="AI86" s="615"/>
      <c r="AJ86" s="615"/>
      <c r="AK86" s="615"/>
      <c r="AL86" s="615"/>
      <c r="AM86" s="615"/>
      <c r="AN86" s="615"/>
      <c r="AO86" s="615"/>
      <c r="AP86" s="615"/>
      <c r="AQ86" s="615"/>
      <c r="AR86" s="615"/>
      <c r="AS86" s="615"/>
    </row>
    <row r="87" spans="12:45">
      <c r="L87" s="615"/>
      <c r="M87" s="615"/>
      <c r="AB87" s="615"/>
      <c r="AC87" s="615"/>
      <c r="AD87" s="615"/>
      <c r="AE87" s="615"/>
      <c r="AF87" s="615"/>
      <c r="AG87" s="615"/>
      <c r="AH87" s="615"/>
      <c r="AI87" s="615"/>
      <c r="AJ87" s="615"/>
      <c r="AK87" s="615"/>
      <c r="AL87" s="615"/>
      <c r="AM87" s="615"/>
      <c r="AN87" s="615"/>
      <c r="AO87" s="615"/>
      <c r="AP87" s="615"/>
      <c r="AQ87" s="615"/>
      <c r="AR87" s="615"/>
      <c r="AS87" s="615"/>
    </row>
    <row r="88" spans="12:45">
      <c r="L88" s="615"/>
      <c r="M88" s="615"/>
      <c r="AB88" s="615"/>
      <c r="AC88" s="615"/>
      <c r="AD88" s="615"/>
      <c r="AE88" s="615"/>
      <c r="AF88" s="615"/>
      <c r="AG88" s="615"/>
      <c r="AH88" s="615"/>
      <c r="AI88" s="615"/>
      <c r="AJ88" s="615"/>
      <c r="AK88" s="615"/>
      <c r="AL88" s="615"/>
      <c r="AM88" s="615"/>
      <c r="AN88" s="615"/>
      <c r="AO88" s="615"/>
      <c r="AP88" s="615"/>
      <c r="AQ88" s="615"/>
      <c r="AR88" s="615"/>
      <c r="AS88" s="615"/>
    </row>
    <row r="89" spans="12:45">
      <c r="L89" s="615"/>
      <c r="M89" s="615"/>
      <c r="AB89" s="615"/>
      <c r="AC89" s="615"/>
      <c r="AD89" s="615"/>
      <c r="AE89" s="615"/>
      <c r="AF89" s="615"/>
      <c r="AG89" s="615"/>
      <c r="AH89" s="615"/>
      <c r="AI89" s="615"/>
      <c r="AJ89" s="615"/>
      <c r="AK89" s="615"/>
      <c r="AL89" s="615"/>
      <c r="AM89" s="615"/>
      <c r="AN89" s="615"/>
      <c r="AO89" s="615"/>
      <c r="AP89" s="615"/>
      <c r="AQ89" s="615"/>
      <c r="AR89" s="615"/>
      <c r="AS89" s="615"/>
    </row>
    <row r="90" spans="12:45">
      <c r="L90" s="615"/>
      <c r="M90" s="615"/>
      <c r="AB90" s="615"/>
      <c r="AC90" s="615"/>
      <c r="AD90" s="615"/>
      <c r="AE90" s="615"/>
      <c r="AF90" s="615"/>
      <c r="AG90" s="615"/>
      <c r="AH90" s="615"/>
      <c r="AI90" s="615"/>
      <c r="AJ90" s="615"/>
      <c r="AK90" s="615"/>
      <c r="AL90" s="615"/>
      <c r="AM90" s="615"/>
      <c r="AN90" s="615"/>
      <c r="AO90" s="615"/>
      <c r="AP90" s="615"/>
      <c r="AQ90" s="615"/>
      <c r="AR90" s="615"/>
      <c r="AS90" s="615"/>
    </row>
    <row r="91" spans="12:45">
      <c r="L91" s="615"/>
      <c r="M91" s="615"/>
      <c r="AB91" s="615"/>
      <c r="AC91" s="615"/>
      <c r="AD91" s="615"/>
      <c r="AE91" s="615"/>
      <c r="AF91" s="615"/>
      <c r="AG91" s="615"/>
      <c r="AH91" s="615"/>
      <c r="AI91" s="615"/>
      <c r="AJ91" s="615"/>
      <c r="AK91" s="615"/>
      <c r="AL91" s="615"/>
      <c r="AM91" s="615"/>
      <c r="AN91" s="615"/>
      <c r="AO91" s="615"/>
      <c r="AP91" s="615"/>
      <c r="AQ91" s="615"/>
      <c r="AR91" s="615"/>
      <c r="AS91" s="615"/>
    </row>
    <row r="92" spans="12:45">
      <c r="L92" s="615"/>
      <c r="M92" s="615"/>
      <c r="AB92" s="615"/>
      <c r="AC92" s="615"/>
      <c r="AD92" s="615"/>
      <c r="AE92" s="615"/>
      <c r="AF92" s="615"/>
      <c r="AG92" s="615"/>
      <c r="AH92" s="615"/>
      <c r="AI92" s="615"/>
      <c r="AJ92" s="615"/>
      <c r="AK92" s="615"/>
      <c r="AL92" s="615"/>
      <c r="AM92" s="615"/>
      <c r="AN92" s="615"/>
      <c r="AO92" s="615"/>
      <c r="AP92" s="615"/>
      <c r="AQ92" s="615"/>
      <c r="AR92" s="615"/>
      <c r="AS92" s="615"/>
    </row>
    <row r="93" spans="12:45">
      <c r="L93" s="615"/>
      <c r="M93" s="615"/>
      <c r="AB93" s="615"/>
      <c r="AC93" s="615"/>
      <c r="AD93" s="615"/>
      <c r="AE93" s="615"/>
      <c r="AF93" s="615"/>
      <c r="AG93" s="615"/>
      <c r="AH93" s="615"/>
      <c r="AI93" s="615"/>
      <c r="AJ93" s="615"/>
      <c r="AK93" s="615"/>
      <c r="AL93" s="615"/>
      <c r="AM93" s="615"/>
      <c r="AN93" s="615"/>
      <c r="AO93" s="615"/>
      <c r="AP93" s="615"/>
      <c r="AQ93" s="615"/>
      <c r="AR93" s="615"/>
      <c r="AS93" s="615"/>
    </row>
    <row r="94" spans="12:45">
      <c r="L94" s="615"/>
      <c r="M94" s="615"/>
      <c r="AB94" s="615"/>
      <c r="AC94" s="615"/>
      <c r="AD94" s="615"/>
      <c r="AE94" s="615"/>
      <c r="AF94" s="615"/>
      <c r="AG94" s="615"/>
      <c r="AH94" s="615"/>
      <c r="AI94" s="615"/>
      <c r="AJ94" s="615"/>
      <c r="AK94" s="615"/>
      <c r="AL94" s="615"/>
      <c r="AM94" s="615"/>
      <c r="AN94" s="615"/>
      <c r="AO94" s="615"/>
      <c r="AP94" s="615"/>
      <c r="AQ94" s="615"/>
      <c r="AR94" s="615"/>
      <c r="AS94" s="615"/>
    </row>
    <row r="95" spans="12:45">
      <c r="L95" s="615"/>
      <c r="M95" s="615"/>
      <c r="AB95" s="615"/>
      <c r="AC95" s="615"/>
      <c r="AD95" s="615"/>
      <c r="AE95" s="615"/>
      <c r="AF95" s="615"/>
      <c r="AG95" s="615"/>
      <c r="AH95" s="615"/>
      <c r="AI95" s="615"/>
      <c r="AJ95" s="615"/>
      <c r="AK95" s="615"/>
      <c r="AL95" s="615"/>
      <c r="AM95" s="615"/>
      <c r="AN95" s="615"/>
      <c r="AO95" s="615"/>
      <c r="AP95" s="615"/>
      <c r="AQ95" s="615"/>
      <c r="AR95" s="615"/>
      <c r="AS95" s="615"/>
    </row>
    <row r="96" spans="12:45">
      <c r="L96" s="615"/>
      <c r="M96" s="615"/>
      <c r="AB96" s="615"/>
      <c r="AC96" s="615"/>
      <c r="AD96" s="615"/>
      <c r="AE96" s="615"/>
      <c r="AF96" s="615"/>
      <c r="AG96" s="615"/>
      <c r="AH96" s="615"/>
      <c r="AI96" s="615"/>
      <c r="AJ96" s="615"/>
      <c r="AK96" s="615"/>
      <c r="AL96" s="615"/>
      <c r="AM96" s="615"/>
      <c r="AN96" s="615"/>
      <c r="AO96" s="615"/>
      <c r="AP96" s="615"/>
      <c r="AQ96" s="615"/>
      <c r="AR96" s="615"/>
      <c r="AS96" s="615"/>
    </row>
    <row r="97" spans="12:45">
      <c r="L97" s="615"/>
      <c r="M97" s="615"/>
      <c r="AB97" s="615"/>
      <c r="AC97" s="615"/>
      <c r="AD97" s="615"/>
      <c r="AE97" s="615"/>
      <c r="AF97" s="615"/>
      <c r="AG97" s="615"/>
      <c r="AH97" s="615"/>
      <c r="AI97" s="615"/>
      <c r="AJ97" s="615"/>
      <c r="AK97" s="615"/>
      <c r="AL97" s="615"/>
      <c r="AM97" s="615"/>
      <c r="AN97" s="615"/>
      <c r="AO97" s="615"/>
      <c r="AP97" s="615"/>
      <c r="AQ97" s="615"/>
      <c r="AR97" s="615"/>
      <c r="AS97" s="615"/>
    </row>
    <row r="98" spans="12:45">
      <c r="L98" s="615"/>
      <c r="M98" s="615"/>
      <c r="AB98" s="615"/>
      <c r="AC98" s="615"/>
      <c r="AD98" s="615"/>
      <c r="AE98" s="615"/>
      <c r="AF98" s="615"/>
      <c r="AG98" s="615"/>
      <c r="AH98" s="615"/>
      <c r="AI98" s="615"/>
      <c r="AJ98" s="615"/>
      <c r="AK98" s="615"/>
      <c r="AL98" s="615"/>
      <c r="AM98" s="615"/>
      <c r="AN98" s="615"/>
      <c r="AO98" s="615"/>
      <c r="AP98" s="615"/>
      <c r="AQ98" s="615"/>
      <c r="AR98" s="615"/>
      <c r="AS98" s="615"/>
    </row>
    <row r="99" spans="12:45">
      <c r="L99" s="615"/>
      <c r="M99" s="615"/>
      <c r="AB99" s="615"/>
      <c r="AC99" s="615"/>
      <c r="AD99" s="615"/>
      <c r="AE99" s="615"/>
      <c r="AF99" s="615"/>
      <c r="AG99" s="615"/>
      <c r="AH99" s="615"/>
      <c r="AI99" s="615"/>
      <c r="AJ99" s="615"/>
      <c r="AK99" s="615"/>
      <c r="AL99" s="615"/>
      <c r="AM99" s="615"/>
      <c r="AN99" s="615"/>
      <c r="AO99" s="615"/>
      <c r="AP99" s="615"/>
      <c r="AQ99" s="615"/>
      <c r="AR99" s="615"/>
      <c r="AS99" s="615"/>
    </row>
    <row r="100" spans="12:45">
      <c r="L100" s="615"/>
      <c r="M100" s="615"/>
      <c r="AB100" s="615"/>
      <c r="AC100" s="615"/>
      <c r="AD100" s="615"/>
      <c r="AE100" s="615"/>
      <c r="AF100" s="615"/>
      <c r="AG100" s="615"/>
      <c r="AH100" s="615"/>
      <c r="AI100" s="615"/>
      <c r="AJ100" s="615"/>
      <c r="AK100" s="615"/>
      <c r="AL100" s="615"/>
      <c r="AM100" s="615"/>
      <c r="AN100" s="615"/>
      <c r="AO100" s="615"/>
      <c r="AP100" s="615"/>
      <c r="AQ100" s="615"/>
      <c r="AR100" s="615"/>
      <c r="AS100" s="615"/>
    </row>
    <row r="101" spans="12:45">
      <c r="L101" s="615"/>
      <c r="M101" s="615"/>
      <c r="AB101" s="615"/>
      <c r="AC101" s="615"/>
      <c r="AD101" s="615"/>
      <c r="AE101" s="615"/>
      <c r="AF101" s="615"/>
      <c r="AG101" s="615"/>
      <c r="AH101" s="615"/>
      <c r="AI101" s="615"/>
      <c r="AJ101" s="615"/>
      <c r="AK101" s="615"/>
      <c r="AL101" s="615"/>
      <c r="AM101" s="615"/>
      <c r="AN101" s="615"/>
      <c r="AO101" s="615"/>
      <c r="AP101" s="615"/>
      <c r="AQ101" s="615"/>
      <c r="AR101" s="615"/>
      <c r="AS101" s="615"/>
    </row>
    <row r="102" spans="12:45">
      <c r="L102" s="615"/>
      <c r="M102" s="615"/>
      <c r="AB102" s="615"/>
      <c r="AC102" s="615"/>
      <c r="AD102" s="615"/>
      <c r="AE102" s="615"/>
      <c r="AF102" s="615"/>
      <c r="AG102" s="615"/>
      <c r="AH102" s="615"/>
      <c r="AI102" s="615"/>
      <c r="AJ102" s="615"/>
      <c r="AK102" s="615"/>
      <c r="AL102" s="615"/>
      <c r="AM102" s="615"/>
      <c r="AN102" s="615"/>
      <c r="AO102" s="615"/>
      <c r="AP102" s="615"/>
      <c r="AQ102" s="615"/>
      <c r="AR102" s="615"/>
      <c r="AS102" s="615"/>
    </row>
    <row r="103" spans="12:45">
      <c r="L103" s="615"/>
      <c r="M103" s="615"/>
      <c r="AB103" s="615"/>
      <c r="AC103" s="615"/>
      <c r="AD103" s="615"/>
      <c r="AE103" s="615"/>
      <c r="AF103" s="615"/>
      <c r="AG103" s="615"/>
      <c r="AH103" s="615"/>
      <c r="AI103" s="615"/>
      <c r="AJ103" s="615"/>
      <c r="AK103" s="615"/>
      <c r="AL103" s="615"/>
      <c r="AM103" s="615"/>
      <c r="AN103" s="615"/>
      <c r="AO103" s="615"/>
      <c r="AP103" s="615"/>
      <c r="AQ103" s="615"/>
      <c r="AR103" s="615"/>
      <c r="AS103" s="615"/>
    </row>
    <row r="104" spans="12:45">
      <c r="L104" s="615"/>
      <c r="M104" s="615"/>
      <c r="AB104" s="615"/>
      <c r="AC104" s="615"/>
      <c r="AD104" s="615"/>
      <c r="AE104" s="615"/>
      <c r="AF104" s="615"/>
      <c r="AG104" s="615"/>
      <c r="AH104" s="615"/>
      <c r="AI104" s="615"/>
      <c r="AJ104" s="615"/>
      <c r="AK104" s="615"/>
      <c r="AL104" s="615"/>
      <c r="AM104" s="615"/>
      <c r="AN104" s="615"/>
      <c r="AO104" s="615"/>
      <c r="AP104" s="615"/>
      <c r="AQ104" s="615"/>
      <c r="AR104" s="615"/>
      <c r="AS104" s="615"/>
    </row>
    <row r="105" spans="12:45">
      <c r="L105" s="615"/>
      <c r="M105" s="615"/>
      <c r="AB105" s="615"/>
      <c r="AC105" s="615"/>
      <c r="AD105" s="615"/>
      <c r="AE105" s="615"/>
      <c r="AF105" s="615"/>
      <c r="AG105" s="615"/>
      <c r="AH105" s="615"/>
      <c r="AI105" s="615"/>
      <c r="AJ105" s="615"/>
      <c r="AK105" s="615"/>
      <c r="AL105" s="615"/>
      <c r="AM105" s="615"/>
      <c r="AN105" s="615"/>
      <c r="AO105" s="615"/>
      <c r="AP105" s="615"/>
      <c r="AQ105" s="615"/>
      <c r="AR105" s="615"/>
      <c r="AS105" s="615"/>
    </row>
    <row r="106" spans="12:45">
      <c r="L106" s="615"/>
      <c r="M106" s="615"/>
      <c r="AB106" s="615"/>
      <c r="AC106" s="615"/>
      <c r="AD106" s="615"/>
      <c r="AE106" s="615"/>
      <c r="AF106" s="615"/>
      <c r="AG106" s="615"/>
      <c r="AH106" s="615"/>
      <c r="AI106" s="615"/>
      <c r="AJ106" s="615"/>
      <c r="AK106" s="615"/>
      <c r="AL106" s="615"/>
      <c r="AM106" s="615"/>
      <c r="AN106" s="615"/>
      <c r="AO106" s="615"/>
      <c r="AP106" s="615"/>
      <c r="AQ106" s="615"/>
      <c r="AR106" s="615"/>
      <c r="AS106" s="615"/>
    </row>
    <row r="107" spans="12:45">
      <c r="L107" s="615"/>
      <c r="M107" s="615"/>
      <c r="AB107" s="615"/>
      <c r="AC107" s="615"/>
      <c r="AD107" s="615"/>
      <c r="AE107" s="615"/>
      <c r="AF107" s="615"/>
      <c r="AG107" s="615"/>
      <c r="AH107" s="615"/>
      <c r="AI107" s="615"/>
      <c r="AJ107" s="615"/>
      <c r="AK107" s="615"/>
      <c r="AL107" s="615"/>
      <c r="AM107" s="615"/>
      <c r="AN107" s="615"/>
      <c r="AO107" s="615"/>
      <c r="AP107" s="615"/>
      <c r="AQ107" s="615"/>
      <c r="AR107" s="615"/>
      <c r="AS107" s="615"/>
    </row>
    <row r="108" spans="12:45">
      <c r="L108" s="615"/>
      <c r="M108" s="615"/>
      <c r="AB108" s="615"/>
      <c r="AC108" s="615"/>
      <c r="AD108" s="615"/>
      <c r="AE108" s="615"/>
      <c r="AF108" s="615"/>
      <c r="AG108" s="615"/>
      <c r="AH108" s="615"/>
      <c r="AI108" s="615"/>
      <c r="AJ108" s="615"/>
      <c r="AK108" s="615"/>
      <c r="AL108" s="615"/>
      <c r="AM108" s="615"/>
      <c r="AN108" s="615"/>
      <c r="AO108" s="615"/>
      <c r="AP108" s="615"/>
      <c r="AQ108" s="615"/>
      <c r="AR108" s="615"/>
      <c r="AS108" s="615"/>
    </row>
    <row r="109" spans="12:45">
      <c r="L109" s="615"/>
      <c r="M109" s="615"/>
      <c r="AB109" s="615"/>
      <c r="AC109" s="615"/>
      <c r="AD109" s="615"/>
      <c r="AE109" s="615"/>
      <c r="AF109" s="615"/>
      <c r="AG109" s="615"/>
      <c r="AH109" s="615"/>
      <c r="AI109" s="615"/>
      <c r="AJ109" s="615"/>
      <c r="AK109" s="615"/>
      <c r="AL109" s="615"/>
      <c r="AM109" s="615"/>
      <c r="AN109" s="615"/>
      <c r="AO109" s="615"/>
      <c r="AP109" s="615"/>
      <c r="AQ109" s="615"/>
      <c r="AR109" s="615"/>
      <c r="AS109" s="615"/>
    </row>
    <row r="110" spans="12:45">
      <c r="L110" s="615"/>
      <c r="M110" s="615"/>
      <c r="AB110" s="615"/>
      <c r="AC110" s="615"/>
      <c r="AD110" s="615"/>
      <c r="AE110" s="615"/>
      <c r="AF110" s="615"/>
      <c r="AG110" s="615"/>
      <c r="AH110" s="615"/>
      <c r="AI110" s="615"/>
      <c r="AJ110" s="615"/>
      <c r="AK110" s="615"/>
      <c r="AL110" s="615"/>
      <c r="AM110" s="615"/>
      <c r="AN110" s="615"/>
      <c r="AO110" s="615"/>
      <c r="AP110" s="615"/>
      <c r="AQ110" s="615"/>
      <c r="AR110" s="615"/>
      <c r="AS110" s="615"/>
    </row>
    <row r="111" spans="12:45">
      <c r="L111" s="615"/>
      <c r="M111" s="615"/>
      <c r="AB111" s="615"/>
      <c r="AC111" s="615"/>
      <c r="AD111" s="615"/>
      <c r="AE111" s="615"/>
      <c r="AF111" s="615"/>
      <c r="AG111" s="615"/>
      <c r="AH111" s="615"/>
      <c r="AI111" s="615"/>
      <c r="AJ111" s="615"/>
      <c r="AK111" s="615"/>
      <c r="AL111" s="615"/>
      <c r="AM111" s="615"/>
      <c r="AN111" s="615"/>
      <c r="AO111" s="615"/>
      <c r="AP111" s="615"/>
      <c r="AQ111" s="615"/>
      <c r="AR111" s="615"/>
      <c r="AS111" s="615"/>
    </row>
    <row r="112" spans="12:45">
      <c r="L112" s="615"/>
      <c r="M112" s="615"/>
      <c r="AB112" s="615"/>
      <c r="AC112" s="615"/>
      <c r="AD112" s="615"/>
      <c r="AE112" s="615"/>
      <c r="AF112" s="615"/>
      <c r="AG112" s="615"/>
      <c r="AH112" s="615"/>
      <c r="AI112" s="615"/>
      <c r="AJ112" s="615"/>
      <c r="AK112" s="615"/>
      <c r="AL112" s="615"/>
      <c r="AM112" s="615"/>
      <c r="AN112" s="615"/>
      <c r="AO112" s="615"/>
      <c r="AP112" s="615"/>
      <c r="AQ112" s="615"/>
      <c r="AR112" s="615"/>
      <c r="AS112" s="615"/>
    </row>
    <row r="113" spans="12:45">
      <c r="L113" s="615"/>
      <c r="M113" s="615"/>
      <c r="AB113" s="615"/>
      <c r="AC113" s="615"/>
      <c r="AD113" s="615"/>
      <c r="AE113" s="615"/>
      <c r="AF113" s="615"/>
      <c r="AG113" s="615"/>
      <c r="AH113" s="615"/>
      <c r="AI113" s="615"/>
      <c r="AJ113" s="615"/>
      <c r="AK113" s="615"/>
      <c r="AL113" s="615"/>
      <c r="AM113" s="615"/>
      <c r="AN113" s="615"/>
      <c r="AO113" s="615"/>
      <c r="AP113" s="615"/>
      <c r="AQ113" s="615"/>
      <c r="AR113" s="615"/>
      <c r="AS113" s="615"/>
    </row>
    <row r="114" spans="12:45">
      <c r="L114" s="615"/>
      <c r="M114" s="615"/>
      <c r="AB114" s="615"/>
      <c r="AC114" s="615"/>
      <c r="AD114" s="615"/>
      <c r="AE114" s="615"/>
      <c r="AF114" s="615"/>
      <c r="AG114" s="615"/>
      <c r="AH114" s="615"/>
      <c r="AI114" s="615"/>
      <c r="AJ114" s="615"/>
      <c r="AK114" s="615"/>
      <c r="AL114" s="615"/>
      <c r="AM114" s="615"/>
      <c r="AN114" s="615"/>
      <c r="AO114" s="615"/>
      <c r="AP114" s="615"/>
      <c r="AQ114" s="615"/>
      <c r="AR114" s="615"/>
      <c r="AS114" s="615"/>
    </row>
    <row r="115" spans="12:45">
      <c r="L115" s="615"/>
      <c r="M115" s="615"/>
      <c r="AB115" s="615"/>
      <c r="AC115" s="615"/>
      <c r="AD115" s="615"/>
      <c r="AE115" s="615"/>
      <c r="AF115" s="615"/>
      <c r="AG115" s="615"/>
      <c r="AH115" s="615"/>
      <c r="AI115" s="615"/>
      <c r="AJ115" s="615"/>
      <c r="AK115" s="615"/>
      <c r="AL115" s="615"/>
      <c r="AM115" s="615"/>
      <c r="AN115" s="615"/>
      <c r="AO115" s="615"/>
      <c r="AP115" s="615"/>
      <c r="AQ115" s="615"/>
      <c r="AR115" s="615"/>
      <c r="AS115" s="615"/>
    </row>
    <row r="116" spans="12:45">
      <c r="L116" s="615"/>
      <c r="M116" s="615"/>
      <c r="AB116" s="615"/>
      <c r="AC116" s="615"/>
      <c r="AD116" s="615"/>
      <c r="AE116" s="615"/>
      <c r="AF116" s="615"/>
      <c r="AG116" s="615"/>
      <c r="AH116" s="615"/>
      <c r="AI116" s="615"/>
      <c r="AJ116" s="615"/>
      <c r="AK116" s="615"/>
      <c r="AL116" s="615"/>
      <c r="AM116" s="615"/>
      <c r="AN116" s="615"/>
      <c r="AO116" s="615"/>
      <c r="AP116" s="615"/>
      <c r="AQ116" s="615"/>
      <c r="AR116" s="615"/>
      <c r="AS116" s="615"/>
    </row>
    <row r="117" spans="12:45">
      <c r="L117" s="615"/>
      <c r="M117" s="615"/>
      <c r="AB117" s="615"/>
      <c r="AC117" s="615"/>
      <c r="AD117" s="615"/>
      <c r="AE117" s="615"/>
      <c r="AF117" s="615"/>
      <c r="AG117" s="615"/>
      <c r="AH117" s="615"/>
      <c r="AI117" s="615"/>
      <c r="AJ117" s="615"/>
      <c r="AK117" s="615"/>
      <c r="AL117" s="615"/>
      <c r="AM117" s="615"/>
      <c r="AN117" s="615"/>
      <c r="AO117" s="615"/>
      <c r="AP117" s="615"/>
      <c r="AQ117" s="615"/>
      <c r="AR117" s="615"/>
      <c r="AS117" s="615"/>
    </row>
    <row r="118" spans="12:45">
      <c r="L118" s="615"/>
      <c r="M118" s="615"/>
      <c r="AB118" s="615"/>
      <c r="AC118" s="615"/>
      <c r="AD118" s="615"/>
      <c r="AE118" s="615"/>
      <c r="AF118" s="615"/>
      <c r="AG118" s="615"/>
      <c r="AH118" s="615"/>
      <c r="AI118" s="615"/>
      <c r="AJ118" s="615"/>
      <c r="AK118" s="615"/>
      <c r="AL118" s="615"/>
      <c r="AM118" s="615"/>
      <c r="AN118" s="615"/>
      <c r="AO118" s="615"/>
      <c r="AP118" s="615"/>
      <c r="AQ118" s="615"/>
      <c r="AR118" s="615"/>
      <c r="AS118" s="615"/>
    </row>
    <row r="119" spans="12:45">
      <c r="L119" s="615"/>
      <c r="M119" s="615"/>
      <c r="AB119" s="615"/>
      <c r="AC119" s="615"/>
      <c r="AD119" s="615"/>
      <c r="AE119" s="615"/>
      <c r="AF119" s="615"/>
      <c r="AG119" s="615"/>
      <c r="AH119" s="615"/>
      <c r="AI119" s="615"/>
      <c r="AJ119" s="615"/>
      <c r="AK119" s="615"/>
      <c r="AL119" s="615"/>
      <c r="AM119" s="615"/>
      <c r="AN119" s="615"/>
      <c r="AO119" s="615"/>
      <c r="AP119" s="615"/>
      <c r="AQ119" s="615"/>
      <c r="AR119" s="615"/>
      <c r="AS119" s="615"/>
    </row>
    <row r="120" spans="12:45">
      <c r="L120" s="615"/>
      <c r="M120" s="615"/>
      <c r="AB120" s="615"/>
      <c r="AC120" s="615"/>
      <c r="AD120" s="615"/>
      <c r="AE120" s="615"/>
      <c r="AF120" s="615"/>
      <c r="AG120" s="615"/>
      <c r="AH120" s="615"/>
      <c r="AI120" s="615"/>
      <c r="AJ120" s="615"/>
      <c r="AK120" s="615"/>
      <c r="AL120" s="615"/>
      <c r="AM120" s="615"/>
      <c r="AN120" s="615"/>
      <c r="AO120" s="615"/>
      <c r="AP120" s="615"/>
      <c r="AQ120" s="615"/>
      <c r="AR120" s="615"/>
      <c r="AS120" s="615"/>
    </row>
    <row r="121" spans="12:45">
      <c r="L121" s="615"/>
      <c r="M121" s="615"/>
      <c r="AB121" s="615"/>
      <c r="AC121" s="615"/>
      <c r="AD121" s="615"/>
      <c r="AE121" s="615"/>
      <c r="AF121" s="615"/>
      <c r="AG121" s="615"/>
      <c r="AH121" s="615"/>
      <c r="AI121" s="615"/>
      <c r="AJ121" s="615"/>
      <c r="AK121" s="615"/>
      <c r="AL121" s="615"/>
      <c r="AM121" s="615"/>
      <c r="AN121" s="615"/>
      <c r="AO121" s="615"/>
      <c r="AP121" s="615"/>
      <c r="AQ121" s="615"/>
      <c r="AR121" s="615"/>
      <c r="AS121" s="615"/>
    </row>
    <row r="122" spans="12:45">
      <c r="L122" s="615"/>
      <c r="M122" s="615"/>
      <c r="AB122" s="615"/>
      <c r="AC122" s="615"/>
      <c r="AD122" s="615"/>
      <c r="AE122" s="615"/>
      <c r="AF122" s="615"/>
      <c r="AG122" s="615"/>
      <c r="AH122" s="615"/>
      <c r="AI122" s="615"/>
      <c r="AJ122" s="615"/>
      <c r="AK122" s="615"/>
      <c r="AL122" s="615"/>
      <c r="AM122" s="615"/>
      <c r="AN122" s="615"/>
      <c r="AO122" s="615"/>
      <c r="AP122" s="615"/>
      <c r="AQ122" s="615"/>
      <c r="AR122" s="615"/>
      <c r="AS122" s="615"/>
    </row>
    <row r="123" spans="12:45">
      <c r="L123" s="615"/>
      <c r="M123" s="615"/>
      <c r="AB123" s="615"/>
      <c r="AC123" s="615"/>
      <c r="AD123" s="615"/>
      <c r="AE123" s="615"/>
      <c r="AF123" s="615"/>
      <c r="AG123" s="615"/>
      <c r="AH123" s="615"/>
      <c r="AI123" s="615"/>
      <c r="AJ123" s="615"/>
      <c r="AK123" s="615"/>
      <c r="AL123" s="615"/>
      <c r="AM123" s="615"/>
      <c r="AN123" s="615"/>
      <c r="AO123" s="615"/>
      <c r="AP123" s="615"/>
      <c r="AQ123" s="615"/>
      <c r="AR123" s="615"/>
      <c r="AS123" s="615"/>
    </row>
    <row r="124" spans="12:45">
      <c r="L124" s="615"/>
      <c r="M124" s="615"/>
      <c r="AB124" s="615"/>
      <c r="AC124" s="615"/>
      <c r="AD124" s="615"/>
      <c r="AE124" s="615"/>
      <c r="AF124" s="615"/>
      <c r="AG124" s="615"/>
      <c r="AH124" s="615"/>
      <c r="AI124" s="615"/>
      <c r="AJ124" s="615"/>
      <c r="AK124" s="615"/>
      <c r="AL124" s="615"/>
      <c r="AM124" s="615"/>
      <c r="AN124" s="615"/>
      <c r="AO124" s="615"/>
      <c r="AP124" s="615"/>
      <c r="AQ124" s="615"/>
      <c r="AR124" s="615"/>
      <c r="AS124" s="615"/>
    </row>
    <row r="125" spans="12:45">
      <c r="L125" s="615"/>
      <c r="M125" s="615"/>
      <c r="AB125" s="615"/>
      <c r="AC125" s="615"/>
      <c r="AD125" s="615"/>
      <c r="AE125" s="615"/>
      <c r="AF125" s="615"/>
      <c r="AG125" s="615"/>
      <c r="AH125" s="615"/>
      <c r="AI125" s="615"/>
      <c r="AJ125" s="615"/>
      <c r="AK125" s="615"/>
      <c r="AL125" s="615"/>
      <c r="AM125" s="615"/>
      <c r="AN125" s="615"/>
      <c r="AO125" s="615"/>
      <c r="AP125" s="615"/>
      <c r="AQ125" s="615"/>
      <c r="AR125" s="615"/>
      <c r="AS125" s="615"/>
    </row>
    <row r="126" spans="12:45">
      <c r="L126" s="615"/>
      <c r="M126" s="615"/>
      <c r="AB126" s="615"/>
      <c r="AC126" s="615"/>
      <c r="AD126" s="615"/>
      <c r="AE126" s="615"/>
      <c r="AF126" s="615"/>
      <c r="AG126" s="615"/>
      <c r="AH126" s="615"/>
      <c r="AI126" s="615"/>
      <c r="AJ126" s="615"/>
      <c r="AK126" s="615"/>
      <c r="AL126" s="615"/>
      <c r="AM126" s="615"/>
      <c r="AN126" s="615"/>
      <c r="AO126" s="615"/>
      <c r="AP126" s="615"/>
      <c r="AQ126" s="615"/>
      <c r="AR126" s="615"/>
      <c r="AS126" s="615"/>
    </row>
    <row r="127" spans="12:45">
      <c r="L127" s="615"/>
      <c r="M127" s="615"/>
      <c r="AB127" s="615"/>
      <c r="AC127" s="615"/>
      <c r="AD127" s="615"/>
      <c r="AE127" s="615"/>
      <c r="AF127" s="615"/>
      <c r="AG127" s="615"/>
      <c r="AH127" s="615"/>
      <c r="AI127" s="615"/>
      <c r="AJ127" s="615"/>
      <c r="AK127" s="615"/>
      <c r="AL127" s="615"/>
      <c r="AM127" s="615"/>
      <c r="AN127" s="615"/>
      <c r="AO127" s="615"/>
      <c r="AP127" s="615"/>
      <c r="AQ127" s="615"/>
      <c r="AR127" s="615"/>
      <c r="AS127" s="615"/>
    </row>
    <row r="128" spans="12:45">
      <c r="L128" s="615"/>
      <c r="M128" s="615"/>
      <c r="AB128" s="615"/>
      <c r="AC128" s="615"/>
      <c r="AD128" s="615"/>
      <c r="AE128" s="615"/>
      <c r="AF128" s="615"/>
      <c r="AG128" s="615"/>
      <c r="AH128" s="615"/>
      <c r="AI128" s="615"/>
      <c r="AJ128" s="615"/>
      <c r="AK128" s="615"/>
      <c r="AL128" s="615"/>
      <c r="AM128" s="615"/>
      <c r="AN128" s="615"/>
      <c r="AO128" s="615"/>
      <c r="AP128" s="615"/>
      <c r="AQ128" s="615"/>
      <c r="AR128" s="615"/>
      <c r="AS128" s="615"/>
    </row>
    <row r="129" spans="12:45">
      <c r="L129" s="615"/>
      <c r="M129" s="615"/>
      <c r="AB129" s="615"/>
      <c r="AC129" s="615"/>
      <c r="AD129" s="615"/>
      <c r="AE129" s="615"/>
      <c r="AF129" s="615"/>
      <c r="AG129" s="615"/>
      <c r="AH129" s="615"/>
      <c r="AI129" s="615"/>
      <c r="AJ129" s="615"/>
      <c r="AK129" s="615"/>
      <c r="AL129" s="615"/>
      <c r="AM129" s="615"/>
      <c r="AN129" s="615"/>
      <c r="AO129" s="615"/>
      <c r="AP129" s="615"/>
      <c r="AQ129" s="615"/>
      <c r="AR129" s="615"/>
      <c r="AS129" s="615"/>
    </row>
    <row r="130" spans="12:45">
      <c r="L130" s="615"/>
      <c r="M130" s="615"/>
      <c r="AB130" s="615"/>
      <c r="AC130" s="615"/>
      <c r="AD130" s="615"/>
      <c r="AE130" s="615"/>
      <c r="AF130" s="615"/>
      <c r="AG130" s="615"/>
      <c r="AH130" s="615"/>
      <c r="AI130" s="615"/>
      <c r="AJ130" s="615"/>
      <c r="AK130" s="615"/>
      <c r="AL130" s="615"/>
      <c r="AM130" s="615"/>
      <c r="AN130" s="615"/>
      <c r="AO130" s="615"/>
      <c r="AP130" s="615"/>
      <c r="AQ130" s="615"/>
      <c r="AR130" s="615"/>
      <c r="AS130" s="615"/>
    </row>
    <row r="131" spans="12:45">
      <c r="L131" s="615"/>
      <c r="M131" s="615"/>
      <c r="AB131" s="615"/>
      <c r="AC131" s="615"/>
      <c r="AD131" s="615"/>
      <c r="AE131" s="615"/>
      <c r="AF131" s="615"/>
      <c r="AG131" s="615"/>
      <c r="AH131" s="615"/>
      <c r="AI131" s="615"/>
      <c r="AJ131" s="615"/>
      <c r="AK131" s="615"/>
      <c r="AL131" s="615"/>
      <c r="AM131" s="615"/>
      <c r="AN131" s="615"/>
      <c r="AO131" s="615"/>
      <c r="AP131" s="615"/>
      <c r="AQ131" s="615"/>
      <c r="AR131" s="615"/>
      <c r="AS131" s="615"/>
    </row>
    <row r="132" spans="12:45">
      <c r="L132" s="615"/>
      <c r="M132" s="615"/>
      <c r="AB132" s="615"/>
      <c r="AC132" s="615"/>
      <c r="AD132" s="615"/>
      <c r="AE132" s="615"/>
      <c r="AF132" s="615"/>
      <c r="AG132" s="615"/>
      <c r="AH132" s="615"/>
      <c r="AI132" s="615"/>
      <c r="AJ132" s="615"/>
      <c r="AK132" s="615"/>
      <c r="AL132" s="615"/>
      <c r="AM132" s="615"/>
      <c r="AN132" s="615"/>
      <c r="AO132" s="615"/>
      <c r="AP132" s="615"/>
      <c r="AQ132" s="615"/>
      <c r="AR132" s="615"/>
      <c r="AS132" s="615"/>
    </row>
    <row r="133" spans="12:45">
      <c r="L133" s="615"/>
      <c r="M133" s="615"/>
      <c r="AB133" s="615"/>
      <c r="AC133" s="615"/>
      <c r="AD133" s="615"/>
      <c r="AE133" s="615"/>
      <c r="AF133" s="615"/>
      <c r="AG133" s="615"/>
      <c r="AH133" s="615"/>
      <c r="AI133" s="615"/>
      <c r="AJ133" s="615"/>
      <c r="AK133" s="615"/>
      <c r="AL133" s="615"/>
      <c r="AM133" s="615"/>
      <c r="AN133" s="615"/>
      <c r="AO133" s="615"/>
      <c r="AP133" s="615"/>
      <c r="AQ133" s="615"/>
      <c r="AR133" s="615"/>
      <c r="AS133" s="615"/>
    </row>
    <row r="134" spans="12:45">
      <c r="L134" s="615"/>
      <c r="M134" s="615"/>
      <c r="AB134" s="615"/>
      <c r="AC134" s="615"/>
      <c r="AD134" s="615"/>
      <c r="AE134" s="615"/>
      <c r="AF134" s="615"/>
      <c r="AG134" s="615"/>
      <c r="AH134" s="615"/>
      <c r="AI134" s="615"/>
      <c r="AJ134" s="615"/>
      <c r="AK134" s="615"/>
      <c r="AL134" s="615"/>
      <c r="AM134" s="615"/>
      <c r="AN134" s="615"/>
      <c r="AO134" s="615"/>
      <c r="AP134" s="615"/>
      <c r="AQ134" s="615"/>
      <c r="AR134" s="615"/>
      <c r="AS134" s="615"/>
    </row>
    <row r="135" spans="12:45">
      <c r="L135" s="615"/>
      <c r="M135" s="615"/>
      <c r="AB135" s="615"/>
      <c r="AC135" s="615"/>
      <c r="AD135" s="615"/>
      <c r="AE135" s="615"/>
      <c r="AF135" s="615"/>
      <c r="AG135" s="615"/>
      <c r="AH135" s="615"/>
      <c r="AI135" s="615"/>
      <c r="AJ135" s="615"/>
      <c r="AK135" s="615"/>
      <c r="AL135" s="615"/>
      <c r="AM135" s="615"/>
      <c r="AN135" s="615"/>
      <c r="AO135" s="615"/>
      <c r="AP135" s="615"/>
      <c r="AQ135" s="615"/>
      <c r="AR135" s="615"/>
      <c r="AS135" s="615"/>
    </row>
    <row r="136" spans="12:45">
      <c r="L136" s="615"/>
      <c r="M136" s="615"/>
      <c r="AB136" s="615"/>
      <c r="AC136" s="615"/>
      <c r="AD136" s="615"/>
      <c r="AE136" s="615"/>
      <c r="AF136" s="615"/>
      <c r="AG136" s="615"/>
      <c r="AH136" s="615"/>
      <c r="AI136" s="615"/>
      <c r="AJ136" s="615"/>
      <c r="AK136" s="615"/>
      <c r="AL136" s="615"/>
      <c r="AM136" s="615"/>
      <c r="AN136" s="615"/>
      <c r="AO136" s="615"/>
      <c r="AP136" s="615"/>
      <c r="AQ136" s="615"/>
      <c r="AR136" s="615"/>
      <c r="AS136" s="615"/>
    </row>
    <row r="137" spans="12:45">
      <c r="L137" s="615"/>
      <c r="M137" s="615"/>
      <c r="AB137" s="615"/>
      <c r="AC137" s="615"/>
      <c r="AD137" s="615"/>
      <c r="AE137" s="615"/>
      <c r="AF137" s="615"/>
      <c r="AG137" s="615"/>
      <c r="AH137" s="615"/>
      <c r="AI137" s="615"/>
      <c r="AJ137" s="615"/>
      <c r="AK137" s="615"/>
      <c r="AL137" s="615"/>
      <c r="AM137" s="615"/>
      <c r="AN137" s="615"/>
      <c r="AO137" s="615"/>
      <c r="AP137" s="615"/>
      <c r="AQ137" s="615"/>
      <c r="AR137" s="615"/>
      <c r="AS137" s="615"/>
    </row>
    <row r="138" spans="12:45">
      <c r="L138" s="615"/>
      <c r="M138" s="615"/>
      <c r="AB138" s="615"/>
      <c r="AC138" s="615"/>
      <c r="AD138" s="615"/>
      <c r="AE138" s="615"/>
      <c r="AF138" s="615"/>
      <c r="AG138" s="615"/>
      <c r="AH138" s="615"/>
      <c r="AI138" s="615"/>
      <c r="AJ138" s="615"/>
      <c r="AK138" s="615"/>
      <c r="AL138" s="615"/>
      <c r="AM138" s="615"/>
      <c r="AN138" s="615"/>
      <c r="AO138" s="615"/>
      <c r="AP138" s="615"/>
      <c r="AQ138" s="615"/>
      <c r="AR138" s="615"/>
      <c r="AS138" s="615"/>
    </row>
    <row r="139" spans="12:45">
      <c r="L139" s="615"/>
      <c r="M139" s="615"/>
      <c r="AB139" s="615"/>
      <c r="AC139" s="615"/>
      <c r="AD139" s="615"/>
      <c r="AE139" s="615"/>
      <c r="AF139" s="615"/>
      <c r="AG139" s="615"/>
      <c r="AH139" s="615"/>
      <c r="AI139" s="615"/>
      <c r="AJ139" s="615"/>
      <c r="AK139" s="615"/>
      <c r="AL139" s="615"/>
      <c r="AM139" s="615"/>
      <c r="AN139" s="615"/>
      <c r="AO139" s="615"/>
      <c r="AP139" s="615"/>
      <c r="AQ139" s="615"/>
      <c r="AR139" s="615"/>
      <c r="AS139" s="615"/>
    </row>
    <row r="140" spans="12:45">
      <c r="L140" s="615"/>
      <c r="M140" s="615"/>
      <c r="AB140" s="615"/>
      <c r="AC140" s="615"/>
      <c r="AD140" s="615"/>
      <c r="AE140" s="615"/>
      <c r="AF140" s="615"/>
      <c r="AG140" s="615"/>
      <c r="AH140" s="615"/>
      <c r="AI140" s="615"/>
      <c r="AJ140" s="615"/>
      <c r="AK140" s="615"/>
      <c r="AL140" s="615"/>
      <c r="AM140" s="615"/>
      <c r="AN140" s="615"/>
      <c r="AO140" s="615"/>
      <c r="AP140" s="615"/>
      <c r="AQ140" s="615"/>
      <c r="AR140" s="615"/>
      <c r="AS140" s="615"/>
    </row>
    <row r="141" spans="12:45">
      <c r="L141" s="615"/>
      <c r="M141" s="615"/>
      <c r="AB141" s="615"/>
      <c r="AC141" s="615"/>
      <c r="AD141" s="615"/>
      <c r="AE141" s="615"/>
      <c r="AF141" s="615"/>
      <c r="AG141" s="615"/>
      <c r="AH141" s="615"/>
      <c r="AI141" s="615"/>
      <c r="AJ141" s="615"/>
      <c r="AK141" s="615"/>
      <c r="AL141" s="615"/>
      <c r="AM141" s="615"/>
      <c r="AN141" s="615"/>
      <c r="AO141" s="615"/>
      <c r="AP141" s="615"/>
      <c r="AQ141" s="615"/>
      <c r="AR141" s="615"/>
      <c r="AS141" s="615"/>
    </row>
    <row r="142" spans="12:45">
      <c r="L142" s="615"/>
      <c r="M142" s="615"/>
      <c r="AB142" s="615"/>
      <c r="AC142" s="615"/>
      <c r="AD142" s="615"/>
      <c r="AE142" s="615"/>
      <c r="AF142" s="615"/>
      <c r="AG142" s="615"/>
      <c r="AH142" s="615"/>
      <c r="AI142" s="615"/>
      <c r="AJ142" s="615"/>
      <c r="AK142" s="615"/>
      <c r="AL142" s="615"/>
      <c r="AM142" s="615"/>
      <c r="AN142" s="615"/>
      <c r="AO142" s="615"/>
      <c r="AP142" s="615"/>
      <c r="AQ142" s="615"/>
      <c r="AR142" s="615"/>
      <c r="AS142" s="615"/>
    </row>
    <row r="143" spans="12:45">
      <c r="L143" s="615"/>
      <c r="M143" s="615"/>
      <c r="AB143" s="615"/>
      <c r="AC143" s="615"/>
      <c r="AD143" s="615"/>
      <c r="AE143" s="615"/>
      <c r="AF143" s="615"/>
      <c r="AG143" s="615"/>
      <c r="AH143" s="615"/>
      <c r="AI143" s="615"/>
      <c r="AJ143" s="615"/>
      <c r="AK143" s="615"/>
      <c r="AL143" s="615"/>
      <c r="AM143" s="615"/>
      <c r="AN143" s="615"/>
      <c r="AO143" s="615"/>
      <c r="AP143" s="615"/>
      <c r="AQ143" s="615"/>
      <c r="AR143" s="615"/>
      <c r="AS143" s="615"/>
    </row>
    <row r="144" spans="12:45">
      <c r="L144" s="615"/>
      <c r="M144" s="615"/>
      <c r="AB144" s="615"/>
      <c r="AC144" s="615"/>
      <c r="AD144" s="615"/>
      <c r="AE144" s="615"/>
      <c r="AF144" s="615"/>
      <c r="AG144" s="615"/>
      <c r="AH144" s="615"/>
      <c r="AI144" s="615"/>
      <c r="AJ144" s="615"/>
      <c r="AK144" s="615"/>
      <c r="AL144" s="615"/>
      <c r="AM144" s="615"/>
      <c r="AN144" s="615"/>
      <c r="AO144" s="615"/>
      <c r="AP144" s="615"/>
      <c r="AQ144" s="615"/>
      <c r="AR144" s="615"/>
      <c r="AS144" s="615"/>
    </row>
    <row r="145" spans="12:45">
      <c r="L145" s="615"/>
      <c r="M145" s="615"/>
      <c r="AB145" s="615"/>
      <c r="AC145" s="615"/>
      <c r="AD145" s="615"/>
      <c r="AE145" s="615"/>
      <c r="AF145" s="615"/>
      <c r="AG145" s="615"/>
      <c r="AH145" s="615"/>
      <c r="AI145" s="615"/>
      <c r="AJ145" s="615"/>
      <c r="AK145" s="615"/>
      <c r="AL145" s="615"/>
      <c r="AM145" s="615"/>
      <c r="AN145" s="615"/>
      <c r="AO145" s="615"/>
      <c r="AP145" s="615"/>
      <c r="AQ145" s="615"/>
      <c r="AR145" s="615"/>
      <c r="AS145" s="615"/>
    </row>
    <row r="146" spans="12:45">
      <c r="L146" s="615"/>
      <c r="M146" s="615"/>
      <c r="AB146" s="615"/>
      <c r="AC146" s="615"/>
      <c r="AD146" s="615"/>
      <c r="AE146" s="615"/>
      <c r="AF146" s="615"/>
      <c r="AG146" s="615"/>
      <c r="AH146" s="615"/>
      <c r="AI146" s="615"/>
      <c r="AJ146" s="615"/>
      <c r="AK146" s="615"/>
      <c r="AL146" s="615"/>
      <c r="AM146" s="615"/>
      <c r="AN146" s="615"/>
      <c r="AO146" s="615"/>
      <c r="AP146" s="615"/>
      <c r="AQ146" s="615"/>
      <c r="AR146" s="615"/>
      <c r="AS146" s="615"/>
    </row>
    <row r="147" spans="12:45">
      <c r="L147" s="615"/>
      <c r="M147" s="615"/>
      <c r="AB147" s="615"/>
      <c r="AC147" s="615"/>
      <c r="AD147" s="615"/>
      <c r="AE147" s="615"/>
      <c r="AF147" s="615"/>
      <c r="AG147" s="615"/>
      <c r="AH147" s="615"/>
      <c r="AI147" s="615"/>
      <c r="AJ147" s="615"/>
      <c r="AK147" s="615"/>
      <c r="AL147" s="615"/>
      <c r="AM147" s="615"/>
      <c r="AN147" s="615"/>
      <c r="AO147" s="615"/>
      <c r="AP147" s="615"/>
      <c r="AQ147" s="615"/>
      <c r="AR147" s="615"/>
      <c r="AS147" s="615"/>
    </row>
    <row r="148" spans="12:45">
      <c r="L148" s="615"/>
      <c r="M148" s="615"/>
      <c r="AB148" s="615"/>
      <c r="AC148" s="615"/>
      <c r="AD148" s="615"/>
      <c r="AE148" s="615"/>
      <c r="AF148" s="615"/>
      <c r="AG148" s="615"/>
      <c r="AH148" s="615"/>
      <c r="AI148" s="615"/>
      <c r="AJ148" s="615"/>
      <c r="AK148" s="615"/>
      <c r="AL148" s="615"/>
      <c r="AM148" s="615"/>
      <c r="AN148" s="615"/>
      <c r="AO148" s="615"/>
      <c r="AP148" s="615"/>
      <c r="AQ148" s="615"/>
      <c r="AR148" s="615"/>
      <c r="AS148" s="615"/>
    </row>
    <row r="149" spans="12:45">
      <c r="L149" s="615"/>
      <c r="M149" s="615"/>
      <c r="AB149" s="615"/>
      <c r="AC149" s="615"/>
      <c r="AD149" s="615"/>
      <c r="AE149" s="615"/>
      <c r="AF149" s="615"/>
      <c r="AG149" s="615"/>
      <c r="AH149" s="615"/>
      <c r="AI149" s="615"/>
      <c r="AJ149" s="615"/>
      <c r="AK149" s="615"/>
      <c r="AL149" s="615"/>
      <c r="AM149" s="615"/>
      <c r="AN149" s="615"/>
      <c r="AO149" s="615"/>
      <c r="AP149" s="615"/>
      <c r="AQ149" s="615"/>
      <c r="AR149" s="615"/>
      <c r="AS149" s="615"/>
    </row>
    <row r="150" spans="12:45">
      <c r="L150" s="615"/>
      <c r="M150" s="615"/>
      <c r="AB150" s="615"/>
      <c r="AC150" s="615"/>
      <c r="AD150" s="615"/>
      <c r="AE150" s="615"/>
      <c r="AF150" s="615"/>
      <c r="AG150" s="615"/>
      <c r="AH150" s="615"/>
      <c r="AI150" s="615"/>
      <c r="AJ150" s="615"/>
      <c r="AK150" s="615"/>
      <c r="AL150" s="615"/>
      <c r="AM150" s="615"/>
      <c r="AN150" s="615"/>
      <c r="AO150" s="615"/>
      <c r="AP150" s="615"/>
      <c r="AQ150" s="615"/>
      <c r="AR150" s="615"/>
      <c r="AS150" s="615"/>
    </row>
    <row r="151" spans="12:45">
      <c r="L151" s="615"/>
      <c r="M151" s="615"/>
      <c r="AB151" s="615"/>
      <c r="AC151" s="615"/>
      <c r="AD151" s="615"/>
      <c r="AE151" s="615"/>
      <c r="AF151" s="615"/>
      <c r="AG151" s="615"/>
      <c r="AH151" s="615"/>
      <c r="AI151" s="615"/>
      <c r="AJ151" s="615"/>
      <c r="AK151" s="615"/>
      <c r="AL151" s="615"/>
      <c r="AM151" s="615"/>
      <c r="AN151" s="615"/>
      <c r="AO151" s="615"/>
      <c r="AP151" s="615"/>
      <c r="AQ151" s="615"/>
      <c r="AR151" s="615"/>
      <c r="AS151" s="615"/>
    </row>
    <row r="152" spans="12:45">
      <c r="L152" s="615"/>
      <c r="M152" s="615"/>
      <c r="AB152" s="615"/>
      <c r="AC152" s="615"/>
      <c r="AD152" s="615"/>
      <c r="AE152" s="615"/>
      <c r="AF152" s="615"/>
      <c r="AG152" s="615"/>
      <c r="AH152" s="615"/>
      <c r="AI152" s="615"/>
      <c r="AJ152" s="615"/>
      <c r="AK152" s="615"/>
      <c r="AL152" s="615"/>
      <c r="AM152" s="615"/>
      <c r="AN152" s="615"/>
      <c r="AO152" s="615"/>
      <c r="AP152" s="615"/>
      <c r="AQ152" s="615"/>
      <c r="AR152" s="615"/>
      <c r="AS152" s="615"/>
    </row>
    <row r="153" spans="12:45">
      <c r="L153" s="615"/>
      <c r="M153" s="615"/>
      <c r="AB153" s="615"/>
      <c r="AC153" s="615"/>
      <c r="AD153" s="615"/>
      <c r="AE153" s="615"/>
      <c r="AF153" s="615"/>
      <c r="AG153" s="615"/>
      <c r="AH153" s="615"/>
      <c r="AI153" s="615"/>
      <c r="AJ153" s="615"/>
      <c r="AK153" s="615"/>
      <c r="AL153" s="615"/>
      <c r="AM153" s="615"/>
      <c r="AN153" s="615"/>
      <c r="AO153" s="615"/>
      <c r="AP153" s="615"/>
      <c r="AQ153" s="615"/>
      <c r="AR153" s="615"/>
      <c r="AS153" s="615"/>
    </row>
    <row r="154" spans="12:45">
      <c r="L154" s="615"/>
      <c r="M154" s="615"/>
      <c r="AB154" s="615"/>
      <c r="AC154" s="615"/>
      <c r="AD154" s="615"/>
      <c r="AE154" s="615"/>
      <c r="AF154" s="615"/>
      <c r="AG154" s="615"/>
      <c r="AH154" s="615"/>
      <c r="AI154" s="615"/>
      <c r="AJ154" s="615"/>
      <c r="AK154" s="615"/>
      <c r="AL154" s="615"/>
      <c r="AM154" s="615"/>
      <c r="AN154" s="615"/>
      <c r="AO154" s="615"/>
      <c r="AP154" s="615"/>
      <c r="AQ154" s="615"/>
      <c r="AR154" s="615"/>
      <c r="AS154" s="615"/>
    </row>
    <row r="155" spans="12:45">
      <c r="L155" s="615"/>
      <c r="M155" s="615"/>
      <c r="AB155" s="615"/>
      <c r="AC155" s="615"/>
      <c r="AD155" s="615"/>
      <c r="AE155" s="615"/>
      <c r="AF155" s="615"/>
      <c r="AG155" s="615"/>
      <c r="AH155" s="615"/>
      <c r="AI155" s="615"/>
      <c r="AJ155" s="615"/>
      <c r="AK155" s="615"/>
      <c r="AL155" s="615"/>
      <c r="AM155" s="615"/>
      <c r="AN155" s="615"/>
      <c r="AO155" s="615"/>
      <c r="AP155" s="615"/>
      <c r="AQ155" s="615"/>
      <c r="AR155" s="615"/>
      <c r="AS155" s="615"/>
    </row>
    <row r="156" spans="12:45">
      <c r="L156" s="615"/>
      <c r="M156" s="615"/>
      <c r="AB156" s="615"/>
      <c r="AC156" s="615"/>
      <c r="AD156" s="615"/>
      <c r="AE156" s="615"/>
      <c r="AF156" s="615"/>
      <c r="AG156" s="615"/>
      <c r="AH156" s="615"/>
      <c r="AI156" s="615"/>
      <c r="AJ156" s="615"/>
      <c r="AK156" s="615"/>
      <c r="AL156" s="615"/>
      <c r="AM156" s="615"/>
      <c r="AN156" s="615"/>
      <c r="AO156" s="615"/>
      <c r="AP156" s="615"/>
      <c r="AQ156" s="615"/>
      <c r="AR156" s="615"/>
      <c r="AS156" s="615"/>
    </row>
    <row r="157" spans="12:45">
      <c r="L157" s="615"/>
      <c r="M157" s="615"/>
      <c r="AB157" s="615"/>
      <c r="AC157" s="615"/>
      <c r="AD157" s="615"/>
      <c r="AE157" s="615"/>
      <c r="AF157" s="615"/>
      <c r="AG157" s="615"/>
      <c r="AH157" s="615"/>
      <c r="AI157" s="615"/>
      <c r="AJ157" s="615"/>
      <c r="AK157" s="615"/>
      <c r="AL157" s="615"/>
      <c r="AM157" s="615"/>
      <c r="AN157" s="615"/>
      <c r="AO157" s="615"/>
      <c r="AP157" s="615"/>
      <c r="AQ157" s="615"/>
      <c r="AR157" s="615"/>
      <c r="AS157" s="615"/>
    </row>
    <row r="158" spans="12:45">
      <c r="L158" s="615"/>
      <c r="M158" s="615"/>
      <c r="AB158" s="615"/>
      <c r="AC158" s="615"/>
      <c r="AD158" s="615"/>
      <c r="AE158" s="615"/>
      <c r="AF158" s="615"/>
      <c r="AG158" s="615"/>
      <c r="AH158" s="615"/>
      <c r="AI158" s="615"/>
      <c r="AJ158" s="615"/>
      <c r="AK158" s="615"/>
      <c r="AL158" s="615"/>
      <c r="AM158" s="615"/>
      <c r="AN158" s="615"/>
      <c r="AO158" s="615"/>
      <c r="AP158" s="615"/>
      <c r="AQ158" s="615"/>
      <c r="AR158" s="615"/>
      <c r="AS158" s="615"/>
    </row>
    <row r="159" spans="12:45">
      <c r="L159" s="615"/>
      <c r="M159" s="615"/>
      <c r="AB159" s="615"/>
      <c r="AC159" s="615"/>
      <c r="AD159" s="615"/>
      <c r="AE159" s="615"/>
      <c r="AF159" s="615"/>
      <c r="AG159" s="615"/>
      <c r="AH159" s="615"/>
      <c r="AI159" s="615"/>
      <c r="AJ159" s="615"/>
      <c r="AK159" s="615"/>
      <c r="AL159" s="615"/>
      <c r="AM159" s="615"/>
      <c r="AN159" s="615"/>
      <c r="AO159" s="615"/>
      <c r="AP159" s="615"/>
      <c r="AQ159" s="615"/>
      <c r="AR159" s="615"/>
      <c r="AS159" s="615"/>
    </row>
    <row r="160" spans="12:45">
      <c r="L160" s="615"/>
      <c r="M160" s="615"/>
      <c r="AB160" s="615"/>
      <c r="AC160" s="615"/>
      <c r="AD160" s="615"/>
      <c r="AE160" s="615"/>
      <c r="AF160" s="615"/>
      <c r="AG160" s="615"/>
      <c r="AH160" s="615"/>
      <c r="AI160" s="615"/>
      <c r="AJ160" s="615"/>
      <c r="AK160" s="615"/>
      <c r="AL160" s="615"/>
      <c r="AM160" s="615"/>
      <c r="AN160" s="615"/>
      <c r="AO160" s="615"/>
      <c r="AP160" s="615"/>
      <c r="AQ160" s="615"/>
      <c r="AR160" s="615"/>
      <c r="AS160" s="615"/>
    </row>
    <row r="161" spans="12:45">
      <c r="L161" s="615"/>
      <c r="M161" s="615"/>
      <c r="AB161" s="615"/>
      <c r="AC161" s="615"/>
      <c r="AD161" s="615"/>
      <c r="AE161" s="615"/>
      <c r="AF161" s="615"/>
      <c r="AG161" s="615"/>
      <c r="AH161" s="615"/>
      <c r="AI161" s="615"/>
      <c r="AJ161" s="615"/>
      <c r="AK161" s="615"/>
      <c r="AL161" s="615"/>
      <c r="AM161" s="615"/>
      <c r="AN161" s="615"/>
      <c r="AO161" s="615"/>
      <c r="AP161" s="615"/>
      <c r="AQ161" s="615"/>
      <c r="AR161" s="615"/>
      <c r="AS161" s="615"/>
    </row>
    <row r="162" spans="12:45">
      <c r="L162" s="615"/>
      <c r="M162" s="615"/>
      <c r="AB162" s="615"/>
      <c r="AC162" s="615"/>
      <c r="AD162" s="615"/>
      <c r="AE162" s="615"/>
      <c r="AF162" s="615"/>
      <c r="AG162" s="615"/>
      <c r="AH162" s="615"/>
      <c r="AI162" s="615"/>
      <c r="AJ162" s="615"/>
      <c r="AK162" s="615"/>
      <c r="AL162" s="615"/>
      <c r="AM162" s="615"/>
      <c r="AN162" s="615"/>
      <c r="AO162" s="615"/>
      <c r="AP162" s="615"/>
      <c r="AQ162" s="615"/>
      <c r="AR162" s="615"/>
      <c r="AS162" s="615"/>
    </row>
    <row r="163" spans="12:45">
      <c r="L163" s="615"/>
      <c r="M163" s="615"/>
      <c r="AB163" s="615"/>
      <c r="AC163" s="615"/>
      <c r="AD163" s="615"/>
      <c r="AE163" s="615"/>
      <c r="AF163" s="615"/>
      <c r="AG163" s="615"/>
      <c r="AH163" s="615"/>
      <c r="AI163" s="615"/>
      <c r="AJ163" s="615"/>
      <c r="AK163" s="615"/>
      <c r="AL163" s="615"/>
      <c r="AM163" s="615"/>
      <c r="AN163" s="615"/>
      <c r="AO163" s="615"/>
      <c r="AP163" s="615"/>
      <c r="AQ163" s="615"/>
      <c r="AR163" s="615"/>
      <c r="AS163" s="615"/>
    </row>
    <row r="164" spans="12:45">
      <c r="L164" s="615"/>
      <c r="M164" s="615"/>
      <c r="AB164" s="615"/>
      <c r="AC164" s="615"/>
      <c r="AD164" s="615"/>
      <c r="AE164" s="615"/>
      <c r="AF164" s="615"/>
      <c r="AG164" s="615"/>
      <c r="AH164" s="615"/>
      <c r="AI164" s="615"/>
      <c r="AJ164" s="615"/>
      <c r="AK164" s="615"/>
      <c r="AL164" s="615"/>
      <c r="AM164" s="615"/>
      <c r="AN164" s="615"/>
      <c r="AO164" s="615"/>
      <c r="AP164" s="615"/>
      <c r="AQ164" s="615"/>
      <c r="AR164" s="615"/>
      <c r="AS164" s="615"/>
    </row>
    <row r="165" spans="12:45">
      <c r="L165" s="615"/>
      <c r="M165" s="615"/>
      <c r="AB165" s="615"/>
      <c r="AC165" s="615"/>
      <c r="AD165" s="615"/>
      <c r="AE165" s="615"/>
      <c r="AF165" s="615"/>
      <c r="AG165" s="615"/>
      <c r="AH165" s="615"/>
      <c r="AI165" s="615"/>
      <c r="AJ165" s="615"/>
      <c r="AK165" s="615"/>
      <c r="AL165" s="615"/>
      <c r="AM165" s="615"/>
      <c r="AN165" s="615"/>
      <c r="AO165" s="615"/>
      <c r="AP165" s="615"/>
      <c r="AQ165" s="615"/>
      <c r="AR165" s="615"/>
      <c r="AS165" s="615"/>
    </row>
    <row r="166" spans="12:45">
      <c r="L166" s="615"/>
      <c r="M166" s="615"/>
      <c r="AB166" s="615"/>
      <c r="AC166" s="615"/>
      <c r="AD166" s="615"/>
      <c r="AE166" s="615"/>
      <c r="AF166" s="615"/>
      <c r="AG166" s="615"/>
      <c r="AH166" s="615"/>
      <c r="AI166" s="615"/>
      <c r="AJ166" s="615"/>
      <c r="AK166" s="615"/>
      <c r="AL166" s="615"/>
      <c r="AM166" s="615"/>
      <c r="AN166" s="615"/>
      <c r="AO166" s="615"/>
      <c r="AP166" s="615"/>
      <c r="AQ166" s="615"/>
      <c r="AR166" s="615"/>
      <c r="AS166" s="615"/>
    </row>
    <row r="167" spans="12:45">
      <c r="L167" s="615"/>
      <c r="M167" s="615"/>
      <c r="AB167" s="615"/>
      <c r="AC167" s="615"/>
      <c r="AD167" s="615"/>
      <c r="AE167" s="615"/>
      <c r="AF167" s="615"/>
      <c r="AG167" s="615"/>
      <c r="AH167" s="615"/>
      <c r="AI167" s="615"/>
      <c r="AJ167" s="615"/>
      <c r="AK167" s="615"/>
      <c r="AL167" s="615"/>
      <c r="AM167" s="615"/>
      <c r="AN167" s="615"/>
      <c r="AO167" s="615"/>
      <c r="AP167" s="615"/>
      <c r="AQ167" s="615"/>
      <c r="AR167" s="615"/>
      <c r="AS167" s="615"/>
    </row>
    <row r="168" spans="12:45">
      <c r="L168" s="615"/>
      <c r="M168" s="615"/>
      <c r="AB168" s="615"/>
      <c r="AC168" s="615"/>
      <c r="AD168" s="615"/>
      <c r="AE168" s="615"/>
      <c r="AF168" s="615"/>
      <c r="AG168" s="615"/>
      <c r="AH168" s="615"/>
      <c r="AI168" s="615"/>
      <c r="AJ168" s="615"/>
      <c r="AK168" s="615"/>
      <c r="AL168" s="615"/>
      <c r="AM168" s="615"/>
      <c r="AN168" s="615"/>
      <c r="AO168" s="615"/>
      <c r="AP168" s="615"/>
      <c r="AQ168" s="615"/>
      <c r="AR168" s="615"/>
      <c r="AS168" s="615"/>
    </row>
    <row r="169" spans="12:45">
      <c r="L169" s="615"/>
      <c r="M169" s="615"/>
      <c r="AB169" s="615"/>
      <c r="AC169" s="615"/>
      <c r="AD169" s="615"/>
      <c r="AE169" s="615"/>
      <c r="AF169" s="615"/>
      <c r="AG169" s="615"/>
      <c r="AH169" s="615"/>
      <c r="AI169" s="615"/>
      <c r="AJ169" s="615"/>
      <c r="AK169" s="615"/>
      <c r="AL169" s="615"/>
      <c r="AM169" s="615"/>
      <c r="AN169" s="615"/>
      <c r="AO169" s="615"/>
      <c r="AP169" s="615"/>
      <c r="AQ169" s="615"/>
      <c r="AR169" s="615"/>
      <c r="AS169" s="615"/>
    </row>
    <row r="170" spans="12:45">
      <c r="L170" s="615"/>
      <c r="M170" s="615"/>
      <c r="AB170" s="615"/>
      <c r="AC170" s="615"/>
      <c r="AD170" s="615"/>
      <c r="AE170" s="615"/>
      <c r="AF170" s="615"/>
      <c r="AG170" s="615"/>
      <c r="AH170" s="615"/>
      <c r="AI170" s="615"/>
      <c r="AJ170" s="615"/>
      <c r="AK170" s="615"/>
      <c r="AL170" s="615"/>
      <c r="AM170" s="615"/>
      <c r="AN170" s="615"/>
      <c r="AO170" s="615"/>
      <c r="AP170" s="615"/>
      <c r="AQ170" s="615"/>
      <c r="AR170" s="615"/>
      <c r="AS170" s="615"/>
    </row>
    <row r="171" spans="12:45">
      <c r="L171" s="615"/>
      <c r="M171" s="615"/>
      <c r="AB171" s="615"/>
      <c r="AC171" s="615"/>
      <c r="AD171" s="615"/>
      <c r="AE171" s="615"/>
      <c r="AF171" s="615"/>
      <c r="AG171" s="615"/>
      <c r="AH171" s="615"/>
      <c r="AI171" s="615"/>
      <c r="AJ171" s="615"/>
      <c r="AK171" s="615"/>
      <c r="AL171" s="615"/>
      <c r="AM171" s="615"/>
      <c r="AN171" s="615"/>
      <c r="AO171" s="615"/>
      <c r="AP171" s="615"/>
      <c r="AQ171" s="615"/>
      <c r="AR171" s="615"/>
      <c r="AS171" s="615"/>
    </row>
    <row r="172" spans="12:45">
      <c r="L172" s="615"/>
      <c r="M172" s="615"/>
      <c r="AB172" s="615"/>
      <c r="AC172" s="615"/>
      <c r="AD172" s="615"/>
      <c r="AE172" s="615"/>
      <c r="AF172" s="615"/>
      <c r="AG172" s="615"/>
      <c r="AH172" s="615"/>
      <c r="AI172" s="615"/>
      <c r="AJ172" s="615"/>
      <c r="AK172" s="615"/>
      <c r="AL172" s="615"/>
      <c r="AM172" s="615"/>
      <c r="AN172" s="615"/>
      <c r="AO172" s="615"/>
      <c r="AP172" s="615"/>
      <c r="AQ172" s="615"/>
      <c r="AR172" s="615"/>
      <c r="AS172" s="615"/>
    </row>
    <row r="173" spans="12:45">
      <c r="L173" s="615"/>
      <c r="M173" s="615"/>
      <c r="AB173" s="615"/>
      <c r="AC173" s="615"/>
      <c r="AD173" s="615"/>
      <c r="AE173" s="615"/>
      <c r="AF173" s="615"/>
      <c r="AG173" s="615"/>
      <c r="AH173" s="615"/>
      <c r="AI173" s="615"/>
      <c r="AJ173" s="615"/>
      <c r="AK173" s="615"/>
      <c r="AL173" s="615"/>
      <c r="AM173" s="615"/>
      <c r="AN173" s="615"/>
      <c r="AO173" s="615"/>
      <c r="AP173" s="615"/>
      <c r="AQ173" s="615"/>
      <c r="AR173" s="615"/>
      <c r="AS173" s="615"/>
    </row>
    <row r="174" spans="12:45">
      <c r="L174" s="615"/>
      <c r="M174" s="615"/>
      <c r="AB174" s="615"/>
      <c r="AC174" s="615"/>
      <c r="AD174" s="615"/>
      <c r="AE174" s="615"/>
      <c r="AF174" s="615"/>
      <c r="AG174" s="615"/>
      <c r="AH174" s="615"/>
      <c r="AI174" s="615"/>
      <c r="AJ174" s="615"/>
      <c r="AK174" s="615"/>
      <c r="AL174" s="615"/>
      <c r="AM174" s="615"/>
      <c r="AN174" s="615"/>
      <c r="AO174" s="615"/>
      <c r="AP174" s="615"/>
      <c r="AQ174" s="615"/>
      <c r="AR174" s="615"/>
      <c r="AS174" s="615"/>
    </row>
    <row r="175" spans="12:45">
      <c r="L175" s="615"/>
      <c r="M175" s="615"/>
      <c r="AB175" s="615"/>
      <c r="AC175" s="615"/>
      <c r="AD175" s="615"/>
      <c r="AE175" s="615"/>
      <c r="AF175" s="615"/>
      <c r="AG175" s="615"/>
      <c r="AH175" s="615"/>
      <c r="AI175" s="615"/>
      <c r="AJ175" s="615"/>
      <c r="AK175" s="615"/>
      <c r="AL175" s="615"/>
      <c r="AM175" s="615"/>
      <c r="AN175" s="615"/>
      <c r="AO175" s="615"/>
      <c r="AP175" s="615"/>
      <c r="AQ175" s="615"/>
      <c r="AR175" s="615"/>
      <c r="AS175" s="615"/>
    </row>
    <row r="176" spans="12:45">
      <c r="L176" s="615"/>
      <c r="M176" s="615"/>
      <c r="AB176" s="615"/>
      <c r="AC176" s="615"/>
      <c r="AD176" s="615"/>
      <c r="AE176" s="615"/>
      <c r="AF176" s="615"/>
      <c r="AG176" s="615"/>
      <c r="AH176" s="615"/>
      <c r="AI176" s="615"/>
      <c r="AJ176" s="615"/>
      <c r="AK176" s="615"/>
      <c r="AL176" s="615"/>
      <c r="AM176" s="615"/>
      <c r="AN176" s="615"/>
      <c r="AO176" s="615"/>
      <c r="AP176" s="615"/>
      <c r="AQ176" s="615"/>
      <c r="AR176" s="615"/>
      <c r="AS176" s="615"/>
    </row>
    <row r="177" spans="12:45">
      <c r="L177" s="615"/>
      <c r="M177" s="615"/>
      <c r="AB177" s="615"/>
      <c r="AC177" s="615"/>
      <c r="AD177" s="615"/>
      <c r="AE177" s="615"/>
      <c r="AF177" s="615"/>
      <c r="AG177" s="615"/>
      <c r="AH177" s="615"/>
      <c r="AI177" s="615"/>
      <c r="AJ177" s="615"/>
      <c r="AK177" s="615"/>
      <c r="AL177" s="615"/>
      <c r="AM177" s="615"/>
      <c r="AN177" s="615"/>
      <c r="AO177" s="615"/>
      <c r="AP177" s="615"/>
      <c r="AQ177" s="615"/>
      <c r="AR177" s="615"/>
      <c r="AS177" s="615"/>
    </row>
    <row r="178" spans="12:45">
      <c r="L178" s="615"/>
      <c r="M178" s="615"/>
      <c r="AB178" s="615"/>
      <c r="AC178" s="615"/>
      <c r="AD178" s="615"/>
      <c r="AE178" s="615"/>
      <c r="AF178" s="615"/>
      <c r="AG178" s="615"/>
      <c r="AH178" s="615"/>
      <c r="AI178" s="615"/>
      <c r="AJ178" s="615"/>
      <c r="AK178" s="615"/>
      <c r="AL178" s="615"/>
      <c r="AM178" s="615"/>
      <c r="AN178" s="615"/>
      <c r="AO178" s="615"/>
      <c r="AP178" s="615"/>
      <c r="AQ178" s="615"/>
      <c r="AR178" s="615"/>
      <c r="AS178" s="615"/>
    </row>
    <row r="179" spans="12:45">
      <c r="L179" s="615"/>
      <c r="M179" s="615"/>
      <c r="AB179" s="615"/>
      <c r="AC179" s="615"/>
      <c r="AD179" s="615"/>
      <c r="AE179" s="615"/>
      <c r="AF179" s="615"/>
      <c r="AG179" s="615"/>
      <c r="AH179" s="615"/>
      <c r="AI179" s="615"/>
      <c r="AJ179" s="615"/>
      <c r="AK179" s="615"/>
      <c r="AL179" s="615"/>
      <c r="AM179" s="615"/>
      <c r="AN179" s="615"/>
      <c r="AO179" s="615"/>
      <c r="AP179" s="615"/>
      <c r="AQ179" s="615"/>
      <c r="AR179" s="615"/>
      <c r="AS179" s="615"/>
    </row>
    <row r="180" spans="12:45">
      <c r="L180" s="615"/>
      <c r="M180" s="615"/>
      <c r="AB180" s="615"/>
      <c r="AC180" s="615"/>
      <c r="AD180" s="615"/>
      <c r="AE180" s="615"/>
      <c r="AF180" s="615"/>
      <c r="AG180" s="615"/>
      <c r="AH180" s="615"/>
      <c r="AI180" s="615"/>
      <c r="AJ180" s="615"/>
      <c r="AK180" s="615"/>
      <c r="AL180" s="615"/>
      <c r="AM180" s="615"/>
      <c r="AN180" s="615"/>
      <c r="AO180" s="615"/>
      <c r="AP180" s="615"/>
      <c r="AQ180" s="615"/>
      <c r="AR180" s="615"/>
      <c r="AS180" s="615"/>
    </row>
    <row r="181" spans="12:45">
      <c r="L181" s="615"/>
      <c r="M181" s="615"/>
      <c r="AB181" s="615"/>
      <c r="AC181" s="615"/>
      <c r="AD181" s="615"/>
      <c r="AE181" s="615"/>
      <c r="AF181" s="615"/>
      <c r="AG181" s="615"/>
      <c r="AH181" s="615"/>
      <c r="AI181" s="615"/>
      <c r="AJ181" s="615"/>
      <c r="AK181" s="615"/>
      <c r="AL181" s="615"/>
      <c r="AM181" s="615"/>
      <c r="AN181" s="615"/>
      <c r="AO181" s="615"/>
      <c r="AP181" s="615"/>
      <c r="AQ181" s="615"/>
      <c r="AR181" s="615"/>
      <c r="AS181" s="615"/>
    </row>
    <row r="182" spans="12:45">
      <c r="L182" s="615"/>
      <c r="M182" s="615"/>
      <c r="AB182" s="615"/>
      <c r="AC182" s="615"/>
      <c r="AD182" s="615"/>
      <c r="AE182" s="615"/>
      <c r="AF182" s="615"/>
      <c r="AG182" s="615"/>
      <c r="AH182" s="615"/>
      <c r="AI182" s="615"/>
      <c r="AJ182" s="615"/>
      <c r="AK182" s="615"/>
      <c r="AL182" s="615"/>
      <c r="AM182" s="615"/>
      <c r="AN182" s="615"/>
      <c r="AO182" s="615"/>
      <c r="AP182" s="615"/>
      <c r="AQ182" s="615"/>
      <c r="AR182" s="615"/>
      <c r="AS182" s="615"/>
    </row>
    <row r="183" spans="12:45">
      <c r="L183" s="615"/>
      <c r="M183" s="615"/>
      <c r="AB183" s="615"/>
      <c r="AC183" s="615"/>
      <c r="AD183" s="615"/>
      <c r="AE183" s="615"/>
      <c r="AF183" s="615"/>
      <c r="AG183" s="615"/>
      <c r="AH183" s="615"/>
      <c r="AI183" s="615"/>
      <c r="AJ183" s="615"/>
      <c r="AK183" s="615"/>
      <c r="AL183" s="615"/>
      <c r="AM183" s="615"/>
      <c r="AN183" s="615"/>
      <c r="AO183" s="615"/>
      <c r="AP183" s="615"/>
      <c r="AQ183" s="615"/>
      <c r="AR183" s="615"/>
      <c r="AS183" s="615"/>
    </row>
    <row r="184" spans="12:45">
      <c r="L184" s="615"/>
      <c r="M184" s="615"/>
      <c r="AB184" s="615"/>
      <c r="AC184" s="615"/>
      <c r="AD184" s="615"/>
      <c r="AE184" s="615"/>
      <c r="AF184" s="615"/>
      <c r="AG184" s="615"/>
      <c r="AH184" s="615"/>
      <c r="AI184" s="615"/>
      <c r="AJ184" s="615"/>
      <c r="AK184" s="615"/>
      <c r="AL184" s="615"/>
      <c r="AM184" s="615"/>
      <c r="AN184" s="615"/>
      <c r="AO184" s="615"/>
      <c r="AP184" s="615"/>
      <c r="AQ184" s="615"/>
      <c r="AR184" s="615"/>
      <c r="AS184" s="615"/>
    </row>
    <row r="185" spans="12:45">
      <c r="L185" s="615"/>
      <c r="M185" s="615"/>
      <c r="AB185" s="615"/>
      <c r="AC185" s="615"/>
      <c r="AD185" s="615"/>
      <c r="AE185" s="615"/>
      <c r="AF185" s="615"/>
      <c r="AG185" s="615"/>
      <c r="AH185" s="615"/>
      <c r="AI185" s="615"/>
      <c r="AJ185" s="615"/>
      <c r="AK185" s="615"/>
      <c r="AL185" s="615"/>
      <c r="AM185" s="615"/>
      <c r="AN185" s="615"/>
      <c r="AO185" s="615"/>
      <c r="AP185" s="615"/>
      <c r="AQ185" s="615"/>
      <c r="AR185" s="615"/>
      <c r="AS185" s="615"/>
    </row>
    <row r="186" spans="12:45">
      <c r="L186" s="615"/>
      <c r="M186" s="615"/>
      <c r="AB186" s="615"/>
      <c r="AC186" s="615"/>
      <c r="AD186" s="615"/>
      <c r="AE186" s="615"/>
      <c r="AF186" s="615"/>
      <c r="AG186" s="615"/>
      <c r="AH186" s="615"/>
      <c r="AI186" s="615"/>
      <c r="AJ186" s="615"/>
      <c r="AK186" s="615"/>
      <c r="AL186" s="615"/>
      <c r="AM186" s="615"/>
      <c r="AN186" s="615"/>
      <c r="AO186" s="615"/>
      <c r="AP186" s="615"/>
      <c r="AQ186" s="615"/>
      <c r="AR186" s="615"/>
      <c r="AS186" s="615"/>
    </row>
    <row r="187" spans="12:45">
      <c r="L187" s="615"/>
      <c r="M187" s="615"/>
      <c r="AB187" s="615"/>
      <c r="AC187" s="615"/>
      <c r="AD187" s="615"/>
      <c r="AE187" s="615"/>
      <c r="AF187" s="615"/>
      <c r="AG187" s="615"/>
      <c r="AH187" s="615"/>
      <c r="AI187" s="615"/>
      <c r="AJ187" s="615"/>
      <c r="AK187" s="615"/>
      <c r="AL187" s="615"/>
      <c r="AM187" s="615"/>
      <c r="AN187" s="615"/>
      <c r="AO187" s="615"/>
      <c r="AP187" s="615"/>
      <c r="AQ187" s="615"/>
      <c r="AR187" s="615"/>
      <c r="AS187" s="615"/>
    </row>
    <row r="188" spans="12:45">
      <c r="L188" s="615"/>
      <c r="M188" s="615"/>
      <c r="AB188" s="615"/>
      <c r="AC188" s="615"/>
      <c r="AD188" s="615"/>
      <c r="AE188" s="615"/>
      <c r="AF188" s="615"/>
      <c r="AG188" s="615"/>
      <c r="AH188" s="615"/>
      <c r="AI188" s="615"/>
      <c r="AJ188" s="615"/>
      <c r="AK188" s="615"/>
      <c r="AL188" s="615"/>
      <c r="AM188" s="615"/>
      <c r="AN188" s="615"/>
      <c r="AO188" s="615"/>
      <c r="AP188" s="615"/>
      <c r="AQ188" s="615"/>
      <c r="AR188" s="615"/>
      <c r="AS188" s="615"/>
    </row>
    <row r="189" spans="12:45">
      <c r="L189" s="615"/>
      <c r="M189" s="615"/>
      <c r="AB189" s="615"/>
      <c r="AC189" s="615"/>
      <c r="AD189" s="615"/>
      <c r="AE189" s="615"/>
      <c r="AF189" s="615"/>
      <c r="AG189" s="615"/>
      <c r="AH189" s="615"/>
      <c r="AI189" s="615"/>
      <c r="AJ189" s="615"/>
      <c r="AK189" s="615"/>
      <c r="AL189" s="615"/>
      <c r="AM189" s="615"/>
      <c r="AN189" s="615"/>
      <c r="AO189" s="615"/>
      <c r="AP189" s="615"/>
      <c r="AQ189" s="615"/>
      <c r="AR189" s="615"/>
      <c r="AS189" s="615"/>
    </row>
    <row r="190" spans="12:45">
      <c r="L190" s="615"/>
      <c r="M190" s="615"/>
      <c r="AB190" s="615"/>
      <c r="AC190" s="615"/>
      <c r="AD190" s="615"/>
      <c r="AE190" s="615"/>
      <c r="AF190" s="615"/>
      <c r="AG190" s="615"/>
      <c r="AH190" s="615"/>
      <c r="AI190" s="615"/>
      <c r="AJ190" s="615"/>
      <c r="AK190" s="615"/>
      <c r="AL190" s="615"/>
      <c r="AM190" s="615"/>
      <c r="AN190" s="615"/>
      <c r="AO190" s="615"/>
      <c r="AP190" s="615"/>
      <c r="AQ190" s="615"/>
      <c r="AR190" s="615"/>
      <c r="AS190" s="615"/>
    </row>
    <row r="191" spans="12:45">
      <c r="L191" s="615"/>
      <c r="M191" s="615"/>
      <c r="AB191" s="615"/>
      <c r="AC191" s="615"/>
      <c r="AD191" s="615"/>
      <c r="AE191" s="615"/>
      <c r="AF191" s="615"/>
      <c r="AG191" s="615"/>
      <c r="AH191" s="615"/>
      <c r="AI191" s="615"/>
      <c r="AJ191" s="615"/>
      <c r="AK191" s="615"/>
      <c r="AL191" s="615"/>
      <c r="AM191" s="615"/>
      <c r="AN191" s="615"/>
      <c r="AO191" s="615"/>
      <c r="AP191" s="615"/>
      <c r="AQ191" s="615"/>
      <c r="AR191" s="615"/>
      <c r="AS191" s="615"/>
    </row>
    <row r="192" spans="12:45">
      <c r="L192" s="615"/>
      <c r="M192" s="615"/>
      <c r="AB192" s="615"/>
      <c r="AC192" s="615"/>
      <c r="AD192" s="615"/>
      <c r="AE192" s="615"/>
      <c r="AF192" s="615"/>
      <c r="AG192" s="615"/>
      <c r="AH192" s="615"/>
      <c r="AI192" s="615"/>
      <c r="AJ192" s="615"/>
      <c r="AK192" s="615"/>
      <c r="AL192" s="615"/>
      <c r="AM192" s="615"/>
      <c r="AN192" s="615"/>
      <c r="AO192" s="615"/>
      <c r="AP192" s="615"/>
      <c r="AQ192" s="615"/>
      <c r="AR192" s="615"/>
      <c r="AS192" s="615"/>
    </row>
    <row r="193" spans="12:45">
      <c r="L193" s="615"/>
      <c r="M193" s="615"/>
      <c r="AB193" s="615"/>
      <c r="AC193" s="615"/>
      <c r="AD193" s="615"/>
      <c r="AE193" s="615"/>
      <c r="AF193" s="615"/>
      <c r="AG193" s="615"/>
      <c r="AH193" s="615"/>
      <c r="AI193" s="615"/>
      <c r="AJ193" s="615"/>
      <c r="AK193" s="615"/>
      <c r="AL193" s="615"/>
      <c r="AM193" s="615"/>
      <c r="AN193" s="615"/>
      <c r="AO193" s="615"/>
      <c r="AP193" s="615"/>
      <c r="AQ193" s="615"/>
      <c r="AR193" s="615"/>
      <c r="AS193" s="615"/>
    </row>
    <row r="194" spans="12:45">
      <c r="L194" s="615"/>
      <c r="M194" s="615"/>
      <c r="AB194" s="615"/>
      <c r="AC194" s="615"/>
      <c r="AD194" s="615"/>
      <c r="AE194" s="615"/>
      <c r="AF194" s="615"/>
      <c r="AG194" s="615"/>
      <c r="AH194" s="615"/>
      <c r="AI194" s="615"/>
      <c r="AJ194" s="615"/>
      <c r="AK194" s="615"/>
      <c r="AL194" s="615"/>
      <c r="AM194" s="615"/>
      <c r="AN194" s="615"/>
      <c r="AO194" s="615"/>
      <c r="AP194" s="615"/>
      <c r="AQ194" s="615"/>
      <c r="AR194" s="615"/>
      <c r="AS194" s="615"/>
    </row>
    <row r="195" spans="12:45">
      <c r="L195" s="615"/>
      <c r="M195" s="615"/>
      <c r="AB195" s="615"/>
      <c r="AC195" s="615"/>
      <c r="AD195" s="615"/>
      <c r="AE195" s="615"/>
      <c r="AF195" s="615"/>
      <c r="AG195" s="615"/>
      <c r="AH195" s="615"/>
      <c r="AI195" s="615"/>
      <c r="AJ195" s="615"/>
      <c r="AK195" s="615"/>
      <c r="AL195" s="615"/>
      <c r="AM195" s="615"/>
      <c r="AN195" s="615"/>
      <c r="AO195" s="615"/>
      <c r="AP195" s="615"/>
      <c r="AQ195" s="615"/>
      <c r="AR195" s="615"/>
      <c r="AS195" s="615"/>
    </row>
    <row r="196" spans="12:45">
      <c r="L196" s="615"/>
      <c r="M196" s="615"/>
      <c r="AB196" s="615"/>
      <c r="AC196" s="615"/>
      <c r="AD196" s="615"/>
      <c r="AE196" s="615"/>
      <c r="AF196" s="615"/>
      <c r="AG196" s="615"/>
      <c r="AH196" s="615"/>
      <c r="AI196" s="615"/>
      <c r="AJ196" s="615"/>
      <c r="AK196" s="615"/>
      <c r="AL196" s="615"/>
      <c r="AM196" s="615"/>
      <c r="AN196" s="615"/>
      <c r="AO196" s="615"/>
      <c r="AP196" s="615"/>
      <c r="AQ196" s="615"/>
      <c r="AR196" s="615"/>
      <c r="AS196" s="615"/>
    </row>
    <row r="197" spans="12:45">
      <c r="L197" s="615"/>
      <c r="M197" s="615"/>
      <c r="AB197" s="615"/>
      <c r="AC197" s="615"/>
      <c r="AD197" s="615"/>
      <c r="AE197" s="615"/>
      <c r="AF197" s="615"/>
      <c r="AG197" s="615"/>
      <c r="AH197" s="615"/>
      <c r="AI197" s="615"/>
      <c r="AJ197" s="615"/>
      <c r="AK197" s="615"/>
      <c r="AL197" s="615"/>
      <c r="AM197" s="615"/>
      <c r="AN197" s="615"/>
      <c r="AO197" s="615"/>
      <c r="AP197" s="615"/>
      <c r="AQ197" s="615"/>
      <c r="AR197" s="615"/>
      <c r="AS197" s="615"/>
    </row>
    <row r="198" spans="12:45">
      <c r="L198" s="615"/>
      <c r="M198" s="615"/>
      <c r="AB198" s="615"/>
      <c r="AC198" s="615"/>
      <c r="AD198" s="615"/>
      <c r="AE198" s="615"/>
      <c r="AF198" s="615"/>
      <c r="AG198" s="615"/>
      <c r="AH198" s="615"/>
      <c r="AI198" s="615"/>
      <c r="AJ198" s="615"/>
      <c r="AK198" s="615"/>
      <c r="AL198" s="615"/>
      <c r="AM198" s="615"/>
      <c r="AN198" s="615"/>
      <c r="AO198" s="615"/>
      <c r="AP198" s="615"/>
      <c r="AQ198" s="615"/>
      <c r="AR198" s="615"/>
      <c r="AS198" s="615"/>
    </row>
    <row r="199" spans="12:45">
      <c r="L199" s="615"/>
      <c r="M199" s="615"/>
      <c r="AB199" s="615"/>
      <c r="AC199" s="615"/>
      <c r="AD199" s="615"/>
      <c r="AE199" s="615"/>
      <c r="AF199" s="615"/>
      <c r="AG199" s="615"/>
      <c r="AH199" s="615"/>
      <c r="AI199" s="615"/>
      <c r="AJ199" s="615"/>
      <c r="AK199" s="615"/>
      <c r="AL199" s="615"/>
      <c r="AM199" s="615"/>
      <c r="AN199" s="615"/>
      <c r="AO199" s="615"/>
      <c r="AP199" s="615"/>
      <c r="AQ199" s="615"/>
      <c r="AR199" s="615"/>
      <c r="AS199" s="615"/>
    </row>
    <row r="200" spans="12:45">
      <c r="L200" s="615"/>
      <c r="M200" s="615"/>
      <c r="AB200" s="615"/>
      <c r="AC200" s="615"/>
      <c r="AD200" s="615"/>
      <c r="AE200" s="615"/>
      <c r="AF200" s="615"/>
      <c r="AG200" s="615"/>
      <c r="AH200" s="615"/>
      <c r="AI200" s="615"/>
      <c r="AJ200" s="615"/>
      <c r="AK200" s="615"/>
      <c r="AL200" s="615"/>
      <c r="AM200" s="615"/>
      <c r="AN200" s="615"/>
      <c r="AO200" s="615"/>
      <c r="AP200" s="615"/>
      <c r="AQ200" s="615"/>
      <c r="AR200" s="615"/>
      <c r="AS200" s="615"/>
    </row>
    <row r="201" spans="12:45">
      <c r="L201" s="615"/>
      <c r="M201" s="615"/>
      <c r="AB201" s="615"/>
      <c r="AC201" s="615"/>
      <c r="AD201" s="615"/>
      <c r="AE201" s="615"/>
      <c r="AF201" s="615"/>
      <c r="AG201" s="615"/>
      <c r="AH201" s="615"/>
      <c r="AI201" s="615"/>
      <c r="AJ201" s="615"/>
      <c r="AK201" s="615"/>
      <c r="AL201" s="615"/>
      <c r="AM201" s="615"/>
      <c r="AN201" s="615"/>
      <c r="AO201" s="615"/>
      <c r="AP201" s="615"/>
      <c r="AQ201" s="615"/>
      <c r="AR201" s="615"/>
      <c r="AS201" s="615"/>
    </row>
    <row r="202" spans="12:45">
      <c r="L202" s="615"/>
      <c r="M202" s="615"/>
      <c r="AB202" s="615"/>
      <c r="AC202" s="615"/>
      <c r="AD202" s="615"/>
      <c r="AE202" s="615"/>
      <c r="AF202" s="615"/>
      <c r="AG202" s="615"/>
      <c r="AH202" s="615"/>
      <c r="AI202" s="615"/>
      <c r="AJ202" s="615"/>
      <c r="AK202" s="615"/>
      <c r="AL202" s="615"/>
      <c r="AM202" s="615"/>
      <c r="AN202" s="615"/>
      <c r="AO202" s="615"/>
      <c r="AP202" s="615"/>
      <c r="AQ202" s="615"/>
      <c r="AR202" s="615"/>
      <c r="AS202" s="615"/>
    </row>
    <row r="203" spans="12:45">
      <c r="L203" s="615"/>
      <c r="M203" s="615"/>
      <c r="AB203" s="615"/>
      <c r="AC203" s="615"/>
      <c r="AD203" s="615"/>
      <c r="AE203" s="615"/>
      <c r="AF203" s="615"/>
      <c r="AG203" s="615"/>
      <c r="AH203" s="615"/>
      <c r="AI203" s="615"/>
      <c r="AJ203" s="615"/>
      <c r="AK203" s="615"/>
      <c r="AL203" s="615"/>
      <c r="AM203" s="615"/>
      <c r="AN203" s="615"/>
      <c r="AO203" s="615"/>
      <c r="AP203" s="615"/>
      <c r="AQ203" s="615"/>
      <c r="AR203" s="615"/>
      <c r="AS203" s="615"/>
    </row>
    <row r="204" spans="12:45">
      <c r="L204" s="615"/>
      <c r="M204" s="615"/>
      <c r="AB204" s="615"/>
      <c r="AC204" s="615"/>
      <c r="AD204" s="615"/>
      <c r="AE204" s="615"/>
      <c r="AF204" s="615"/>
      <c r="AG204" s="615"/>
      <c r="AH204" s="615"/>
      <c r="AI204" s="615"/>
      <c r="AJ204" s="615"/>
      <c r="AK204" s="615"/>
      <c r="AL204" s="615"/>
      <c r="AM204" s="615"/>
      <c r="AN204" s="615"/>
      <c r="AO204" s="615"/>
      <c r="AP204" s="615"/>
      <c r="AQ204" s="615"/>
      <c r="AR204" s="615"/>
      <c r="AS204" s="615"/>
    </row>
    <row r="205" spans="12:45">
      <c r="L205" s="615"/>
      <c r="M205" s="615"/>
      <c r="AB205" s="615"/>
      <c r="AC205" s="615"/>
      <c r="AD205" s="615"/>
      <c r="AE205" s="615"/>
      <c r="AF205" s="615"/>
      <c r="AG205" s="615"/>
      <c r="AH205" s="615"/>
      <c r="AI205" s="615"/>
      <c r="AJ205" s="615"/>
      <c r="AK205" s="615"/>
      <c r="AL205" s="615"/>
      <c r="AM205" s="615"/>
      <c r="AN205" s="615"/>
      <c r="AO205" s="615"/>
      <c r="AP205" s="615"/>
      <c r="AQ205" s="615"/>
      <c r="AR205" s="615"/>
      <c r="AS205" s="615"/>
    </row>
    <row r="206" spans="12:45">
      <c r="L206" s="615"/>
      <c r="M206" s="615"/>
      <c r="AB206" s="615"/>
      <c r="AC206" s="615"/>
      <c r="AD206" s="615"/>
      <c r="AE206" s="615"/>
      <c r="AF206" s="615"/>
      <c r="AG206" s="615"/>
      <c r="AH206" s="615"/>
      <c r="AI206" s="615"/>
      <c r="AJ206" s="615"/>
      <c r="AK206" s="615"/>
      <c r="AL206" s="615"/>
      <c r="AM206" s="615"/>
      <c r="AN206" s="615"/>
      <c r="AO206" s="615"/>
      <c r="AP206" s="615"/>
      <c r="AQ206" s="615"/>
      <c r="AR206" s="615"/>
      <c r="AS206" s="615"/>
    </row>
    <row r="207" spans="12:45">
      <c r="L207" s="615"/>
      <c r="M207" s="615"/>
      <c r="AB207" s="615"/>
      <c r="AC207" s="615"/>
      <c r="AD207" s="615"/>
      <c r="AE207" s="615"/>
      <c r="AF207" s="615"/>
      <c r="AG207" s="615"/>
      <c r="AH207" s="615"/>
      <c r="AI207" s="615"/>
      <c r="AJ207" s="615"/>
      <c r="AK207" s="615"/>
      <c r="AL207" s="615"/>
      <c r="AM207" s="615"/>
      <c r="AN207" s="615"/>
      <c r="AO207" s="615"/>
      <c r="AP207" s="615"/>
      <c r="AQ207" s="615"/>
      <c r="AR207" s="615"/>
      <c r="AS207" s="615"/>
    </row>
    <row r="208" spans="12:45">
      <c r="L208" s="615"/>
      <c r="M208" s="615"/>
      <c r="AB208" s="615"/>
      <c r="AC208" s="615"/>
      <c r="AD208" s="615"/>
      <c r="AE208" s="615"/>
      <c r="AF208" s="615"/>
      <c r="AG208" s="615"/>
      <c r="AH208" s="615"/>
      <c r="AI208" s="615"/>
      <c r="AJ208" s="615"/>
      <c r="AK208" s="615"/>
      <c r="AL208" s="615"/>
      <c r="AM208" s="615"/>
      <c r="AN208" s="615"/>
      <c r="AO208" s="615"/>
      <c r="AP208" s="615"/>
      <c r="AQ208" s="615"/>
      <c r="AR208" s="615"/>
      <c r="AS208" s="615"/>
    </row>
    <row r="209" spans="12:45">
      <c r="L209" s="615"/>
      <c r="M209" s="615"/>
      <c r="AB209" s="615"/>
      <c r="AC209" s="615"/>
      <c r="AD209" s="615"/>
      <c r="AE209" s="615"/>
      <c r="AF209" s="615"/>
      <c r="AG209" s="615"/>
      <c r="AH209" s="615"/>
      <c r="AI209" s="615"/>
      <c r="AJ209" s="615"/>
      <c r="AK209" s="615"/>
      <c r="AL209" s="615"/>
      <c r="AM209" s="615"/>
      <c r="AN209" s="615"/>
      <c r="AO209" s="615"/>
      <c r="AP209" s="615"/>
      <c r="AQ209" s="615"/>
      <c r="AR209" s="615"/>
      <c r="AS209" s="615"/>
    </row>
    <row r="210" spans="12:45">
      <c r="L210" s="615"/>
      <c r="M210" s="615"/>
      <c r="AB210" s="615"/>
      <c r="AC210" s="615"/>
      <c r="AD210" s="615"/>
      <c r="AE210" s="615"/>
      <c r="AF210" s="615"/>
      <c r="AG210" s="615"/>
      <c r="AH210" s="615"/>
      <c r="AI210" s="615"/>
      <c r="AJ210" s="615"/>
      <c r="AK210" s="615"/>
      <c r="AL210" s="615"/>
      <c r="AM210" s="615"/>
      <c r="AN210" s="615"/>
      <c r="AO210" s="615"/>
      <c r="AP210" s="615"/>
      <c r="AQ210" s="615"/>
      <c r="AR210" s="615"/>
      <c r="AS210" s="615"/>
    </row>
    <row r="211" spans="12:45">
      <c r="L211" s="615"/>
      <c r="M211" s="615"/>
      <c r="AB211" s="615"/>
      <c r="AC211" s="615"/>
      <c r="AD211" s="615"/>
      <c r="AE211" s="615"/>
      <c r="AF211" s="615"/>
      <c r="AG211" s="615"/>
      <c r="AH211" s="615"/>
      <c r="AI211" s="615"/>
      <c r="AJ211" s="615"/>
      <c r="AK211" s="615"/>
      <c r="AL211" s="615"/>
      <c r="AM211" s="615"/>
      <c r="AN211" s="615"/>
      <c r="AO211" s="615"/>
      <c r="AP211" s="615"/>
      <c r="AQ211" s="615"/>
      <c r="AR211" s="615"/>
      <c r="AS211" s="615"/>
    </row>
    <row r="212" spans="12:45">
      <c r="L212" s="615"/>
      <c r="M212" s="615"/>
      <c r="AB212" s="615"/>
      <c r="AC212" s="615"/>
      <c r="AD212" s="615"/>
      <c r="AE212" s="615"/>
      <c r="AF212" s="615"/>
      <c r="AG212" s="615"/>
      <c r="AH212" s="615"/>
      <c r="AI212" s="615"/>
      <c r="AJ212" s="615"/>
      <c r="AK212" s="615"/>
      <c r="AL212" s="615"/>
      <c r="AM212" s="615"/>
      <c r="AN212" s="615"/>
      <c r="AO212" s="615"/>
      <c r="AP212" s="615"/>
      <c r="AQ212" s="615"/>
      <c r="AR212" s="615"/>
      <c r="AS212" s="615"/>
    </row>
    <row r="213" spans="12:45">
      <c r="L213" s="615"/>
      <c r="M213" s="615"/>
      <c r="AB213" s="615"/>
      <c r="AC213" s="615"/>
      <c r="AD213" s="615"/>
      <c r="AE213" s="615"/>
      <c r="AF213" s="615"/>
      <c r="AG213" s="615"/>
      <c r="AH213" s="615"/>
      <c r="AI213" s="615"/>
      <c r="AJ213" s="615"/>
      <c r="AK213" s="615"/>
      <c r="AL213" s="615"/>
      <c r="AM213" s="615"/>
      <c r="AN213" s="615"/>
      <c r="AO213" s="615"/>
      <c r="AP213" s="615"/>
      <c r="AQ213" s="615"/>
      <c r="AR213" s="615"/>
      <c r="AS213" s="615"/>
    </row>
    <row r="214" spans="12:45">
      <c r="L214" s="615"/>
      <c r="M214" s="615"/>
      <c r="AB214" s="615"/>
      <c r="AC214" s="615"/>
      <c r="AD214" s="615"/>
      <c r="AE214" s="615"/>
      <c r="AF214" s="615"/>
      <c r="AG214" s="615"/>
      <c r="AH214" s="615"/>
      <c r="AI214" s="615"/>
      <c r="AJ214" s="615"/>
      <c r="AK214" s="615"/>
      <c r="AL214" s="615"/>
      <c r="AM214" s="615"/>
      <c r="AN214" s="615"/>
      <c r="AO214" s="615"/>
      <c r="AP214" s="615"/>
      <c r="AQ214" s="615"/>
      <c r="AR214" s="615"/>
      <c r="AS214" s="615"/>
    </row>
    <row r="215" spans="12:45">
      <c r="L215" s="615"/>
      <c r="M215" s="615"/>
      <c r="AB215" s="615"/>
      <c r="AC215" s="615"/>
      <c r="AD215" s="615"/>
      <c r="AE215" s="615"/>
      <c r="AF215" s="615"/>
      <c r="AG215" s="615"/>
      <c r="AH215" s="615"/>
      <c r="AI215" s="615"/>
      <c r="AJ215" s="615"/>
      <c r="AK215" s="615"/>
      <c r="AL215" s="615"/>
      <c r="AM215" s="615"/>
      <c r="AN215" s="615"/>
      <c r="AO215" s="615"/>
      <c r="AP215" s="615"/>
      <c r="AQ215" s="615"/>
      <c r="AR215" s="615"/>
      <c r="AS215" s="615"/>
    </row>
    <row r="216" spans="12:45">
      <c r="L216" s="615"/>
      <c r="M216" s="615"/>
      <c r="AB216" s="615"/>
      <c r="AC216" s="615"/>
      <c r="AD216" s="615"/>
      <c r="AE216" s="615"/>
      <c r="AF216" s="615"/>
      <c r="AG216" s="615"/>
      <c r="AH216" s="615"/>
      <c r="AI216" s="615"/>
      <c r="AJ216" s="615"/>
      <c r="AK216" s="615"/>
      <c r="AL216" s="615"/>
      <c r="AM216" s="615"/>
      <c r="AN216" s="615"/>
      <c r="AO216" s="615"/>
      <c r="AP216" s="615"/>
      <c r="AQ216" s="615"/>
      <c r="AR216" s="615"/>
      <c r="AS216" s="615"/>
    </row>
    <row r="217" spans="12:45">
      <c r="L217" s="615"/>
      <c r="M217" s="615"/>
      <c r="AB217" s="615"/>
      <c r="AC217" s="615"/>
      <c r="AD217" s="615"/>
      <c r="AE217" s="615"/>
      <c r="AF217" s="615"/>
      <c r="AG217" s="615"/>
      <c r="AH217" s="615"/>
      <c r="AI217" s="615"/>
      <c r="AJ217" s="615"/>
      <c r="AK217" s="615"/>
      <c r="AL217" s="615"/>
      <c r="AM217" s="615"/>
      <c r="AN217" s="615"/>
      <c r="AO217" s="615"/>
      <c r="AP217" s="615"/>
      <c r="AQ217" s="615"/>
      <c r="AR217" s="615"/>
      <c r="AS217" s="615"/>
    </row>
    <row r="218" spans="12:45">
      <c r="L218" s="615"/>
      <c r="M218" s="615"/>
      <c r="AB218" s="615"/>
      <c r="AC218" s="615"/>
      <c r="AD218" s="615"/>
      <c r="AE218" s="615"/>
      <c r="AF218" s="615"/>
      <c r="AG218" s="615"/>
      <c r="AH218" s="615"/>
      <c r="AI218" s="615"/>
      <c r="AJ218" s="615"/>
      <c r="AK218" s="615"/>
      <c r="AL218" s="615"/>
      <c r="AM218" s="615"/>
      <c r="AN218" s="615"/>
      <c r="AO218" s="615"/>
      <c r="AP218" s="615"/>
      <c r="AQ218" s="615"/>
      <c r="AR218" s="615"/>
      <c r="AS218" s="615"/>
    </row>
    <row r="219" spans="12:45">
      <c r="L219" s="615"/>
      <c r="M219" s="615"/>
      <c r="AB219" s="615"/>
      <c r="AC219" s="615"/>
      <c r="AD219" s="615"/>
      <c r="AE219" s="615"/>
      <c r="AF219" s="615"/>
      <c r="AG219" s="615"/>
      <c r="AH219" s="615"/>
      <c r="AI219" s="615"/>
      <c r="AJ219" s="615"/>
      <c r="AK219" s="615"/>
      <c r="AL219" s="615"/>
      <c r="AM219" s="615"/>
      <c r="AN219" s="615"/>
      <c r="AO219" s="615"/>
      <c r="AP219" s="615"/>
      <c r="AQ219" s="615"/>
      <c r="AR219" s="615"/>
      <c r="AS219" s="615"/>
    </row>
    <row r="220" spans="12:45">
      <c r="L220" s="615"/>
      <c r="M220" s="615"/>
      <c r="AB220" s="615"/>
      <c r="AC220" s="615"/>
      <c r="AD220" s="615"/>
      <c r="AE220" s="615"/>
      <c r="AF220" s="615"/>
      <c r="AG220" s="615"/>
      <c r="AH220" s="615"/>
      <c r="AI220" s="615"/>
      <c r="AJ220" s="615"/>
      <c r="AK220" s="615"/>
      <c r="AL220" s="615"/>
      <c r="AM220" s="615"/>
      <c r="AN220" s="615"/>
      <c r="AO220" s="615"/>
      <c r="AP220" s="615"/>
      <c r="AQ220" s="615"/>
      <c r="AR220" s="615"/>
      <c r="AS220" s="615"/>
    </row>
    <row r="221" spans="12:45">
      <c r="L221" s="615"/>
      <c r="M221" s="615"/>
      <c r="AB221" s="615"/>
      <c r="AC221" s="615"/>
      <c r="AD221" s="615"/>
      <c r="AE221" s="615"/>
      <c r="AF221" s="615"/>
      <c r="AG221" s="615"/>
      <c r="AH221" s="615"/>
      <c r="AI221" s="615"/>
      <c r="AJ221" s="615"/>
      <c r="AK221" s="615"/>
      <c r="AL221" s="615"/>
      <c r="AM221" s="615"/>
      <c r="AN221" s="615"/>
      <c r="AO221" s="615"/>
      <c r="AP221" s="615"/>
      <c r="AQ221" s="615"/>
      <c r="AR221" s="615"/>
      <c r="AS221" s="615"/>
    </row>
    <row r="222" spans="12:45">
      <c r="L222" s="615"/>
      <c r="M222" s="615"/>
      <c r="AB222" s="615"/>
      <c r="AC222" s="615"/>
      <c r="AD222" s="615"/>
      <c r="AE222" s="615"/>
      <c r="AF222" s="615"/>
      <c r="AG222" s="615"/>
      <c r="AH222" s="615"/>
      <c r="AI222" s="615"/>
      <c r="AJ222" s="615"/>
      <c r="AK222" s="615"/>
      <c r="AL222" s="615"/>
      <c r="AM222" s="615"/>
      <c r="AN222" s="615"/>
      <c r="AO222" s="615"/>
      <c r="AP222" s="615"/>
      <c r="AQ222" s="615"/>
      <c r="AR222" s="615"/>
      <c r="AS222" s="615"/>
    </row>
    <row r="223" spans="12:45">
      <c r="L223" s="615"/>
      <c r="M223" s="615"/>
      <c r="AB223" s="615"/>
      <c r="AC223" s="615"/>
      <c r="AD223" s="615"/>
      <c r="AE223" s="615"/>
      <c r="AF223" s="615"/>
      <c r="AG223" s="615"/>
      <c r="AH223" s="615"/>
      <c r="AI223" s="615"/>
      <c r="AJ223" s="615"/>
      <c r="AK223" s="615"/>
      <c r="AL223" s="615"/>
      <c r="AM223" s="615"/>
      <c r="AN223" s="615"/>
      <c r="AO223" s="615"/>
      <c r="AP223" s="615"/>
      <c r="AQ223" s="615"/>
      <c r="AR223" s="615"/>
      <c r="AS223" s="615"/>
    </row>
    <row r="224" spans="12:45">
      <c r="L224" s="615"/>
      <c r="M224" s="615"/>
      <c r="AB224" s="615"/>
      <c r="AC224" s="615"/>
      <c r="AD224" s="615"/>
      <c r="AE224" s="615"/>
      <c r="AF224" s="615"/>
      <c r="AG224" s="615"/>
      <c r="AH224" s="615"/>
      <c r="AI224" s="615"/>
      <c r="AJ224" s="615"/>
      <c r="AK224" s="615"/>
      <c r="AL224" s="615"/>
      <c r="AM224" s="615"/>
      <c r="AN224" s="615"/>
      <c r="AO224" s="615"/>
      <c r="AP224" s="615"/>
      <c r="AQ224" s="615"/>
      <c r="AR224" s="615"/>
      <c r="AS224" s="615"/>
    </row>
    <row r="225" spans="12:45">
      <c r="L225" s="615"/>
      <c r="M225" s="615"/>
      <c r="AB225" s="615"/>
      <c r="AC225" s="615"/>
      <c r="AD225" s="615"/>
      <c r="AE225" s="615"/>
      <c r="AF225" s="615"/>
      <c r="AG225" s="615"/>
      <c r="AH225" s="615"/>
      <c r="AI225" s="615"/>
      <c r="AJ225" s="615"/>
      <c r="AK225" s="615"/>
      <c r="AL225" s="615"/>
      <c r="AM225" s="615"/>
      <c r="AN225" s="615"/>
      <c r="AO225" s="615"/>
      <c r="AP225" s="615"/>
      <c r="AQ225" s="615"/>
      <c r="AR225" s="615"/>
      <c r="AS225" s="615"/>
    </row>
    <row r="226" spans="12:45">
      <c r="L226" s="615"/>
      <c r="M226" s="615"/>
      <c r="AB226" s="615"/>
      <c r="AC226" s="615"/>
      <c r="AD226" s="615"/>
      <c r="AE226" s="615"/>
      <c r="AF226" s="615"/>
      <c r="AG226" s="615"/>
      <c r="AH226" s="615"/>
      <c r="AI226" s="615"/>
      <c r="AJ226" s="615"/>
      <c r="AK226" s="615"/>
      <c r="AL226" s="615"/>
      <c r="AM226" s="615"/>
      <c r="AN226" s="615"/>
      <c r="AO226" s="615"/>
      <c r="AP226" s="615"/>
      <c r="AQ226" s="615"/>
      <c r="AR226" s="615"/>
      <c r="AS226" s="615"/>
    </row>
    <row r="227" spans="12:45">
      <c r="L227" s="615"/>
      <c r="M227" s="615"/>
      <c r="AB227" s="615"/>
      <c r="AC227" s="615"/>
      <c r="AD227" s="615"/>
      <c r="AE227" s="615"/>
      <c r="AF227" s="615"/>
      <c r="AG227" s="615"/>
      <c r="AH227" s="615"/>
      <c r="AI227" s="615"/>
      <c r="AJ227" s="615"/>
      <c r="AK227" s="615"/>
      <c r="AL227" s="615"/>
      <c r="AM227" s="615"/>
      <c r="AN227" s="615"/>
      <c r="AO227" s="615"/>
      <c r="AP227" s="615"/>
      <c r="AQ227" s="615"/>
      <c r="AR227" s="615"/>
      <c r="AS227" s="615"/>
    </row>
    <row r="228" spans="12:45">
      <c r="L228" s="615"/>
      <c r="M228" s="615"/>
      <c r="AB228" s="615"/>
      <c r="AC228" s="615"/>
      <c r="AD228" s="615"/>
      <c r="AE228" s="615"/>
      <c r="AF228" s="615"/>
      <c r="AG228" s="615"/>
      <c r="AH228" s="615"/>
      <c r="AI228" s="615"/>
      <c r="AJ228" s="615"/>
      <c r="AK228" s="615"/>
      <c r="AL228" s="615"/>
      <c r="AM228" s="615"/>
      <c r="AN228" s="615"/>
      <c r="AO228" s="615"/>
      <c r="AP228" s="615"/>
      <c r="AQ228" s="615"/>
      <c r="AR228" s="615"/>
      <c r="AS228" s="615"/>
    </row>
    <row r="229" spans="12:45">
      <c r="L229" s="615"/>
      <c r="M229" s="615"/>
      <c r="AB229" s="615"/>
      <c r="AC229" s="615"/>
      <c r="AD229" s="615"/>
      <c r="AE229" s="615"/>
      <c r="AF229" s="615"/>
      <c r="AG229" s="615"/>
      <c r="AH229" s="615"/>
      <c r="AI229" s="615"/>
      <c r="AJ229" s="615"/>
      <c r="AK229" s="615"/>
      <c r="AL229" s="615"/>
      <c r="AM229" s="615"/>
      <c r="AN229" s="615"/>
      <c r="AO229" s="615"/>
      <c r="AP229" s="615"/>
      <c r="AQ229" s="615"/>
      <c r="AR229" s="615"/>
      <c r="AS229" s="615"/>
    </row>
    <row r="230" spans="12:45">
      <c r="L230" s="615"/>
      <c r="M230" s="615"/>
      <c r="AB230" s="615"/>
      <c r="AC230" s="615"/>
      <c r="AD230" s="615"/>
      <c r="AE230" s="615"/>
      <c r="AF230" s="615"/>
      <c r="AG230" s="615"/>
      <c r="AH230" s="615"/>
      <c r="AI230" s="615"/>
      <c r="AJ230" s="615"/>
      <c r="AK230" s="615"/>
      <c r="AL230" s="615"/>
      <c r="AM230" s="615"/>
      <c r="AN230" s="615"/>
      <c r="AO230" s="615"/>
      <c r="AP230" s="615"/>
      <c r="AQ230" s="615"/>
      <c r="AR230" s="615"/>
      <c r="AS230" s="615"/>
    </row>
    <row r="231" spans="12:45">
      <c r="L231" s="615"/>
      <c r="M231" s="615"/>
      <c r="AB231" s="615"/>
      <c r="AC231" s="615"/>
      <c r="AD231" s="615"/>
      <c r="AE231" s="615"/>
      <c r="AF231" s="615"/>
      <c r="AG231" s="615"/>
      <c r="AH231" s="615"/>
      <c r="AI231" s="615"/>
      <c r="AJ231" s="615"/>
      <c r="AK231" s="615"/>
      <c r="AL231" s="615"/>
      <c r="AM231" s="615"/>
      <c r="AN231" s="615"/>
      <c r="AO231" s="615"/>
      <c r="AP231" s="615"/>
      <c r="AQ231" s="615"/>
      <c r="AR231" s="615"/>
      <c r="AS231" s="615"/>
    </row>
    <row r="232" spans="12:45">
      <c r="L232" s="615"/>
      <c r="M232" s="615"/>
      <c r="AB232" s="615"/>
      <c r="AC232" s="615"/>
      <c r="AD232" s="615"/>
      <c r="AE232" s="615"/>
      <c r="AF232" s="615"/>
      <c r="AG232" s="615"/>
      <c r="AH232" s="615"/>
      <c r="AI232" s="615"/>
      <c r="AJ232" s="615"/>
      <c r="AK232" s="615"/>
      <c r="AL232" s="615"/>
      <c r="AM232" s="615"/>
      <c r="AN232" s="615"/>
      <c r="AO232" s="615"/>
      <c r="AP232" s="615"/>
      <c r="AQ232" s="615"/>
      <c r="AR232" s="615"/>
      <c r="AS232" s="615"/>
    </row>
    <row r="233" spans="12:45">
      <c r="L233" s="615"/>
      <c r="M233" s="615"/>
      <c r="AB233" s="615"/>
      <c r="AC233" s="615"/>
      <c r="AD233" s="615"/>
      <c r="AE233" s="615"/>
      <c r="AF233" s="615"/>
      <c r="AG233" s="615"/>
      <c r="AH233" s="615"/>
      <c r="AI233" s="615"/>
      <c r="AJ233" s="615"/>
      <c r="AK233" s="615"/>
      <c r="AL233" s="615"/>
      <c r="AM233" s="615"/>
      <c r="AN233" s="615"/>
      <c r="AO233" s="615"/>
      <c r="AP233" s="615"/>
      <c r="AQ233" s="615"/>
      <c r="AR233" s="615"/>
      <c r="AS233" s="615"/>
    </row>
    <row r="234" spans="12:45">
      <c r="L234" s="615"/>
      <c r="M234" s="615"/>
      <c r="AB234" s="615"/>
      <c r="AC234" s="615"/>
      <c r="AD234" s="615"/>
      <c r="AE234" s="615"/>
      <c r="AF234" s="615"/>
      <c r="AG234" s="615"/>
      <c r="AH234" s="615"/>
      <c r="AI234" s="615"/>
      <c r="AJ234" s="615"/>
      <c r="AK234" s="615"/>
      <c r="AL234" s="615"/>
      <c r="AM234" s="615"/>
      <c r="AN234" s="615"/>
      <c r="AO234" s="615"/>
      <c r="AP234" s="615"/>
      <c r="AQ234" s="615"/>
      <c r="AR234" s="615"/>
      <c r="AS234" s="615"/>
    </row>
    <row r="235" spans="12:45">
      <c r="L235" s="615"/>
      <c r="M235" s="615"/>
      <c r="AB235" s="615"/>
      <c r="AC235" s="615"/>
      <c r="AD235" s="615"/>
      <c r="AE235" s="615"/>
      <c r="AF235" s="615"/>
      <c r="AG235" s="615"/>
      <c r="AH235" s="615"/>
      <c r="AI235" s="615"/>
      <c r="AJ235" s="615"/>
      <c r="AK235" s="615"/>
      <c r="AL235" s="615"/>
      <c r="AM235" s="615"/>
      <c r="AN235" s="615"/>
      <c r="AO235" s="615"/>
      <c r="AP235" s="615"/>
      <c r="AQ235" s="615"/>
      <c r="AR235" s="615"/>
      <c r="AS235" s="615"/>
    </row>
    <row r="236" spans="12:45">
      <c r="L236" s="615"/>
      <c r="M236" s="615"/>
      <c r="AB236" s="615"/>
      <c r="AC236" s="615"/>
      <c r="AD236" s="615"/>
      <c r="AE236" s="615"/>
      <c r="AF236" s="615"/>
      <c r="AG236" s="615"/>
      <c r="AH236" s="615"/>
      <c r="AI236" s="615"/>
      <c r="AJ236" s="615"/>
      <c r="AK236" s="615"/>
      <c r="AL236" s="615"/>
      <c r="AM236" s="615"/>
      <c r="AN236" s="615"/>
      <c r="AO236" s="615"/>
      <c r="AP236" s="615"/>
      <c r="AQ236" s="615"/>
      <c r="AR236" s="615"/>
      <c r="AS236" s="615"/>
    </row>
    <row r="237" spans="12:45">
      <c r="L237" s="615"/>
      <c r="M237" s="615"/>
      <c r="AB237" s="615"/>
      <c r="AC237" s="615"/>
      <c r="AD237" s="615"/>
      <c r="AE237" s="615"/>
      <c r="AF237" s="615"/>
      <c r="AG237" s="615"/>
      <c r="AH237" s="615"/>
      <c r="AI237" s="615"/>
      <c r="AJ237" s="615"/>
      <c r="AK237" s="615"/>
      <c r="AL237" s="615"/>
      <c r="AM237" s="615"/>
      <c r="AN237" s="615"/>
      <c r="AO237" s="615"/>
      <c r="AP237" s="615"/>
      <c r="AQ237" s="615"/>
      <c r="AR237" s="615"/>
      <c r="AS237" s="615"/>
    </row>
    <row r="238" spans="12:45">
      <c r="L238" s="615"/>
      <c r="M238" s="615"/>
      <c r="AB238" s="615"/>
      <c r="AC238" s="615"/>
      <c r="AD238" s="615"/>
      <c r="AE238" s="615"/>
      <c r="AF238" s="615"/>
      <c r="AG238" s="615"/>
      <c r="AH238" s="615"/>
      <c r="AI238" s="615"/>
      <c r="AJ238" s="615"/>
      <c r="AK238" s="615"/>
      <c r="AL238" s="615"/>
      <c r="AM238" s="615"/>
      <c r="AN238" s="615"/>
      <c r="AO238" s="615"/>
      <c r="AP238" s="615"/>
      <c r="AQ238" s="615"/>
      <c r="AR238" s="615"/>
      <c r="AS238" s="615"/>
    </row>
    <row r="239" spans="12:45">
      <c r="L239" s="615"/>
      <c r="M239" s="615"/>
      <c r="AB239" s="615"/>
      <c r="AC239" s="615"/>
      <c r="AD239" s="615"/>
      <c r="AE239" s="615"/>
      <c r="AF239" s="615"/>
      <c r="AG239" s="615"/>
      <c r="AH239" s="615"/>
      <c r="AI239" s="615"/>
      <c r="AJ239" s="615"/>
      <c r="AK239" s="615"/>
      <c r="AL239" s="615"/>
      <c r="AM239" s="615"/>
      <c r="AN239" s="615"/>
      <c r="AO239" s="615"/>
      <c r="AP239" s="615"/>
      <c r="AQ239" s="615"/>
      <c r="AR239" s="615"/>
      <c r="AS239" s="615"/>
    </row>
    <row r="240" spans="12:45">
      <c r="L240" s="615"/>
      <c r="M240" s="615"/>
      <c r="AB240" s="615"/>
      <c r="AC240" s="615"/>
      <c r="AD240" s="615"/>
      <c r="AE240" s="615"/>
      <c r="AF240" s="615"/>
      <c r="AG240" s="615"/>
      <c r="AH240" s="615"/>
      <c r="AI240" s="615"/>
      <c r="AJ240" s="615"/>
      <c r="AK240" s="615"/>
      <c r="AL240" s="615"/>
      <c r="AM240" s="615"/>
      <c r="AN240" s="615"/>
      <c r="AO240" s="615"/>
      <c r="AP240" s="615"/>
      <c r="AQ240" s="615"/>
      <c r="AR240" s="615"/>
      <c r="AS240" s="615"/>
    </row>
    <row r="241" spans="12:45">
      <c r="L241" s="615"/>
      <c r="M241" s="615"/>
      <c r="AB241" s="615"/>
      <c r="AC241" s="615"/>
      <c r="AD241" s="615"/>
      <c r="AE241" s="615"/>
      <c r="AF241" s="615"/>
      <c r="AG241" s="615"/>
      <c r="AH241" s="615"/>
      <c r="AI241" s="615"/>
      <c r="AJ241" s="615"/>
      <c r="AK241" s="615"/>
      <c r="AL241" s="615"/>
      <c r="AM241" s="615"/>
      <c r="AN241" s="615"/>
      <c r="AO241" s="615"/>
      <c r="AP241" s="615"/>
      <c r="AQ241" s="615"/>
      <c r="AR241" s="615"/>
      <c r="AS241" s="615"/>
    </row>
    <row r="242" spans="12:45">
      <c r="L242" s="615"/>
      <c r="M242" s="615"/>
      <c r="AB242" s="615"/>
      <c r="AC242" s="615"/>
      <c r="AD242" s="615"/>
      <c r="AE242" s="615"/>
      <c r="AF242" s="615"/>
      <c r="AG242" s="615"/>
      <c r="AH242" s="615"/>
      <c r="AI242" s="615"/>
      <c r="AJ242" s="615"/>
      <c r="AK242" s="615"/>
      <c r="AL242" s="615"/>
      <c r="AM242" s="615"/>
      <c r="AN242" s="615"/>
      <c r="AO242" s="615"/>
      <c r="AP242" s="615"/>
      <c r="AQ242" s="615"/>
      <c r="AR242" s="615"/>
      <c r="AS242" s="615"/>
    </row>
    <row r="243" spans="12:45">
      <c r="L243" s="615"/>
      <c r="M243" s="615"/>
      <c r="AB243" s="615"/>
      <c r="AC243" s="615"/>
      <c r="AD243" s="615"/>
      <c r="AE243" s="615"/>
      <c r="AF243" s="615"/>
      <c r="AG243" s="615"/>
      <c r="AH243" s="615"/>
      <c r="AI243" s="615"/>
      <c r="AJ243" s="615"/>
      <c r="AK243" s="615"/>
      <c r="AL243" s="615"/>
      <c r="AM243" s="615"/>
      <c r="AN243" s="615"/>
      <c r="AO243" s="615"/>
      <c r="AP243" s="615"/>
      <c r="AQ243" s="615"/>
      <c r="AR243" s="615"/>
      <c r="AS243" s="615"/>
    </row>
    <row r="244" spans="12:45">
      <c r="L244" s="615"/>
      <c r="M244" s="615"/>
      <c r="AB244" s="615"/>
      <c r="AC244" s="615"/>
      <c r="AD244" s="615"/>
      <c r="AE244" s="615"/>
      <c r="AF244" s="615"/>
      <c r="AG244" s="615"/>
      <c r="AH244" s="615"/>
      <c r="AI244" s="615"/>
      <c r="AJ244" s="615"/>
      <c r="AK244" s="615"/>
      <c r="AL244" s="615"/>
      <c r="AM244" s="615"/>
      <c r="AN244" s="615"/>
      <c r="AO244" s="615"/>
      <c r="AP244" s="615"/>
      <c r="AQ244" s="615"/>
      <c r="AR244" s="615"/>
      <c r="AS244" s="615"/>
    </row>
    <row r="245" spans="12:45">
      <c r="L245" s="615"/>
      <c r="M245" s="615"/>
      <c r="AB245" s="615"/>
      <c r="AC245" s="615"/>
      <c r="AD245" s="615"/>
      <c r="AE245" s="615"/>
      <c r="AF245" s="615"/>
      <c r="AG245" s="615"/>
      <c r="AH245" s="615"/>
      <c r="AI245" s="615"/>
      <c r="AJ245" s="615"/>
      <c r="AK245" s="615"/>
      <c r="AL245" s="615"/>
      <c r="AM245" s="615"/>
      <c r="AN245" s="615"/>
      <c r="AO245" s="615"/>
      <c r="AP245" s="615"/>
      <c r="AQ245" s="615"/>
      <c r="AR245" s="615"/>
      <c r="AS245" s="615"/>
    </row>
    <row r="246" spans="12:45">
      <c r="L246" s="615"/>
      <c r="M246" s="615"/>
      <c r="AB246" s="615"/>
      <c r="AC246" s="615"/>
      <c r="AD246" s="615"/>
      <c r="AE246" s="615"/>
      <c r="AF246" s="615"/>
      <c r="AG246" s="615"/>
      <c r="AH246" s="615"/>
      <c r="AI246" s="615"/>
      <c r="AJ246" s="615"/>
      <c r="AK246" s="615"/>
      <c r="AL246" s="615"/>
      <c r="AM246" s="615"/>
      <c r="AN246" s="615"/>
      <c r="AO246" s="615"/>
      <c r="AP246" s="615"/>
      <c r="AQ246" s="615"/>
      <c r="AR246" s="615"/>
      <c r="AS246" s="615"/>
    </row>
    <row r="247" spans="12:45">
      <c r="L247" s="615"/>
      <c r="M247" s="615"/>
      <c r="AB247" s="615"/>
      <c r="AC247" s="615"/>
      <c r="AD247" s="615"/>
      <c r="AE247" s="615"/>
      <c r="AF247" s="615"/>
      <c r="AG247" s="615"/>
      <c r="AH247" s="615"/>
      <c r="AI247" s="615"/>
      <c r="AJ247" s="615"/>
      <c r="AK247" s="615"/>
      <c r="AL247" s="615"/>
      <c r="AM247" s="615"/>
      <c r="AN247" s="615"/>
      <c r="AO247" s="615"/>
      <c r="AP247" s="615"/>
      <c r="AQ247" s="615"/>
      <c r="AR247" s="615"/>
      <c r="AS247" s="615"/>
    </row>
    <row r="248" spans="12:45">
      <c r="L248" s="615"/>
      <c r="M248" s="615"/>
      <c r="AB248" s="615"/>
      <c r="AC248" s="615"/>
      <c r="AD248" s="615"/>
      <c r="AE248" s="615"/>
      <c r="AF248" s="615"/>
      <c r="AG248" s="615"/>
      <c r="AH248" s="615"/>
      <c r="AI248" s="615"/>
      <c r="AJ248" s="615"/>
      <c r="AK248" s="615"/>
      <c r="AL248" s="615"/>
      <c r="AM248" s="615"/>
      <c r="AN248" s="615"/>
      <c r="AO248" s="615"/>
      <c r="AP248" s="615"/>
      <c r="AQ248" s="615"/>
      <c r="AR248" s="615"/>
      <c r="AS248" s="615"/>
    </row>
    <row r="249" spans="12:45">
      <c r="L249" s="615"/>
      <c r="M249" s="615"/>
      <c r="AB249" s="615"/>
      <c r="AC249" s="615"/>
      <c r="AD249" s="615"/>
      <c r="AE249" s="615"/>
      <c r="AF249" s="615"/>
      <c r="AG249" s="615"/>
      <c r="AH249" s="615"/>
      <c r="AI249" s="615"/>
      <c r="AJ249" s="615"/>
      <c r="AK249" s="615"/>
      <c r="AL249" s="615"/>
      <c r="AM249" s="615"/>
      <c r="AN249" s="615"/>
      <c r="AO249" s="615"/>
      <c r="AP249" s="615"/>
      <c r="AQ249" s="615"/>
      <c r="AR249" s="615"/>
      <c r="AS249" s="615"/>
    </row>
    <row r="250" spans="12:45">
      <c r="L250" s="615"/>
      <c r="M250" s="615"/>
      <c r="AB250" s="615"/>
      <c r="AC250" s="615"/>
      <c r="AD250" s="615"/>
      <c r="AE250" s="615"/>
      <c r="AF250" s="615"/>
      <c r="AG250" s="615"/>
      <c r="AH250" s="615"/>
      <c r="AI250" s="615"/>
      <c r="AJ250" s="615"/>
      <c r="AK250" s="615"/>
      <c r="AL250" s="615"/>
      <c r="AM250" s="615"/>
      <c r="AN250" s="615"/>
      <c r="AO250" s="615"/>
      <c r="AP250" s="615"/>
      <c r="AQ250" s="615"/>
      <c r="AR250" s="615"/>
      <c r="AS250" s="615"/>
    </row>
    <row r="251" spans="12:45">
      <c r="L251" s="615"/>
      <c r="M251" s="615"/>
      <c r="AB251" s="615"/>
      <c r="AC251" s="615"/>
      <c r="AD251" s="615"/>
      <c r="AE251" s="615"/>
      <c r="AF251" s="615"/>
      <c r="AG251" s="615"/>
      <c r="AH251" s="615"/>
      <c r="AI251" s="615"/>
      <c r="AJ251" s="615"/>
      <c r="AK251" s="615"/>
      <c r="AL251" s="615"/>
      <c r="AM251" s="615"/>
      <c r="AN251" s="615"/>
      <c r="AO251" s="615"/>
      <c r="AP251" s="615"/>
      <c r="AQ251" s="615"/>
      <c r="AR251" s="615"/>
      <c r="AS251" s="615"/>
    </row>
    <row r="252" spans="12:45">
      <c r="L252" s="615"/>
      <c r="M252" s="615"/>
      <c r="AB252" s="615"/>
      <c r="AC252" s="615"/>
      <c r="AD252" s="615"/>
      <c r="AE252" s="615"/>
      <c r="AF252" s="615"/>
      <c r="AG252" s="615"/>
      <c r="AH252" s="615"/>
      <c r="AI252" s="615"/>
      <c r="AJ252" s="615"/>
      <c r="AK252" s="615"/>
      <c r="AL252" s="615"/>
      <c r="AM252" s="615"/>
      <c r="AN252" s="615"/>
      <c r="AO252" s="615"/>
      <c r="AP252" s="615"/>
      <c r="AQ252" s="615"/>
      <c r="AR252" s="615"/>
      <c r="AS252" s="615"/>
    </row>
    <row r="253" spans="12:45">
      <c r="L253" s="615"/>
      <c r="M253" s="615"/>
      <c r="AB253" s="615"/>
      <c r="AC253" s="615"/>
      <c r="AD253" s="615"/>
      <c r="AE253" s="615"/>
      <c r="AF253" s="615"/>
      <c r="AG253" s="615"/>
      <c r="AH253" s="615"/>
      <c r="AI253" s="615"/>
      <c r="AJ253" s="615"/>
      <c r="AK253" s="615"/>
      <c r="AL253" s="615"/>
      <c r="AM253" s="615"/>
      <c r="AN253" s="615"/>
      <c r="AO253" s="615"/>
      <c r="AP253" s="615"/>
      <c r="AQ253" s="615"/>
      <c r="AR253" s="615"/>
      <c r="AS253" s="615"/>
    </row>
    <row r="254" spans="12:45">
      <c r="L254" s="615"/>
      <c r="M254" s="615"/>
      <c r="AB254" s="615"/>
      <c r="AC254" s="615"/>
      <c r="AD254" s="615"/>
      <c r="AE254" s="615"/>
      <c r="AF254" s="615"/>
      <c r="AG254" s="615"/>
      <c r="AH254" s="615"/>
      <c r="AI254" s="615"/>
      <c r="AJ254" s="615"/>
      <c r="AK254" s="615"/>
      <c r="AL254" s="615"/>
      <c r="AM254" s="615"/>
      <c r="AN254" s="615"/>
      <c r="AO254" s="615"/>
      <c r="AP254" s="615"/>
      <c r="AQ254" s="615"/>
      <c r="AR254" s="615"/>
      <c r="AS254" s="615"/>
    </row>
    <row r="255" spans="12:45">
      <c r="L255" s="615"/>
      <c r="M255" s="615"/>
      <c r="AB255" s="615"/>
      <c r="AC255" s="615"/>
      <c r="AD255" s="615"/>
      <c r="AE255" s="615"/>
      <c r="AF255" s="615"/>
      <c r="AG255" s="615"/>
      <c r="AH255" s="615"/>
      <c r="AI255" s="615"/>
      <c r="AJ255" s="615"/>
      <c r="AK255" s="615"/>
      <c r="AL255" s="615"/>
      <c r="AM255" s="615"/>
      <c r="AN255" s="615"/>
      <c r="AO255" s="615"/>
      <c r="AP255" s="615"/>
      <c r="AQ255" s="615"/>
      <c r="AR255" s="615"/>
      <c r="AS255" s="615"/>
    </row>
    <row r="256" spans="12:45">
      <c r="L256" s="615"/>
      <c r="M256" s="615"/>
      <c r="AB256" s="615"/>
      <c r="AC256" s="615"/>
      <c r="AD256" s="615"/>
      <c r="AE256" s="615"/>
      <c r="AF256" s="615"/>
      <c r="AG256" s="615"/>
      <c r="AH256" s="615"/>
      <c r="AI256" s="615"/>
      <c r="AJ256" s="615"/>
      <c r="AK256" s="615"/>
      <c r="AL256" s="615"/>
      <c r="AM256" s="615"/>
      <c r="AN256" s="615"/>
      <c r="AO256" s="615"/>
      <c r="AP256" s="615"/>
      <c r="AQ256" s="615"/>
      <c r="AR256" s="615"/>
      <c r="AS256" s="615"/>
    </row>
    <row r="257" spans="12:45">
      <c r="L257" s="615"/>
      <c r="M257" s="615"/>
      <c r="AB257" s="615"/>
      <c r="AC257" s="615"/>
      <c r="AD257" s="615"/>
      <c r="AE257" s="615"/>
      <c r="AF257" s="615"/>
      <c r="AG257" s="615"/>
      <c r="AH257" s="615"/>
      <c r="AI257" s="615"/>
      <c r="AJ257" s="615"/>
      <c r="AK257" s="615"/>
      <c r="AL257" s="615"/>
      <c r="AM257" s="615"/>
      <c r="AN257" s="615"/>
      <c r="AO257" s="615"/>
      <c r="AP257" s="615"/>
      <c r="AQ257" s="615"/>
      <c r="AR257" s="615"/>
      <c r="AS257" s="615"/>
    </row>
    <row r="258" spans="12:45">
      <c r="L258" s="615"/>
      <c r="M258" s="615"/>
      <c r="AB258" s="615"/>
      <c r="AC258" s="615"/>
      <c r="AD258" s="615"/>
      <c r="AE258" s="615"/>
      <c r="AF258" s="615"/>
      <c r="AG258" s="615"/>
      <c r="AH258" s="615"/>
      <c r="AI258" s="615"/>
      <c r="AJ258" s="615"/>
      <c r="AK258" s="615"/>
      <c r="AL258" s="615"/>
      <c r="AM258" s="615"/>
      <c r="AN258" s="615"/>
      <c r="AO258" s="615"/>
      <c r="AP258" s="615"/>
      <c r="AQ258" s="615"/>
      <c r="AR258" s="615"/>
      <c r="AS258" s="615"/>
    </row>
    <row r="259" spans="12:45">
      <c r="L259" s="615"/>
      <c r="M259" s="615"/>
      <c r="AB259" s="615"/>
      <c r="AC259" s="615"/>
      <c r="AD259" s="615"/>
      <c r="AE259" s="615"/>
      <c r="AF259" s="615"/>
      <c r="AG259" s="615"/>
      <c r="AH259" s="615"/>
      <c r="AI259" s="615"/>
      <c r="AJ259" s="615"/>
      <c r="AK259" s="615"/>
      <c r="AL259" s="615"/>
      <c r="AM259" s="615"/>
      <c r="AN259" s="615"/>
      <c r="AO259" s="615"/>
      <c r="AP259" s="615"/>
      <c r="AQ259" s="615"/>
      <c r="AR259" s="615"/>
      <c r="AS259" s="615"/>
    </row>
    <row r="260" spans="12:45">
      <c r="L260" s="615"/>
      <c r="M260" s="615"/>
      <c r="AB260" s="615"/>
      <c r="AC260" s="615"/>
      <c r="AD260" s="615"/>
      <c r="AE260" s="615"/>
      <c r="AF260" s="615"/>
      <c r="AG260" s="615"/>
      <c r="AH260" s="615"/>
      <c r="AI260" s="615"/>
      <c r="AJ260" s="615"/>
      <c r="AK260" s="615"/>
      <c r="AL260" s="615"/>
      <c r="AM260" s="615"/>
      <c r="AN260" s="615"/>
      <c r="AO260" s="615"/>
      <c r="AP260" s="615"/>
      <c r="AQ260" s="615"/>
      <c r="AR260" s="615"/>
      <c r="AS260" s="615"/>
    </row>
    <row r="261" spans="12:45">
      <c r="L261" s="615"/>
      <c r="M261" s="615"/>
      <c r="AB261" s="615"/>
      <c r="AC261" s="615"/>
      <c r="AD261" s="615"/>
      <c r="AE261" s="615"/>
      <c r="AF261" s="615"/>
      <c r="AG261" s="615"/>
      <c r="AH261" s="615"/>
      <c r="AI261" s="615"/>
      <c r="AJ261" s="615"/>
      <c r="AK261" s="615"/>
      <c r="AL261" s="615"/>
      <c r="AM261" s="615"/>
      <c r="AN261" s="615"/>
      <c r="AO261" s="615"/>
      <c r="AP261" s="615"/>
      <c r="AQ261" s="615"/>
      <c r="AR261" s="615"/>
      <c r="AS261" s="615"/>
    </row>
    <row r="262" spans="12:45">
      <c r="L262" s="615"/>
      <c r="M262" s="615"/>
      <c r="AB262" s="615"/>
      <c r="AC262" s="615"/>
      <c r="AD262" s="615"/>
      <c r="AE262" s="615"/>
      <c r="AF262" s="615"/>
      <c r="AG262" s="615"/>
      <c r="AH262" s="615"/>
      <c r="AI262" s="615"/>
      <c r="AJ262" s="615"/>
      <c r="AK262" s="615"/>
      <c r="AL262" s="615"/>
      <c r="AM262" s="615"/>
      <c r="AN262" s="615"/>
      <c r="AO262" s="615"/>
      <c r="AP262" s="615"/>
      <c r="AQ262" s="615"/>
      <c r="AR262" s="615"/>
      <c r="AS262" s="615"/>
    </row>
    <row r="263" spans="12:45">
      <c r="L263" s="615"/>
      <c r="M263" s="615"/>
      <c r="AB263" s="615"/>
      <c r="AC263" s="615"/>
      <c r="AD263" s="615"/>
      <c r="AE263" s="615"/>
      <c r="AF263" s="615"/>
      <c r="AG263" s="615"/>
      <c r="AH263" s="615"/>
      <c r="AI263" s="615"/>
      <c r="AJ263" s="615"/>
      <c r="AK263" s="615"/>
      <c r="AL263" s="615"/>
      <c r="AM263" s="615"/>
      <c r="AN263" s="615"/>
      <c r="AO263" s="615"/>
      <c r="AP263" s="615"/>
      <c r="AQ263" s="615"/>
      <c r="AR263" s="615"/>
      <c r="AS263" s="615"/>
    </row>
    <row r="264" spans="12:45">
      <c r="L264" s="615"/>
      <c r="M264" s="615"/>
      <c r="AB264" s="615"/>
      <c r="AC264" s="615"/>
      <c r="AD264" s="615"/>
      <c r="AE264" s="615"/>
      <c r="AF264" s="615"/>
      <c r="AG264" s="615"/>
      <c r="AH264" s="615"/>
      <c r="AI264" s="615"/>
      <c r="AJ264" s="615"/>
      <c r="AK264" s="615"/>
      <c r="AL264" s="615"/>
      <c r="AM264" s="615"/>
      <c r="AN264" s="615"/>
      <c r="AO264" s="615"/>
      <c r="AP264" s="615"/>
      <c r="AQ264" s="615"/>
      <c r="AR264" s="615"/>
      <c r="AS264" s="615"/>
    </row>
    <row r="265" spans="12:45">
      <c r="L265" s="615"/>
      <c r="M265" s="615"/>
      <c r="AB265" s="615"/>
      <c r="AC265" s="615"/>
      <c r="AD265" s="615"/>
      <c r="AE265" s="615"/>
      <c r="AF265" s="615"/>
      <c r="AG265" s="615"/>
      <c r="AH265" s="615"/>
      <c r="AI265" s="615"/>
      <c r="AJ265" s="615"/>
      <c r="AK265" s="615"/>
      <c r="AL265" s="615"/>
      <c r="AM265" s="615"/>
      <c r="AN265" s="615"/>
      <c r="AO265" s="615"/>
      <c r="AP265" s="615"/>
      <c r="AQ265" s="615"/>
      <c r="AR265" s="615"/>
      <c r="AS265" s="615"/>
    </row>
    <row r="266" spans="12:45">
      <c r="L266" s="615"/>
      <c r="M266" s="615"/>
      <c r="AB266" s="615"/>
      <c r="AC266" s="615"/>
      <c r="AD266" s="615"/>
      <c r="AE266" s="615"/>
      <c r="AF266" s="615"/>
      <c r="AG266" s="615"/>
      <c r="AH266" s="615"/>
      <c r="AI266" s="615"/>
      <c r="AJ266" s="615"/>
      <c r="AK266" s="615"/>
      <c r="AL266" s="615"/>
      <c r="AM266" s="615"/>
      <c r="AN266" s="615"/>
      <c r="AO266" s="615"/>
      <c r="AP266" s="615"/>
      <c r="AQ266" s="615"/>
      <c r="AR266" s="615"/>
      <c r="AS266" s="615"/>
    </row>
    <row r="267" spans="12:45">
      <c r="L267" s="615"/>
      <c r="M267" s="615"/>
      <c r="AB267" s="615"/>
      <c r="AC267" s="615"/>
      <c r="AD267" s="615"/>
      <c r="AE267" s="615"/>
      <c r="AF267" s="615"/>
      <c r="AG267" s="615"/>
      <c r="AH267" s="615"/>
      <c r="AI267" s="615"/>
      <c r="AJ267" s="615"/>
      <c r="AK267" s="615"/>
      <c r="AL267" s="615"/>
      <c r="AM267" s="615"/>
      <c r="AN267" s="615"/>
      <c r="AO267" s="615"/>
      <c r="AP267" s="615"/>
      <c r="AQ267" s="615"/>
      <c r="AR267" s="615"/>
      <c r="AS267" s="615"/>
    </row>
    <row r="268" spans="12:45">
      <c r="L268" s="615"/>
      <c r="M268" s="615"/>
      <c r="AB268" s="615"/>
      <c r="AC268" s="615"/>
      <c r="AD268" s="615"/>
      <c r="AE268" s="615"/>
      <c r="AF268" s="615"/>
      <c r="AG268" s="615"/>
      <c r="AH268" s="615"/>
      <c r="AI268" s="615"/>
      <c r="AJ268" s="615"/>
      <c r="AK268" s="615"/>
      <c r="AL268" s="615"/>
      <c r="AM268" s="615"/>
      <c r="AN268" s="615"/>
      <c r="AO268" s="615"/>
      <c r="AP268" s="615"/>
      <c r="AQ268" s="615"/>
      <c r="AR268" s="615"/>
      <c r="AS268" s="615"/>
    </row>
    <row r="269" spans="12:45">
      <c r="L269" s="615"/>
      <c r="M269" s="615"/>
      <c r="AB269" s="615"/>
      <c r="AC269" s="615"/>
      <c r="AD269" s="615"/>
      <c r="AE269" s="615"/>
      <c r="AF269" s="615"/>
      <c r="AG269" s="615"/>
      <c r="AH269" s="615"/>
      <c r="AI269" s="615"/>
      <c r="AJ269" s="615"/>
      <c r="AK269" s="615"/>
      <c r="AL269" s="615"/>
      <c r="AM269" s="615"/>
      <c r="AN269" s="615"/>
      <c r="AO269" s="615"/>
      <c r="AP269" s="615"/>
      <c r="AQ269" s="615"/>
      <c r="AR269" s="615"/>
      <c r="AS269" s="615"/>
    </row>
    <row r="270" spans="12:45">
      <c r="L270" s="615"/>
      <c r="M270" s="615"/>
      <c r="AB270" s="615"/>
      <c r="AC270" s="615"/>
      <c r="AD270" s="615"/>
      <c r="AE270" s="615"/>
      <c r="AF270" s="615"/>
      <c r="AG270" s="615"/>
      <c r="AH270" s="615"/>
      <c r="AI270" s="615"/>
      <c r="AJ270" s="615"/>
      <c r="AK270" s="615"/>
      <c r="AL270" s="615"/>
      <c r="AM270" s="615"/>
      <c r="AN270" s="615"/>
      <c r="AO270" s="615"/>
      <c r="AP270" s="615"/>
      <c r="AQ270" s="615"/>
      <c r="AR270" s="615"/>
      <c r="AS270" s="615"/>
    </row>
    <row r="271" spans="12:45">
      <c r="L271" s="615"/>
      <c r="M271" s="615"/>
      <c r="AB271" s="615"/>
      <c r="AC271" s="615"/>
      <c r="AD271" s="615"/>
      <c r="AE271" s="615"/>
      <c r="AF271" s="615"/>
      <c r="AG271" s="615"/>
      <c r="AH271" s="615"/>
      <c r="AI271" s="615"/>
      <c r="AJ271" s="615"/>
      <c r="AK271" s="615"/>
      <c r="AL271" s="615"/>
      <c r="AM271" s="615"/>
      <c r="AN271" s="615"/>
      <c r="AO271" s="615"/>
      <c r="AP271" s="615"/>
      <c r="AQ271" s="615"/>
      <c r="AR271" s="615"/>
      <c r="AS271" s="615"/>
    </row>
    <row r="272" spans="12:45">
      <c r="L272" s="615"/>
      <c r="M272" s="615"/>
      <c r="AB272" s="615"/>
      <c r="AC272" s="615"/>
      <c r="AD272" s="615"/>
      <c r="AE272" s="615"/>
      <c r="AF272" s="615"/>
      <c r="AG272" s="615"/>
      <c r="AH272" s="615"/>
      <c r="AI272" s="615"/>
      <c r="AJ272" s="615"/>
      <c r="AK272" s="615"/>
      <c r="AL272" s="615"/>
      <c r="AM272" s="615"/>
      <c r="AN272" s="615"/>
      <c r="AO272" s="615"/>
      <c r="AP272" s="615"/>
      <c r="AQ272" s="615"/>
      <c r="AR272" s="615"/>
      <c r="AS272" s="615"/>
    </row>
    <row r="273" spans="12:45">
      <c r="L273" s="615"/>
      <c r="M273" s="615"/>
      <c r="AB273" s="615"/>
      <c r="AC273" s="615"/>
      <c r="AD273" s="615"/>
      <c r="AE273" s="615"/>
      <c r="AF273" s="615"/>
      <c r="AG273" s="615"/>
      <c r="AH273" s="615"/>
      <c r="AI273" s="615"/>
      <c r="AJ273" s="615"/>
      <c r="AK273" s="615"/>
      <c r="AL273" s="615"/>
      <c r="AM273" s="615"/>
      <c r="AN273" s="615"/>
      <c r="AO273" s="615"/>
      <c r="AP273" s="615"/>
      <c r="AQ273" s="615"/>
      <c r="AR273" s="615"/>
      <c r="AS273" s="615"/>
    </row>
    <row r="274" spans="12:45">
      <c r="L274" s="615"/>
      <c r="M274" s="615"/>
      <c r="AB274" s="615"/>
      <c r="AC274" s="615"/>
      <c r="AD274" s="615"/>
      <c r="AE274" s="615"/>
      <c r="AF274" s="615"/>
      <c r="AG274" s="615"/>
      <c r="AH274" s="615"/>
      <c r="AI274" s="615"/>
      <c r="AJ274" s="615"/>
      <c r="AK274" s="615"/>
      <c r="AL274" s="615"/>
      <c r="AM274" s="615"/>
      <c r="AN274" s="615"/>
      <c r="AO274" s="615"/>
      <c r="AP274" s="615"/>
      <c r="AQ274" s="615"/>
      <c r="AR274" s="615"/>
      <c r="AS274" s="615"/>
    </row>
    <row r="275" spans="12:45">
      <c r="L275" s="615"/>
      <c r="M275" s="615"/>
      <c r="AB275" s="615"/>
      <c r="AC275" s="615"/>
      <c r="AD275" s="615"/>
      <c r="AE275" s="615"/>
      <c r="AF275" s="615"/>
      <c r="AG275" s="615"/>
      <c r="AH275" s="615"/>
      <c r="AI275" s="615"/>
      <c r="AJ275" s="615"/>
      <c r="AK275" s="615"/>
      <c r="AL275" s="615"/>
      <c r="AM275" s="615"/>
      <c r="AN275" s="615"/>
      <c r="AO275" s="615"/>
      <c r="AP275" s="615"/>
      <c r="AQ275" s="615"/>
      <c r="AR275" s="615"/>
      <c r="AS275" s="615"/>
    </row>
    <row r="276" spans="12:45">
      <c r="L276" s="615"/>
      <c r="M276" s="615"/>
      <c r="AB276" s="615"/>
      <c r="AC276" s="615"/>
      <c r="AD276" s="615"/>
      <c r="AE276" s="615"/>
      <c r="AF276" s="615"/>
      <c r="AG276" s="615"/>
      <c r="AH276" s="615"/>
      <c r="AI276" s="615"/>
      <c r="AJ276" s="615"/>
      <c r="AK276" s="615"/>
      <c r="AL276" s="615"/>
      <c r="AM276" s="615"/>
      <c r="AN276" s="615"/>
      <c r="AO276" s="615"/>
      <c r="AP276" s="615"/>
      <c r="AQ276" s="615"/>
      <c r="AR276" s="615"/>
      <c r="AS276" s="615"/>
    </row>
    <row r="277" spans="12:45">
      <c r="L277" s="615"/>
      <c r="M277" s="615"/>
      <c r="AB277" s="615"/>
      <c r="AC277" s="615"/>
      <c r="AD277" s="615"/>
      <c r="AE277" s="615"/>
      <c r="AF277" s="615"/>
      <c r="AG277" s="615"/>
      <c r="AH277" s="615"/>
      <c r="AI277" s="615"/>
      <c r="AJ277" s="615"/>
      <c r="AK277" s="615"/>
      <c r="AL277" s="615"/>
      <c r="AM277" s="615"/>
      <c r="AN277" s="615"/>
      <c r="AO277" s="615"/>
      <c r="AP277" s="615"/>
      <c r="AQ277" s="615"/>
      <c r="AR277" s="615"/>
      <c r="AS277" s="615"/>
    </row>
    <row r="278" spans="12:45">
      <c r="L278" s="615"/>
      <c r="M278" s="615"/>
      <c r="AB278" s="615"/>
      <c r="AC278" s="615"/>
      <c r="AD278" s="615"/>
      <c r="AE278" s="615"/>
      <c r="AF278" s="615"/>
      <c r="AG278" s="615"/>
      <c r="AH278" s="615"/>
      <c r="AI278" s="615"/>
      <c r="AJ278" s="615"/>
      <c r="AK278" s="615"/>
      <c r="AL278" s="615"/>
      <c r="AM278" s="615"/>
      <c r="AN278" s="615"/>
      <c r="AO278" s="615"/>
      <c r="AP278" s="615"/>
      <c r="AQ278" s="615"/>
      <c r="AR278" s="615"/>
      <c r="AS278" s="615"/>
    </row>
    <row r="279" spans="12:45">
      <c r="L279" s="615"/>
      <c r="M279" s="615"/>
      <c r="AB279" s="615"/>
      <c r="AC279" s="615"/>
      <c r="AD279" s="615"/>
      <c r="AE279" s="615"/>
      <c r="AF279" s="615"/>
      <c r="AG279" s="615"/>
      <c r="AH279" s="615"/>
      <c r="AI279" s="615"/>
      <c r="AJ279" s="615"/>
      <c r="AK279" s="615"/>
      <c r="AL279" s="615"/>
      <c r="AM279" s="615"/>
      <c r="AN279" s="615"/>
      <c r="AO279" s="615"/>
      <c r="AP279" s="615"/>
      <c r="AQ279" s="615"/>
      <c r="AR279" s="615"/>
      <c r="AS279" s="615"/>
    </row>
    <row r="280" spans="12:45">
      <c r="L280" s="615"/>
      <c r="M280" s="615"/>
      <c r="AB280" s="615"/>
      <c r="AC280" s="615"/>
      <c r="AD280" s="615"/>
      <c r="AE280" s="615"/>
      <c r="AF280" s="615"/>
      <c r="AG280" s="615"/>
      <c r="AH280" s="615"/>
      <c r="AI280" s="615"/>
      <c r="AJ280" s="615"/>
      <c r="AK280" s="615"/>
      <c r="AL280" s="615"/>
      <c r="AM280" s="615"/>
      <c r="AN280" s="615"/>
      <c r="AO280" s="615"/>
      <c r="AP280" s="615"/>
      <c r="AQ280" s="615"/>
      <c r="AR280" s="615"/>
      <c r="AS280" s="615"/>
    </row>
    <row r="281" spans="12:45">
      <c r="L281" s="615"/>
      <c r="M281" s="615"/>
      <c r="AB281" s="615"/>
      <c r="AC281" s="615"/>
      <c r="AD281" s="615"/>
      <c r="AE281" s="615"/>
      <c r="AF281" s="615"/>
      <c r="AG281" s="615"/>
      <c r="AH281" s="615"/>
      <c r="AI281" s="615"/>
      <c r="AJ281" s="615"/>
      <c r="AK281" s="615"/>
      <c r="AL281" s="615"/>
      <c r="AM281" s="615"/>
      <c r="AN281" s="615"/>
      <c r="AO281" s="615"/>
      <c r="AP281" s="615"/>
      <c r="AQ281" s="615"/>
      <c r="AR281" s="615"/>
      <c r="AS281" s="615"/>
    </row>
    <row r="282" spans="12:45">
      <c r="L282" s="615"/>
      <c r="M282" s="615"/>
      <c r="AB282" s="615"/>
      <c r="AC282" s="615"/>
      <c r="AD282" s="615"/>
      <c r="AE282" s="615"/>
      <c r="AF282" s="615"/>
      <c r="AG282" s="615"/>
      <c r="AH282" s="615"/>
      <c r="AI282" s="615"/>
      <c r="AJ282" s="615"/>
      <c r="AK282" s="615"/>
      <c r="AL282" s="615"/>
      <c r="AM282" s="615"/>
      <c r="AN282" s="615"/>
      <c r="AO282" s="615"/>
      <c r="AP282" s="615"/>
      <c r="AQ282" s="615"/>
      <c r="AR282" s="615"/>
      <c r="AS282" s="615"/>
    </row>
    <row r="283" spans="12:45">
      <c r="L283" s="615"/>
      <c r="M283" s="615"/>
      <c r="AB283" s="615"/>
      <c r="AC283" s="615"/>
      <c r="AD283" s="615"/>
      <c r="AE283" s="615"/>
      <c r="AF283" s="615"/>
      <c r="AG283" s="615"/>
      <c r="AH283" s="615"/>
      <c r="AI283" s="615"/>
      <c r="AJ283" s="615"/>
      <c r="AK283" s="615"/>
      <c r="AL283" s="615"/>
      <c r="AM283" s="615"/>
      <c r="AN283" s="615"/>
      <c r="AO283" s="615"/>
      <c r="AP283" s="615"/>
      <c r="AQ283" s="615"/>
      <c r="AR283" s="615"/>
      <c r="AS283" s="615"/>
    </row>
    <row r="284" spans="12:45">
      <c r="L284" s="615"/>
      <c r="M284" s="615"/>
      <c r="AB284" s="615"/>
      <c r="AC284" s="615"/>
      <c r="AD284" s="615"/>
      <c r="AE284" s="615"/>
      <c r="AF284" s="615"/>
      <c r="AG284" s="615"/>
      <c r="AH284" s="615"/>
      <c r="AI284" s="615"/>
      <c r="AJ284" s="615"/>
      <c r="AK284" s="615"/>
      <c r="AL284" s="615"/>
      <c r="AM284" s="615"/>
      <c r="AN284" s="615"/>
      <c r="AO284" s="615"/>
      <c r="AP284" s="615"/>
      <c r="AQ284" s="615"/>
      <c r="AR284" s="615"/>
      <c r="AS284" s="615"/>
    </row>
    <row r="285" spans="12:45">
      <c r="L285" s="615"/>
      <c r="M285" s="615"/>
      <c r="AB285" s="615"/>
      <c r="AC285" s="615"/>
      <c r="AD285" s="615"/>
      <c r="AE285" s="615"/>
      <c r="AF285" s="615"/>
      <c r="AG285" s="615"/>
      <c r="AH285" s="615"/>
      <c r="AI285" s="615"/>
      <c r="AJ285" s="615"/>
      <c r="AK285" s="615"/>
      <c r="AL285" s="615"/>
      <c r="AM285" s="615"/>
      <c r="AN285" s="615"/>
      <c r="AO285" s="615"/>
      <c r="AP285" s="615"/>
      <c r="AQ285" s="615"/>
      <c r="AR285" s="615"/>
      <c r="AS285" s="615"/>
    </row>
    <row r="286" spans="12:45">
      <c r="L286" s="615"/>
      <c r="M286" s="615"/>
      <c r="AB286" s="615"/>
      <c r="AC286" s="615"/>
      <c r="AD286" s="615"/>
      <c r="AE286" s="615"/>
      <c r="AF286" s="615"/>
      <c r="AG286" s="615"/>
      <c r="AH286" s="615"/>
      <c r="AI286" s="615"/>
      <c r="AJ286" s="615"/>
      <c r="AK286" s="615"/>
      <c r="AL286" s="615"/>
      <c r="AM286" s="615"/>
      <c r="AN286" s="615"/>
      <c r="AO286" s="615"/>
      <c r="AP286" s="615"/>
      <c r="AQ286" s="615"/>
      <c r="AR286" s="615"/>
      <c r="AS286" s="615"/>
    </row>
    <row r="287" spans="12:45">
      <c r="L287" s="615"/>
      <c r="M287" s="615"/>
      <c r="AB287" s="615"/>
      <c r="AC287" s="615"/>
      <c r="AD287" s="615"/>
      <c r="AE287" s="615"/>
      <c r="AF287" s="615"/>
      <c r="AG287" s="615"/>
      <c r="AH287" s="615"/>
      <c r="AI287" s="615"/>
      <c r="AJ287" s="615"/>
      <c r="AK287" s="615"/>
      <c r="AL287" s="615"/>
      <c r="AM287" s="615"/>
      <c r="AN287" s="615"/>
      <c r="AO287" s="615"/>
      <c r="AP287" s="615"/>
      <c r="AQ287" s="615"/>
      <c r="AR287" s="615"/>
      <c r="AS287" s="615"/>
    </row>
    <row r="288" spans="12:45">
      <c r="L288" s="615"/>
      <c r="M288" s="615"/>
      <c r="AB288" s="615"/>
      <c r="AC288" s="615"/>
      <c r="AD288" s="615"/>
      <c r="AE288" s="615"/>
      <c r="AF288" s="615"/>
      <c r="AG288" s="615"/>
      <c r="AH288" s="615"/>
      <c r="AI288" s="615"/>
      <c r="AJ288" s="615"/>
      <c r="AK288" s="615"/>
      <c r="AL288" s="615"/>
      <c r="AM288" s="615"/>
      <c r="AN288" s="615"/>
      <c r="AO288" s="615"/>
      <c r="AP288" s="615"/>
      <c r="AQ288" s="615"/>
      <c r="AR288" s="615"/>
      <c r="AS288" s="615"/>
    </row>
    <row r="289" spans="12:45">
      <c r="L289" s="615"/>
      <c r="M289" s="615"/>
      <c r="AB289" s="615"/>
      <c r="AC289" s="615"/>
      <c r="AD289" s="615"/>
      <c r="AE289" s="615"/>
      <c r="AF289" s="615"/>
      <c r="AG289" s="615"/>
      <c r="AH289" s="615"/>
      <c r="AI289" s="615"/>
      <c r="AJ289" s="615"/>
      <c r="AK289" s="615"/>
      <c r="AL289" s="615"/>
      <c r="AM289" s="615"/>
      <c r="AN289" s="615"/>
      <c r="AO289" s="615"/>
      <c r="AP289" s="615"/>
      <c r="AQ289" s="615"/>
      <c r="AR289" s="615"/>
      <c r="AS289" s="615"/>
    </row>
    <row r="290" spans="12:45">
      <c r="L290" s="615"/>
      <c r="M290" s="615"/>
      <c r="AB290" s="615"/>
      <c r="AC290" s="615"/>
      <c r="AD290" s="615"/>
      <c r="AE290" s="615"/>
      <c r="AF290" s="615"/>
      <c r="AG290" s="615"/>
      <c r="AH290" s="615"/>
      <c r="AI290" s="615"/>
      <c r="AJ290" s="615"/>
      <c r="AK290" s="615"/>
      <c r="AL290" s="615"/>
      <c r="AM290" s="615"/>
      <c r="AN290" s="615"/>
      <c r="AO290" s="615"/>
      <c r="AP290" s="615"/>
      <c r="AQ290" s="615"/>
      <c r="AR290" s="615"/>
      <c r="AS290" s="615"/>
    </row>
    <row r="291" spans="12:45">
      <c r="L291" s="615"/>
      <c r="M291" s="615"/>
      <c r="AB291" s="615"/>
      <c r="AC291" s="615"/>
      <c r="AD291" s="615"/>
      <c r="AE291" s="615"/>
      <c r="AF291" s="615"/>
      <c r="AG291" s="615"/>
      <c r="AH291" s="615"/>
      <c r="AI291" s="615"/>
      <c r="AJ291" s="615"/>
      <c r="AK291" s="615"/>
      <c r="AL291" s="615"/>
      <c r="AM291" s="615"/>
      <c r="AN291" s="615"/>
      <c r="AO291" s="615"/>
      <c r="AP291" s="615"/>
      <c r="AQ291" s="615"/>
      <c r="AR291" s="615"/>
      <c r="AS291" s="615"/>
    </row>
    <row r="292" spans="12:45">
      <c r="L292" s="615"/>
      <c r="M292" s="615"/>
      <c r="AB292" s="615"/>
      <c r="AC292" s="615"/>
      <c r="AD292" s="615"/>
      <c r="AE292" s="615"/>
      <c r="AF292" s="615"/>
      <c r="AG292" s="615"/>
      <c r="AH292" s="615"/>
      <c r="AI292" s="615"/>
      <c r="AJ292" s="615"/>
      <c r="AK292" s="615"/>
      <c r="AL292" s="615"/>
      <c r="AM292" s="615"/>
      <c r="AN292" s="615"/>
      <c r="AO292" s="615"/>
      <c r="AP292" s="615"/>
      <c r="AQ292" s="615"/>
      <c r="AR292" s="615"/>
      <c r="AS292" s="615"/>
    </row>
    <row r="293" spans="12:45">
      <c r="L293" s="615"/>
      <c r="M293" s="615"/>
      <c r="AB293" s="615"/>
      <c r="AC293" s="615"/>
      <c r="AD293" s="615"/>
      <c r="AE293" s="615"/>
      <c r="AF293" s="615"/>
      <c r="AG293" s="615"/>
      <c r="AH293" s="615"/>
      <c r="AI293" s="615"/>
      <c r="AJ293" s="615"/>
      <c r="AK293" s="615"/>
      <c r="AL293" s="615"/>
      <c r="AM293" s="615"/>
      <c r="AN293" s="615"/>
      <c r="AO293" s="615"/>
      <c r="AP293" s="615"/>
      <c r="AQ293" s="615"/>
      <c r="AR293" s="615"/>
      <c r="AS293" s="615"/>
    </row>
    <row r="294" spans="12:45">
      <c r="L294" s="615"/>
      <c r="M294" s="615"/>
      <c r="AB294" s="615"/>
      <c r="AC294" s="615"/>
      <c r="AD294" s="615"/>
      <c r="AE294" s="615"/>
      <c r="AF294" s="615"/>
      <c r="AG294" s="615"/>
      <c r="AH294" s="615"/>
      <c r="AI294" s="615"/>
      <c r="AJ294" s="615"/>
      <c r="AK294" s="615"/>
      <c r="AL294" s="615"/>
      <c r="AM294" s="615"/>
      <c r="AN294" s="615"/>
      <c r="AO294" s="615"/>
      <c r="AP294" s="615"/>
      <c r="AQ294" s="615"/>
      <c r="AR294" s="615"/>
      <c r="AS294" s="615"/>
    </row>
    <row r="295" spans="12:45">
      <c r="L295" s="615"/>
      <c r="M295" s="615"/>
      <c r="AB295" s="615"/>
      <c r="AC295" s="615"/>
      <c r="AD295" s="615"/>
      <c r="AE295" s="615"/>
      <c r="AF295" s="615"/>
      <c r="AG295" s="615"/>
      <c r="AH295" s="615"/>
      <c r="AI295" s="615"/>
      <c r="AJ295" s="615"/>
      <c r="AK295" s="615"/>
      <c r="AL295" s="615"/>
      <c r="AM295" s="615"/>
      <c r="AN295" s="615"/>
      <c r="AO295" s="615"/>
      <c r="AP295" s="615"/>
      <c r="AQ295" s="615"/>
      <c r="AR295" s="615"/>
      <c r="AS295" s="615"/>
    </row>
    <row r="296" spans="12:45">
      <c r="L296" s="615"/>
      <c r="M296" s="615"/>
      <c r="AB296" s="615"/>
      <c r="AC296" s="615"/>
      <c r="AD296" s="615"/>
      <c r="AE296" s="615"/>
      <c r="AF296" s="615"/>
      <c r="AG296" s="615"/>
      <c r="AH296" s="615"/>
      <c r="AI296" s="615"/>
      <c r="AJ296" s="615"/>
      <c r="AK296" s="615"/>
      <c r="AL296" s="615"/>
      <c r="AM296" s="615"/>
      <c r="AN296" s="615"/>
      <c r="AO296" s="615"/>
      <c r="AP296" s="615"/>
      <c r="AQ296" s="615"/>
      <c r="AR296" s="615"/>
      <c r="AS296" s="615"/>
    </row>
    <row r="297" spans="12:45">
      <c r="L297" s="615"/>
      <c r="M297" s="615"/>
      <c r="AB297" s="615"/>
      <c r="AC297" s="615"/>
      <c r="AD297" s="615"/>
      <c r="AE297" s="615"/>
      <c r="AF297" s="615"/>
      <c r="AG297" s="615"/>
      <c r="AH297" s="615"/>
      <c r="AI297" s="615"/>
      <c r="AJ297" s="615"/>
      <c r="AK297" s="615"/>
      <c r="AL297" s="615"/>
      <c r="AM297" s="615"/>
      <c r="AN297" s="615"/>
      <c r="AO297" s="615"/>
      <c r="AP297" s="615"/>
      <c r="AQ297" s="615"/>
      <c r="AR297" s="615"/>
      <c r="AS297" s="615"/>
    </row>
    <row r="298" spans="12:45">
      <c r="L298" s="615"/>
      <c r="M298" s="615"/>
      <c r="AB298" s="615"/>
      <c r="AC298" s="615"/>
      <c r="AD298" s="615"/>
      <c r="AE298" s="615"/>
      <c r="AF298" s="615"/>
      <c r="AG298" s="615"/>
      <c r="AH298" s="615"/>
      <c r="AI298" s="615"/>
      <c r="AJ298" s="615"/>
      <c r="AK298" s="615"/>
      <c r="AL298" s="615"/>
      <c r="AM298" s="615"/>
      <c r="AN298" s="615"/>
      <c r="AO298" s="615"/>
      <c r="AP298" s="615"/>
      <c r="AQ298" s="615"/>
      <c r="AR298" s="615"/>
      <c r="AS298" s="615"/>
    </row>
    <row r="299" spans="12:45">
      <c r="L299" s="615"/>
      <c r="M299" s="615"/>
      <c r="AB299" s="615"/>
      <c r="AC299" s="615"/>
      <c r="AD299" s="615"/>
      <c r="AE299" s="615"/>
      <c r="AF299" s="615"/>
      <c r="AG299" s="615"/>
      <c r="AH299" s="615"/>
      <c r="AI299" s="615"/>
      <c r="AJ299" s="615"/>
      <c r="AK299" s="615"/>
      <c r="AL299" s="615"/>
      <c r="AM299" s="615"/>
      <c r="AN299" s="615"/>
      <c r="AO299" s="615"/>
      <c r="AP299" s="615"/>
      <c r="AQ299" s="615"/>
      <c r="AR299" s="615"/>
      <c r="AS299" s="615"/>
    </row>
    <row r="300" spans="12:45">
      <c r="L300" s="615"/>
      <c r="M300" s="615"/>
      <c r="AB300" s="615"/>
      <c r="AC300" s="615"/>
      <c r="AD300" s="615"/>
      <c r="AE300" s="615"/>
      <c r="AF300" s="615"/>
      <c r="AG300" s="615"/>
      <c r="AH300" s="615"/>
      <c r="AI300" s="615"/>
      <c r="AJ300" s="615"/>
      <c r="AK300" s="615"/>
      <c r="AL300" s="615"/>
      <c r="AM300" s="615"/>
      <c r="AN300" s="615"/>
      <c r="AO300" s="615"/>
      <c r="AP300" s="615"/>
      <c r="AQ300" s="615"/>
      <c r="AR300" s="615"/>
      <c r="AS300" s="615"/>
    </row>
    <row r="301" spans="12:45">
      <c r="L301" s="615"/>
      <c r="M301" s="615"/>
      <c r="AB301" s="615"/>
      <c r="AC301" s="615"/>
      <c r="AD301" s="615"/>
      <c r="AE301" s="615"/>
      <c r="AF301" s="615"/>
      <c r="AG301" s="615"/>
      <c r="AH301" s="615"/>
      <c r="AI301" s="615"/>
      <c r="AJ301" s="615"/>
      <c r="AK301" s="615"/>
      <c r="AL301" s="615"/>
      <c r="AM301" s="615"/>
      <c r="AN301" s="615"/>
      <c r="AO301" s="615"/>
      <c r="AP301" s="615"/>
      <c r="AQ301" s="615"/>
      <c r="AR301" s="615"/>
      <c r="AS301" s="615"/>
    </row>
    <row r="302" spans="12:45">
      <c r="L302" s="615"/>
      <c r="M302" s="615"/>
      <c r="AB302" s="615"/>
      <c r="AC302" s="615"/>
      <c r="AD302" s="615"/>
      <c r="AE302" s="615"/>
      <c r="AF302" s="615"/>
      <c r="AG302" s="615"/>
      <c r="AH302" s="615"/>
      <c r="AI302" s="615"/>
      <c r="AJ302" s="615"/>
      <c r="AK302" s="615"/>
      <c r="AL302" s="615"/>
      <c r="AM302" s="615"/>
      <c r="AN302" s="615"/>
      <c r="AO302" s="615"/>
      <c r="AP302" s="615"/>
      <c r="AQ302" s="615"/>
      <c r="AR302" s="615"/>
      <c r="AS302" s="615"/>
    </row>
    <row r="303" spans="12:45">
      <c r="L303" s="615"/>
      <c r="M303" s="615"/>
      <c r="AB303" s="615"/>
      <c r="AC303" s="615"/>
      <c r="AD303" s="615"/>
      <c r="AE303" s="615"/>
      <c r="AF303" s="615"/>
      <c r="AG303" s="615"/>
      <c r="AH303" s="615"/>
      <c r="AI303" s="615"/>
      <c r="AJ303" s="615"/>
      <c r="AK303" s="615"/>
      <c r="AL303" s="615"/>
      <c r="AM303" s="615"/>
      <c r="AN303" s="615"/>
      <c r="AO303" s="615"/>
      <c r="AP303" s="615"/>
      <c r="AQ303" s="615"/>
      <c r="AR303" s="615"/>
      <c r="AS303" s="615"/>
    </row>
    <row r="304" spans="12:45">
      <c r="L304" s="615"/>
      <c r="M304" s="615"/>
      <c r="AB304" s="615"/>
      <c r="AC304" s="615"/>
      <c r="AD304" s="615"/>
      <c r="AE304" s="615"/>
      <c r="AF304" s="615"/>
      <c r="AG304" s="615"/>
      <c r="AH304" s="615"/>
      <c r="AI304" s="615"/>
      <c r="AJ304" s="615"/>
      <c r="AK304" s="615"/>
      <c r="AL304" s="615"/>
      <c r="AM304" s="615"/>
      <c r="AN304" s="615"/>
      <c r="AO304" s="615"/>
      <c r="AP304" s="615"/>
      <c r="AQ304" s="615"/>
      <c r="AR304" s="615"/>
      <c r="AS304" s="615"/>
    </row>
    <row r="305" spans="12:45">
      <c r="L305" s="615"/>
      <c r="M305" s="615"/>
      <c r="AB305" s="615"/>
      <c r="AC305" s="615"/>
      <c r="AD305" s="615"/>
      <c r="AE305" s="615"/>
      <c r="AF305" s="615"/>
      <c r="AG305" s="615"/>
      <c r="AH305" s="615"/>
      <c r="AI305" s="615"/>
      <c r="AJ305" s="615"/>
      <c r="AK305" s="615"/>
      <c r="AL305" s="615"/>
      <c r="AM305" s="615"/>
      <c r="AN305" s="615"/>
      <c r="AO305" s="615"/>
      <c r="AP305" s="615"/>
      <c r="AQ305" s="615"/>
      <c r="AR305" s="615"/>
      <c r="AS305" s="615"/>
    </row>
    <row r="306" spans="12:45">
      <c r="L306" s="615"/>
      <c r="M306" s="615"/>
      <c r="AB306" s="615"/>
      <c r="AC306" s="615"/>
      <c r="AD306" s="615"/>
      <c r="AE306" s="615"/>
      <c r="AF306" s="615"/>
      <c r="AG306" s="615"/>
      <c r="AH306" s="615"/>
      <c r="AI306" s="615"/>
      <c r="AJ306" s="615"/>
      <c r="AK306" s="615"/>
      <c r="AL306" s="615"/>
      <c r="AM306" s="615"/>
      <c r="AN306" s="615"/>
      <c r="AO306" s="615"/>
      <c r="AP306" s="615"/>
      <c r="AQ306" s="615"/>
      <c r="AR306" s="615"/>
      <c r="AS306" s="615"/>
    </row>
    <row r="307" spans="12:45">
      <c r="L307" s="615"/>
      <c r="M307" s="615"/>
      <c r="AB307" s="615"/>
      <c r="AC307" s="615"/>
      <c r="AD307" s="615"/>
      <c r="AE307" s="615"/>
      <c r="AF307" s="615"/>
      <c r="AG307" s="615"/>
      <c r="AH307" s="615"/>
      <c r="AI307" s="615"/>
      <c r="AJ307" s="615"/>
      <c r="AK307" s="615"/>
      <c r="AL307" s="615"/>
      <c r="AM307" s="615"/>
      <c r="AN307" s="615"/>
      <c r="AO307" s="615"/>
      <c r="AP307" s="615"/>
      <c r="AQ307" s="615"/>
      <c r="AR307" s="615"/>
      <c r="AS307" s="615"/>
    </row>
    <row r="308" spans="12:45">
      <c r="L308" s="615"/>
      <c r="M308" s="615"/>
      <c r="AB308" s="615"/>
      <c r="AC308" s="615"/>
      <c r="AD308" s="615"/>
      <c r="AE308" s="615"/>
      <c r="AF308" s="615"/>
      <c r="AG308" s="615"/>
      <c r="AH308" s="615"/>
      <c r="AI308" s="615"/>
      <c r="AJ308" s="615"/>
      <c r="AK308" s="615"/>
      <c r="AL308" s="615"/>
      <c r="AM308" s="615"/>
      <c r="AN308" s="615"/>
      <c r="AO308" s="615"/>
      <c r="AP308" s="615"/>
      <c r="AQ308" s="615"/>
      <c r="AR308" s="615"/>
      <c r="AS308" s="615"/>
    </row>
    <row r="309" spans="12:45">
      <c r="L309" s="615"/>
      <c r="M309" s="615"/>
      <c r="AB309" s="615"/>
      <c r="AC309" s="615"/>
      <c r="AD309" s="615"/>
      <c r="AE309" s="615"/>
      <c r="AF309" s="615"/>
      <c r="AG309" s="615"/>
      <c r="AH309" s="615"/>
      <c r="AI309" s="615"/>
      <c r="AJ309" s="615"/>
      <c r="AK309" s="615"/>
      <c r="AL309" s="615"/>
      <c r="AM309" s="615"/>
      <c r="AN309" s="615"/>
      <c r="AO309" s="615"/>
      <c r="AP309" s="615"/>
      <c r="AQ309" s="615"/>
      <c r="AR309" s="615"/>
      <c r="AS309" s="615"/>
    </row>
    <row r="310" spans="12:45">
      <c r="L310" s="615"/>
      <c r="M310" s="615"/>
      <c r="AB310" s="615"/>
      <c r="AC310" s="615"/>
      <c r="AD310" s="615"/>
      <c r="AE310" s="615"/>
      <c r="AF310" s="615"/>
      <c r="AG310" s="615"/>
      <c r="AH310" s="615"/>
      <c r="AI310" s="615"/>
      <c r="AJ310" s="615"/>
      <c r="AK310" s="615"/>
      <c r="AL310" s="615"/>
      <c r="AM310" s="615"/>
      <c r="AN310" s="615"/>
      <c r="AO310" s="615"/>
      <c r="AP310" s="615"/>
      <c r="AQ310" s="615"/>
      <c r="AR310" s="615"/>
      <c r="AS310" s="615"/>
    </row>
    <row r="311" spans="12:45">
      <c r="L311" s="615"/>
      <c r="M311" s="615"/>
      <c r="AB311" s="615"/>
      <c r="AC311" s="615"/>
      <c r="AD311" s="615"/>
      <c r="AE311" s="615"/>
      <c r="AF311" s="615"/>
      <c r="AG311" s="615"/>
      <c r="AH311" s="615"/>
      <c r="AI311" s="615"/>
      <c r="AJ311" s="615"/>
      <c r="AK311" s="615"/>
      <c r="AL311" s="615"/>
      <c r="AM311" s="615"/>
      <c r="AN311" s="615"/>
      <c r="AO311" s="615"/>
      <c r="AP311" s="615"/>
      <c r="AQ311" s="615"/>
      <c r="AR311" s="615"/>
      <c r="AS311" s="615"/>
    </row>
    <row r="312" spans="12:45">
      <c r="L312" s="615"/>
      <c r="M312" s="615"/>
      <c r="AB312" s="615"/>
      <c r="AC312" s="615"/>
      <c r="AD312" s="615"/>
      <c r="AE312" s="615"/>
      <c r="AF312" s="615"/>
      <c r="AG312" s="615"/>
      <c r="AH312" s="615"/>
      <c r="AI312" s="615"/>
      <c r="AJ312" s="615"/>
      <c r="AK312" s="615"/>
      <c r="AL312" s="615"/>
      <c r="AM312" s="615"/>
      <c r="AN312" s="615"/>
      <c r="AO312" s="615"/>
      <c r="AP312" s="615"/>
      <c r="AQ312" s="615"/>
      <c r="AR312" s="615"/>
      <c r="AS312" s="615"/>
    </row>
    <row r="313" spans="12:45">
      <c r="L313" s="615"/>
      <c r="M313" s="615"/>
      <c r="AD313" s="615"/>
      <c r="AE313" s="615"/>
      <c r="AF313" s="615"/>
      <c r="AG313" s="615"/>
      <c r="AH313" s="615"/>
      <c r="AI313" s="615"/>
      <c r="AJ313" s="615"/>
      <c r="AK313" s="615"/>
      <c r="AL313" s="615"/>
      <c r="AM313" s="615"/>
      <c r="AN313" s="615"/>
      <c r="AO313" s="615"/>
      <c r="AP313" s="615"/>
      <c r="AQ313" s="615"/>
      <c r="AR313" s="615"/>
      <c r="AS313" s="615"/>
    </row>
    <row r="314" spans="12:45">
      <c r="L314" s="615"/>
      <c r="M314" s="615"/>
      <c r="AD314" s="615"/>
      <c r="AE314" s="615"/>
      <c r="AF314" s="615"/>
      <c r="AG314" s="615"/>
      <c r="AH314" s="615"/>
      <c r="AI314" s="615"/>
      <c r="AJ314" s="615"/>
      <c r="AK314" s="615"/>
      <c r="AL314" s="615"/>
      <c r="AM314" s="615"/>
      <c r="AN314" s="615"/>
      <c r="AO314" s="615"/>
      <c r="AP314" s="615"/>
      <c r="AQ314" s="615"/>
      <c r="AR314" s="615"/>
      <c r="AS314" s="615"/>
    </row>
  </sheetData>
  <sheetProtection sheet="1" objects="1" scenarios="1"/>
  <mergeCells count="132">
    <mergeCell ref="O34:Q34"/>
    <mergeCell ref="S30:AA31"/>
    <mergeCell ref="A31:C31"/>
    <mergeCell ref="E31:H31"/>
    <mergeCell ref="L31:M31"/>
    <mergeCell ref="O32:Q32"/>
    <mergeCell ref="S32:AA33"/>
    <mergeCell ref="O33:Q33"/>
    <mergeCell ref="A29:M29"/>
    <mergeCell ref="O29:Q29"/>
    <mergeCell ref="A30:C30"/>
    <mergeCell ref="E30:H30"/>
    <mergeCell ref="L30:M30"/>
    <mergeCell ref="O30:Q30"/>
    <mergeCell ref="L22:M23"/>
    <mergeCell ref="O22:Q22"/>
    <mergeCell ref="O23:Q24"/>
    <mergeCell ref="A27:C27"/>
    <mergeCell ref="E27:H27"/>
    <mergeCell ref="L27:M27"/>
    <mergeCell ref="Q27:Q28"/>
    <mergeCell ref="S27:Y28"/>
    <mergeCell ref="A28:C28"/>
    <mergeCell ref="E28:H28"/>
    <mergeCell ref="L28:M28"/>
    <mergeCell ref="S23:AA25"/>
    <mergeCell ref="A24:A25"/>
    <mergeCell ref="B24:M25"/>
    <mergeCell ref="O25:Q25"/>
    <mergeCell ref="O26:Q26"/>
    <mergeCell ref="S26:AA26"/>
    <mergeCell ref="O17:Q17"/>
    <mergeCell ref="S17:AA19"/>
    <mergeCell ref="O18:Q18"/>
    <mergeCell ref="O19:Q19"/>
    <mergeCell ref="A20:A21"/>
    <mergeCell ref="B20:B21"/>
    <mergeCell ref="C20:C21"/>
    <mergeCell ref="J20:J21"/>
    <mergeCell ref="K20:K21"/>
    <mergeCell ref="L20:M21"/>
    <mergeCell ref="O20:Q20"/>
    <mergeCell ref="A18:A19"/>
    <mergeCell ref="B18:B19"/>
    <mergeCell ref="C18:C19"/>
    <mergeCell ref="J18:J19"/>
    <mergeCell ref="K18:K19"/>
    <mergeCell ref="L18:M19"/>
    <mergeCell ref="S20:AA22"/>
    <mergeCell ref="O21:Q21"/>
    <mergeCell ref="A22:A23"/>
    <mergeCell ref="B22:B23"/>
    <mergeCell ref="C22:C23"/>
    <mergeCell ref="J22:J23"/>
    <mergeCell ref="K22:K23"/>
    <mergeCell ref="O13:R13"/>
    <mergeCell ref="S13:U13"/>
    <mergeCell ref="W13:AA13"/>
    <mergeCell ref="A14:A15"/>
    <mergeCell ref="B14:B15"/>
    <mergeCell ref="C14:C15"/>
    <mergeCell ref="J14:J15"/>
    <mergeCell ref="K14:K15"/>
    <mergeCell ref="L14:M15"/>
    <mergeCell ref="O15:Q15"/>
    <mergeCell ref="A12:A13"/>
    <mergeCell ref="B12:B13"/>
    <mergeCell ref="C12:C13"/>
    <mergeCell ref="J12:J13"/>
    <mergeCell ref="K12:K13"/>
    <mergeCell ref="L12:M13"/>
    <mergeCell ref="S15:AA16"/>
    <mergeCell ref="A16:A17"/>
    <mergeCell ref="B16:B17"/>
    <mergeCell ref="C16:C17"/>
    <mergeCell ref="J16:J17"/>
    <mergeCell ref="K16:K17"/>
    <mergeCell ref="L16:M17"/>
    <mergeCell ref="O16:Q16"/>
    <mergeCell ref="O10:R10"/>
    <mergeCell ref="S10:U10"/>
    <mergeCell ref="W10:AA10"/>
    <mergeCell ref="O11:R11"/>
    <mergeCell ref="S11:U12"/>
    <mergeCell ref="W11:AA12"/>
    <mergeCell ref="O12:R12"/>
    <mergeCell ref="A10:A11"/>
    <mergeCell ref="B10:B11"/>
    <mergeCell ref="C10:C11"/>
    <mergeCell ref="J10:J11"/>
    <mergeCell ref="K10:K11"/>
    <mergeCell ref="L10:M11"/>
    <mergeCell ref="I8:I9"/>
    <mergeCell ref="J8:M8"/>
    <mergeCell ref="O8:R8"/>
    <mergeCell ref="S8:U8"/>
    <mergeCell ref="W8:AA8"/>
    <mergeCell ref="L9:M9"/>
    <mergeCell ref="O9:R9"/>
    <mergeCell ref="S9:U9"/>
    <mergeCell ref="W9:AA9"/>
    <mergeCell ref="A8:A9"/>
    <mergeCell ref="B8:B9"/>
    <mergeCell ref="C8:C9"/>
    <mergeCell ref="D8:E9"/>
    <mergeCell ref="F8:G9"/>
    <mergeCell ref="H8:H9"/>
    <mergeCell ref="A6:D6"/>
    <mergeCell ref="E6:F6"/>
    <mergeCell ref="G6:H6"/>
    <mergeCell ref="O2:T2"/>
    <mergeCell ref="A4:B4"/>
    <mergeCell ref="C4:E4"/>
    <mergeCell ref="I4:J4"/>
    <mergeCell ref="K4:L4"/>
    <mergeCell ref="B5:D5"/>
    <mergeCell ref="E5:G5"/>
    <mergeCell ref="H5:I5"/>
    <mergeCell ref="J5:L5"/>
    <mergeCell ref="C1:H1"/>
    <mergeCell ref="J1:K1"/>
    <mergeCell ref="L1:M1"/>
    <mergeCell ref="B2:G2"/>
    <mergeCell ref="H2:I2"/>
    <mergeCell ref="J2:M2"/>
    <mergeCell ref="I6:J6"/>
    <mergeCell ref="K6:L6"/>
    <mergeCell ref="A7:C7"/>
    <mergeCell ref="D7:E7"/>
    <mergeCell ref="F7:G7"/>
    <mergeCell ref="H7:J7"/>
    <mergeCell ref="K7:L7"/>
  </mergeCells>
  <dataValidations count="15">
    <dataValidation type="list" allowBlank="1" showInputMessage="1" prompt="If Mottle Color is entered, Redox Kind(s) needs to be completed." sqref="F10:F23" xr:uid="{159966E9-1B52-4713-9EF6-837A88FB57F5}">
      <formula1>Hue</formula1>
    </dataValidation>
    <dataValidation errorStyle="information" allowBlank="1" showInputMessage="1" showErrorMessage="1" error="Check type before proceeding" prompt="Depth of standing water if encountered" sqref="M7" xr:uid="{B1C21307-D4FC-4AA6-BF6F-DF29056C9A6A}"/>
    <dataValidation type="decimal" errorStyle="information" showDropDown="1" showInputMessage="1" showErrorMessage="1" errorTitle="Slope" error="Check slope value" prompt="Land Slope" sqref="G4" xr:uid="{112B5420-A01C-48C9-9E2F-E74CF922D478}">
      <formula1>0</formula1>
      <formula2>25</formula2>
    </dataValidation>
    <dataValidation type="list" allowBlank="1" sqref="I4" xr:uid="{43DF656C-D44D-4FE5-AA13-4301315FD52A}">
      <formula1>SlopeShape</formula1>
    </dataValidation>
    <dataValidation type="list" allowBlank="1" showInputMessage="1" prompt="Choose from the list or add your own description with texture" sqref="B22 B18 B10 B12 B14 B16 B20" xr:uid="{4D9F3541-CFC6-4DC8-9053-1BDBAA942863}">
      <formula1>SoilTexture7080</formula1>
    </dataValidation>
    <dataValidation type="list" allowBlank="1" sqref="L22 L20 L12 L14 L16 L18 L10:M11" xr:uid="{73F4B19F-400A-4F86-9D28-D74FEC16F127}">
      <formula1>StructureConsistence</formula1>
    </dataValidation>
    <dataValidation type="list" allowBlank="1" sqref="K22 K18 K10 K12 K14 K16 K20" xr:uid="{EFD5D41B-F6B5-44A7-8DBE-A2701FE04103}">
      <formula1>StructureGrade</formula1>
    </dataValidation>
    <dataValidation type="list" allowBlank="1" sqref="J22 J18 J10 J12 J14 J16 J20" xr:uid="{AD74E89B-86B9-4200-83C4-ED81F3B4AF70}">
      <formula1>StructureShape</formula1>
    </dataValidation>
    <dataValidation type="list" allowBlank="1" sqref="G10:G23 E10:E23" xr:uid="{9A2DE99E-9F34-4C18-B440-6DBFFFBCF495}">
      <formula1>ValueChroma</formula1>
    </dataValidation>
    <dataValidation type="list" allowBlank="1" sqref="D10:D23" xr:uid="{01564E96-2970-4B08-9967-13B35446D0C1}">
      <formula1>Hue</formula1>
    </dataValidation>
    <dataValidation type="list" allowBlank="1" showInputMessage="1" showErrorMessage="1" sqref="M4" xr:uid="{A4D72D12-8E80-49FD-9F83-5E5AEC3FAF21}">
      <formula1>YN</formula1>
    </dataValidation>
    <dataValidation allowBlank="1" showInputMessage="1" showErrorMessage="1" prompt="From Prelim Page" sqref="B2:G2 J2:M2 H5:I5" xr:uid="{80906E6F-A6C4-4E3A-84C3-315B7454EF00}"/>
    <dataValidation allowBlank="1" showInputMessage="1" showErrorMessage="1" prompt="Observation #" sqref="D7:E7" xr:uid="{9A752446-19FD-458F-A7F9-BE0E50D3ABE5}"/>
    <dataValidation allowBlank="1" showInputMessage="1" showErrorMessage="1" prompt="Location of observation" sqref="H7:J7" xr:uid="{48832BCC-D84B-49CE-859C-4F70D4C10EF0}"/>
    <dataValidation type="whole" errorStyle="information" allowBlank="1" showInputMessage="1" showErrorMessage="1" error="Enter Number not Range._x000a__x000a_If &gt;50% Rock Considered Bedrock - Zero Treatment Credit" promptTitle="Rock Fragment Percentage" prompt="Enter percentage number not a range._x000a_Reminder:_x000a_0-35% Rock = 100% Credit_x000a_35-50% Rock in Sand = 50% Credit_x000a_50+% Rock = 0% Credit" sqref="C10:C23" xr:uid="{E357E413-1A3D-4F70-96CA-23D20A0B20D6}">
      <formula1>0</formula1>
      <formula2>50</formula2>
    </dataValidation>
  </dataValidations>
  <printOptions horizontalCentered="1" verticalCentered="1"/>
  <pageMargins left="0.25" right="0.25" top="0.25" bottom="0.25" header="0" footer="0"/>
  <pageSetup fitToHeight="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553153" r:id="rId4" name="Check Box 1">
              <controlPr defaultSize="0" autoFill="0" autoLine="0" autoPict="0">
                <anchor moveWithCells="1" sizeWithCells="1">
                  <from>
                    <xdr:col>4</xdr:col>
                    <xdr:colOff>123825</xdr:colOff>
                    <xdr:row>2</xdr:row>
                    <xdr:rowOff>28575</xdr:rowOff>
                  </from>
                  <to>
                    <xdr:col>6</xdr:col>
                    <xdr:colOff>114300</xdr:colOff>
                    <xdr:row>2</xdr:row>
                    <xdr:rowOff>238125</xdr:rowOff>
                  </to>
                </anchor>
              </controlPr>
            </control>
          </mc:Choice>
        </mc:AlternateContent>
        <mc:AlternateContent xmlns:mc="http://schemas.openxmlformats.org/markup-compatibility/2006">
          <mc:Choice Requires="x14">
            <control shapeId="5553154" r:id="rId5" name="Check Box 2">
              <controlPr defaultSize="0" autoFill="0" autoLine="0" autoPict="0">
                <anchor moveWithCells="1" sizeWithCells="1">
                  <from>
                    <xdr:col>5</xdr:col>
                    <xdr:colOff>266700</xdr:colOff>
                    <xdr:row>2</xdr:row>
                    <xdr:rowOff>28575</xdr:rowOff>
                  </from>
                  <to>
                    <xdr:col>7</xdr:col>
                    <xdr:colOff>257175</xdr:colOff>
                    <xdr:row>2</xdr:row>
                    <xdr:rowOff>238125</xdr:rowOff>
                  </to>
                </anchor>
              </controlPr>
            </control>
          </mc:Choice>
        </mc:AlternateContent>
        <mc:AlternateContent xmlns:mc="http://schemas.openxmlformats.org/markup-compatibility/2006">
          <mc:Choice Requires="x14">
            <control shapeId="5553155" r:id="rId6" name="Check Box 3">
              <controlPr defaultSize="0" autoFill="0" autoLine="0" autoPict="0">
                <anchor moveWithCells="1" sizeWithCells="1">
                  <from>
                    <xdr:col>6</xdr:col>
                    <xdr:colOff>447675</xdr:colOff>
                    <xdr:row>2</xdr:row>
                    <xdr:rowOff>28575</xdr:rowOff>
                  </from>
                  <to>
                    <xdr:col>7</xdr:col>
                    <xdr:colOff>952500</xdr:colOff>
                    <xdr:row>2</xdr:row>
                    <xdr:rowOff>238125</xdr:rowOff>
                  </to>
                </anchor>
              </controlPr>
            </control>
          </mc:Choice>
        </mc:AlternateContent>
        <mc:AlternateContent xmlns:mc="http://schemas.openxmlformats.org/markup-compatibility/2006">
          <mc:Choice Requires="x14">
            <control shapeId="5553156" r:id="rId7" name="Check Box 4">
              <controlPr defaultSize="0" autoFill="0" autoLine="0" autoPict="0">
                <anchor moveWithCells="1" sizeWithCells="1">
                  <from>
                    <xdr:col>7</xdr:col>
                    <xdr:colOff>428625</xdr:colOff>
                    <xdr:row>2</xdr:row>
                    <xdr:rowOff>28575</xdr:rowOff>
                  </from>
                  <to>
                    <xdr:col>8</xdr:col>
                    <xdr:colOff>485775</xdr:colOff>
                    <xdr:row>2</xdr:row>
                    <xdr:rowOff>238125</xdr:rowOff>
                  </to>
                </anchor>
              </controlPr>
            </control>
          </mc:Choice>
        </mc:AlternateContent>
        <mc:AlternateContent xmlns:mc="http://schemas.openxmlformats.org/markup-compatibility/2006">
          <mc:Choice Requires="x14">
            <control shapeId="5553157" r:id="rId8" name="Check Box 5">
              <controlPr defaultSize="0" autoFill="0" autoLine="0" autoPict="0">
                <anchor moveWithCells="1" sizeWithCells="1">
                  <from>
                    <xdr:col>7</xdr:col>
                    <xdr:colOff>819150</xdr:colOff>
                    <xdr:row>2</xdr:row>
                    <xdr:rowOff>28575</xdr:rowOff>
                  </from>
                  <to>
                    <xdr:col>9</xdr:col>
                    <xdr:colOff>114300</xdr:colOff>
                    <xdr:row>2</xdr:row>
                    <xdr:rowOff>238125</xdr:rowOff>
                  </to>
                </anchor>
              </controlPr>
            </control>
          </mc:Choice>
        </mc:AlternateContent>
        <mc:AlternateContent xmlns:mc="http://schemas.openxmlformats.org/markup-compatibility/2006">
          <mc:Choice Requires="x14">
            <control shapeId="5553158" r:id="rId9" name="Check Box 6">
              <controlPr defaultSize="0" autoFill="0" autoLine="0" autoPict="0">
                <anchor moveWithCells="1" sizeWithCells="1">
                  <from>
                    <xdr:col>8</xdr:col>
                    <xdr:colOff>485775</xdr:colOff>
                    <xdr:row>2</xdr:row>
                    <xdr:rowOff>28575</xdr:rowOff>
                  </from>
                  <to>
                    <xdr:col>9</xdr:col>
                    <xdr:colOff>733425</xdr:colOff>
                    <xdr:row>2</xdr:row>
                    <xdr:rowOff>238125</xdr:rowOff>
                  </to>
                </anchor>
              </controlPr>
            </control>
          </mc:Choice>
        </mc:AlternateContent>
        <mc:AlternateContent xmlns:mc="http://schemas.openxmlformats.org/markup-compatibility/2006">
          <mc:Choice Requires="x14">
            <control shapeId="5553159" r:id="rId10" name="Check Box 7">
              <controlPr defaultSize="0" autoFill="0" autoLine="0" autoPict="0">
                <anchor moveWithCells="1" sizeWithCells="1">
                  <from>
                    <xdr:col>9</xdr:col>
                    <xdr:colOff>352425</xdr:colOff>
                    <xdr:row>2</xdr:row>
                    <xdr:rowOff>28575</xdr:rowOff>
                  </from>
                  <to>
                    <xdr:col>10</xdr:col>
                    <xdr:colOff>600075</xdr:colOff>
                    <xdr:row>2</xdr:row>
                    <xdr:rowOff>238125</xdr:rowOff>
                  </to>
                </anchor>
              </controlPr>
            </control>
          </mc:Choice>
        </mc:AlternateContent>
        <mc:AlternateContent xmlns:mc="http://schemas.openxmlformats.org/markup-compatibility/2006">
          <mc:Choice Requires="x14">
            <control shapeId="5553160" r:id="rId11" name="Check Box 8">
              <controlPr defaultSize="0" autoFill="0" autoLine="0" autoPict="0">
                <anchor moveWithCells="1">
                  <from>
                    <xdr:col>10</xdr:col>
                    <xdr:colOff>523875</xdr:colOff>
                    <xdr:row>2</xdr:row>
                    <xdr:rowOff>28575</xdr:rowOff>
                  </from>
                  <to>
                    <xdr:col>11</xdr:col>
                    <xdr:colOff>400050</xdr:colOff>
                    <xdr:row>2</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prompt="If Redox Kind(s) are entered, Type of Indicator needs to be completed" xr:uid="{1D4E1481-D14D-4D85-BD82-29222134438C}">
          <x14:formula1>
            <xm:f>'Drop-Down Lists'!$L$2:$L$5</xm:f>
          </x14:formula1>
          <xm:sqref>H10:H23</xm:sqref>
        </x14:dataValidation>
        <x14:dataValidation type="list" allowBlank="1" showInputMessage="1" prompt="Indicator definitions are found on soil chart." xr:uid="{1D1E5D75-ADE1-4874-9263-948ADF932F80}">
          <x14:formula1>
            <xm:f>'Drop-Down Lists'!$M$2:$M$34</xm:f>
          </x14:formula1>
          <xm:sqref>I10:I23</xm:sqref>
        </x14:dataValidation>
        <x14:dataValidation type="list" allowBlank="1" showInputMessage="1" prompt="Choose from the list or add your own description" xr:uid="{1F4598EF-14D8-47F9-B15B-44F683863D12}">
          <x14:formula1>
            <xm:f>'Drop-Down Lists'!$U$2:$U$9</xm:f>
          </x14:formula1>
          <xm:sqref>B5:D5</xm:sqref>
        </x14:dataValidation>
        <x14:dataValidation type="list" allowBlank="1" showInputMessage="1" prompt="Choose from the list or add your own description" xr:uid="{DC88CF61-09D8-4372-AD70-275FEC87D5A8}">
          <x14:formula1>
            <xm:f>'Drop-Down Lists'!$T$2:$T$10</xm:f>
          </x14:formula1>
          <xm:sqref>C4:E4</xm:sqref>
        </x14:dataValidation>
        <x14:dataValidation type="list" allowBlank="1" showInputMessage="1" prompt="Observation Type" xr:uid="{F09F16F5-B07E-43E3-9561-C46CB20B0505}">
          <x14:formula1>
            <xm:f>'Drop-Down Lists'!$V$2:$V$5</xm:f>
          </x14:formula1>
          <xm:sqref>F7:G7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ECDCD-BDA4-4928-8692-CFB1BD56D35B}">
  <sheetPr>
    <tabColor rgb="FFFF6600"/>
    <pageSetUpPr fitToPage="1"/>
  </sheetPr>
  <dimension ref="A1:AS314"/>
  <sheetViews>
    <sheetView view="pageBreakPreview" zoomScaleNormal="100" zoomScaleSheetLayoutView="100" workbookViewId="0">
      <selection activeCell="C4" sqref="C4:E4"/>
    </sheetView>
  </sheetViews>
  <sheetFormatPr defaultColWidth="9.140625" defaultRowHeight="15"/>
  <cols>
    <col min="1" max="1" width="10.42578125" style="613" customWidth="1"/>
    <col min="2" max="2" width="11.42578125" style="613" customWidth="1"/>
    <col min="3" max="3" width="7.85546875" style="613" customWidth="1"/>
    <col min="4" max="7" width="7.42578125" style="613" customWidth="1"/>
    <col min="8" max="8" width="14" style="613" customWidth="1"/>
    <col min="9" max="9" width="11.140625" style="613" customWidth="1"/>
    <col min="10" max="10" width="11.42578125" style="613" customWidth="1"/>
    <col min="11" max="11" width="14.7109375" style="613" customWidth="1"/>
    <col min="12" max="12" width="12.7109375" style="613" customWidth="1"/>
    <col min="13" max="13" width="9.140625" style="613"/>
    <col min="14" max="14" width="13.140625" style="614" customWidth="1"/>
    <col min="15" max="15" width="7.85546875" style="614" customWidth="1"/>
    <col min="16" max="27" width="9.140625" style="614"/>
    <col min="28" max="16384" width="9.140625" style="613"/>
  </cols>
  <sheetData>
    <row r="1" spans="1:45" ht="45.75" customHeight="1" thickBot="1">
      <c r="B1" s="1623"/>
      <c r="C1" s="2503" t="s">
        <v>682</v>
      </c>
      <c r="D1" s="2503"/>
      <c r="E1" s="2503"/>
      <c r="F1" s="2503"/>
      <c r="G1" s="2503"/>
      <c r="H1" s="2503"/>
      <c r="I1" s="1139" t="s">
        <v>551</v>
      </c>
      <c r="J1" s="2504" t="str">
        <f>IF(ISBLANK(Prelim!S5)," ",Prelim!S5)</f>
        <v xml:space="preserve"> </v>
      </c>
      <c r="K1" s="2504"/>
      <c r="L1" s="2504" t="str">
        <f>'Drop-Down Lists'!A2</f>
        <v>v 05.01.2026</v>
      </c>
      <c r="M1" s="2504"/>
      <c r="AB1" s="615"/>
      <c r="AC1" s="615"/>
      <c r="AD1" s="615"/>
      <c r="AE1" s="615"/>
      <c r="AF1" s="615"/>
      <c r="AG1" s="615"/>
      <c r="AH1" s="615"/>
      <c r="AI1" s="615"/>
      <c r="AJ1" s="615"/>
      <c r="AK1" s="615"/>
      <c r="AL1" s="615"/>
      <c r="AM1" s="615"/>
      <c r="AN1" s="615"/>
      <c r="AO1" s="615"/>
      <c r="AP1" s="615"/>
      <c r="AQ1" s="615"/>
      <c r="AR1" s="615"/>
      <c r="AS1" s="615"/>
    </row>
    <row r="2" spans="1:45" ht="18" customHeight="1">
      <c r="A2" s="1188" t="s">
        <v>683</v>
      </c>
      <c r="B2" s="2617" t="str">
        <f>IF(ISBLANK(Prelim!G3),"  ", Prelim!G3)</f>
        <v xml:space="preserve">  </v>
      </c>
      <c r="C2" s="2617"/>
      <c r="D2" s="2617"/>
      <c r="E2" s="2617"/>
      <c r="F2" s="2617"/>
      <c r="G2" s="2617"/>
      <c r="H2" s="2506" t="s">
        <v>684</v>
      </c>
      <c r="I2" s="2507"/>
      <c r="J2" s="2618" t="str">
        <f>IF(ISBLANK(Prelim!G5), " ", Prelim!G5)</f>
        <v xml:space="preserve"> </v>
      </c>
      <c r="K2" s="2618"/>
      <c r="L2" s="2618"/>
      <c r="M2" s="2619"/>
      <c r="O2" s="2556" t="s">
        <v>707</v>
      </c>
      <c r="P2" s="2557"/>
      <c r="Q2" s="2557"/>
      <c r="R2" s="2557"/>
      <c r="S2" s="2557"/>
      <c r="T2" s="2557"/>
      <c r="U2" s="1471"/>
      <c r="V2" s="1471"/>
      <c r="W2" s="1472"/>
      <c r="AB2" s="615"/>
      <c r="AC2" s="615"/>
      <c r="AD2" s="615"/>
      <c r="AE2" s="615"/>
      <c r="AF2" s="615"/>
      <c r="AG2" s="615"/>
      <c r="AH2" s="615"/>
      <c r="AI2" s="615"/>
      <c r="AJ2" s="615"/>
      <c r="AK2" s="615"/>
      <c r="AL2" s="615"/>
      <c r="AM2" s="615"/>
      <c r="AN2" s="615"/>
      <c r="AO2" s="615"/>
      <c r="AP2" s="615"/>
      <c r="AQ2" s="615"/>
      <c r="AR2" s="615"/>
      <c r="AS2" s="615"/>
    </row>
    <row r="3" spans="1:45" ht="20.100000000000001" customHeight="1">
      <c r="A3" s="1140" t="s">
        <v>685</v>
      </c>
      <c r="M3" s="1141"/>
      <c r="O3" s="627" t="s">
        <v>708</v>
      </c>
      <c r="P3" s="1226"/>
      <c r="Q3" s="1226"/>
      <c r="R3" s="1238"/>
      <c r="S3" s="1238"/>
      <c r="T3" s="1238"/>
      <c r="W3" s="1473"/>
      <c r="AB3" s="615"/>
      <c r="AC3" s="615"/>
      <c r="AD3" s="615"/>
      <c r="AE3" s="615"/>
      <c r="AF3" s="615"/>
      <c r="AG3" s="615"/>
      <c r="AH3" s="615"/>
      <c r="AI3" s="615"/>
      <c r="AJ3" s="615"/>
      <c r="AK3" s="615"/>
      <c r="AL3" s="615"/>
      <c r="AM3" s="615"/>
      <c r="AN3" s="615"/>
      <c r="AO3" s="615"/>
      <c r="AP3" s="615"/>
      <c r="AQ3" s="615"/>
      <c r="AR3" s="615"/>
      <c r="AS3" s="615"/>
    </row>
    <row r="4" spans="1:45" ht="19.5" customHeight="1">
      <c r="A4" s="2517" t="s">
        <v>686</v>
      </c>
      <c r="B4" s="2518"/>
      <c r="C4" s="2519"/>
      <c r="D4" s="2519"/>
      <c r="E4" s="2520"/>
      <c r="F4" s="1142" t="s">
        <v>687</v>
      </c>
      <c r="G4" s="1143"/>
      <c r="H4" s="1624" t="s">
        <v>650</v>
      </c>
      <c r="I4" s="2510"/>
      <c r="J4" s="2511"/>
      <c r="K4" s="2612" t="s">
        <v>688</v>
      </c>
      <c r="L4" s="2612"/>
      <c r="M4" s="1219"/>
      <c r="O4" s="627" t="s">
        <v>709</v>
      </c>
      <c r="P4" s="1226"/>
      <c r="Q4" s="1226"/>
      <c r="R4" s="1238"/>
      <c r="S4" s="1238"/>
      <c r="T4" s="1238"/>
      <c r="W4" s="1473"/>
      <c r="AB4" s="615"/>
      <c r="AC4" s="615"/>
      <c r="AD4" s="615"/>
      <c r="AE4" s="615"/>
      <c r="AF4" s="615"/>
      <c r="AG4" s="615"/>
      <c r="AH4" s="615"/>
      <c r="AI4" s="615"/>
      <c r="AJ4" s="615"/>
      <c r="AK4" s="615"/>
      <c r="AL4" s="615"/>
      <c r="AM4" s="615"/>
      <c r="AN4" s="615"/>
      <c r="AO4" s="615"/>
      <c r="AP4" s="615"/>
      <c r="AQ4" s="615"/>
      <c r="AR4" s="615"/>
      <c r="AS4" s="615"/>
    </row>
    <row r="5" spans="1:45" ht="19.5" customHeight="1">
      <c r="A5" s="1218" t="s">
        <v>689</v>
      </c>
      <c r="B5" s="2510"/>
      <c r="C5" s="2510"/>
      <c r="D5" s="2511"/>
      <c r="E5" s="2512" t="s">
        <v>690</v>
      </c>
      <c r="F5" s="2513"/>
      <c r="G5" s="2513"/>
      <c r="H5" s="2615" t="str">
        <f>IF(ISBLANK(Prelim!G84)," ",Prelim!G84)</f>
        <v xml:space="preserve"> </v>
      </c>
      <c r="I5" s="2616"/>
      <c r="J5" s="2613" t="s">
        <v>691</v>
      </c>
      <c r="K5" s="2614"/>
      <c r="L5" s="2614"/>
      <c r="M5" s="2210"/>
      <c r="O5" s="627" t="s">
        <v>710</v>
      </c>
      <c r="P5" s="1226"/>
      <c r="Q5" s="1226"/>
      <c r="R5" s="1238"/>
      <c r="S5" s="1238"/>
      <c r="T5" s="1238"/>
      <c r="W5" s="1473"/>
      <c r="Y5" s="615"/>
      <c r="Z5" s="615"/>
      <c r="AA5" s="615"/>
      <c r="AB5" s="615"/>
      <c r="AC5" s="615"/>
      <c r="AD5" s="615"/>
      <c r="AE5" s="615"/>
      <c r="AF5" s="615"/>
      <c r="AG5" s="615"/>
      <c r="AH5" s="615"/>
      <c r="AI5" s="615"/>
      <c r="AJ5" s="615"/>
      <c r="AK5" s="615"/>
      <c r="AL5" s="615"/>
      <c r="AM5" s="615"/>
      <c r="AN5" s="615"/>
      <c r="AO5" s="615"/>
      <c r="AP5" s="615"/>
      <c r="AQ5" s="615"/>
      <c r="AR5" s="615"/>
      <c r="AS5" s="615"/>
    </row>
    <row r="6" spans="1:45" ht="19.5" customHeight="1">
      <c r="A6" s="2517" t="s">
        <v>692</v>
      </c>
      <c r="B6" s="2518"/>
      <c r="C6" s="2518"/>
      <c r="D6" s="2529"/>
      <c r="E6" s="2621"/>
      <c r="F6" s="2511"/>
      <c r="G6" s="2622"/>
      <c r="H6" s="2511"/>
      <c r="I6" s="2530"/>
      <c r="J6" s="2511"/>
      <c r="K6" s="2620" t="s">
        <v>693</v>
      </c>
      <c r="L6" s="2612"/>
      <c r="M6" s="2211"/>
      <c r="O6" s="1630" t="s">
        <v>711</v>
      </c>
      <c r="P6" s="1226"/>
      <c r="Q6" s="1226"/>
      <c r="R6" s="1238"/>
      <c r="S6" s="629"/>
      <c r="T6" s="629"/>
      <c r="U6" s="1474"/>
      <c r="V6" s="1474"/>
      <c r="W6" s="1475"/>
      <c r="AB6" s="615"/>
      <c r="AC6" s="615"/>
      <c r="AD6" s="615"/>
      <c r="AE6" s="615"/>
      <c r="AF6" s="615"/>
      <c r="AG6" s="615"/>
      <c r="AH6" s="615"/>
      <c r="AI6" s="615"/>
      <c r="AJ6" s="615"/>
      <c r="AK6" s="615"/>
      <c r="AL6" s="615"/>
      <c r="AM6" s="615"/>
      <c r="AN6" s="615"/>
      <c r="AO6" s="615"/>
      <c r="AP6" s="615"/>
      <c r="AQ6" s="615"/>
      <c r="AR6" s="615"/>
      <c r="AS6" s="615"/>
    </row>
    <row r="7" spans="1:45" ht="19.5" customHeight="1" thickBot="1">
      <c r="A7" s="2610" t="s">
        <v>725</v>
      </c>
      <c r="B7" s="2611"/>
      <c r="C7" s="2611"/>
      <c r="D7" s="2623"/>
      <c r="E7" s="2624"/>
      <c r="F7" s="2623"/>
      <c r="G7" s="2624"/>
      <c r="H7" s="2575"/>
      <c r="I7" s="2575"/>
      <c r="J7" s="2575"/>
      <c r="K7" s="2609" t="s">
        <v>726</v>
      </c>
      <c r="L7" s="2609"/>
      <c r="M7" s="2306"/>
      <c r="O7" s="1632" t="s">
        <v>712</v>
      </c>
      <c r="P7" s="1626"/>
      <c r="Q7" s="1626"/>
      <c r="R7" s="1631"/>
      <c r="S7" s="1633" t="s">
        <v>727</v>
      </c>
      <c r="T7" s="1628"/>
      <c r="U7" s="1628"/>
      <c r="V7" s="1232"/>
      <c r="W7" s="1232"/>
      <c r="X7" s="1232"/>
      <c r="Y7" s="624"/>
      <c r="Z7" s="624"/>
      <c r="AA7" s="1231"/>
      <c r="AB7" s="615"/>
      <c r="AC7" s="615"/>
      <c r="AD7" s="615"/>
      <c r="AE7" s="615"/>
      <c r="AF7" s="615"/>
      <c r="AG7" s="615"/>
      <c r="AH7" s="615"/>
      <c r="AI7" s="615"/>
      <c r="AJ7" s="615"/>
      <c r="AK7" s="615"/>
      <c r="AL7" s="615"/>
      <c r="AM7" s="615"/>
      <c r="AN7" s="615"/>
      <c r="AO7" s="615"/>
    </row>
    <row r="8" spans="1:45" ht="14.1" customHeight="1">
      <c r="A8" s="2545" t="s">
        <v>696</v>
      </c>
      <c r="B8" s="2531" t="s">
        <v>697</v>
      </c>
      <c r="C8" s="2547" t="s">
        <v>698</v>
      </c>
      <c r="D8" s="2549" t="s">
        <v>699</v>
      </c>
      <c r="E8" s="2550"/>
      <c r="F8" s="2549" t="s">
        <v>700</v>
      </c>
      <c r="G8" s="2553"/>
      <c r="H8" s="2625" t="s">
        <v>701</v>
      </c>
      <c r="I8" s="2625" t="s">
        <v>702</v>
      </c>
      <c r="J8" s="2626" t="s">
        <v>703</v>
      </c>
      <c r="K8" s="2533"/>
      <c r="L8" s="2533"/>
      <c r="M8" s="2534"/>
      <c r="O8" s="2564" t="s">
        <v>713</v>
      </c>
      <c r="P8" s="2565"/>
      <c r="Q8" s="2565"/>
      <c r="R8" s="2566"/>
      <c r="S8" s="2591" t="s">
        <v>96</v>
      </c>
      <c r="T8" s="2591"/>
      <c r="U8" s="2591"/>
      <c r="V8" s="1230"/>
      <c r="W8" s="2565" t="s">
        <v>728</v>
      </c>
      <c r="X8" s="2565"/>
      <c r="Y8" s="2565"/>
      <c r="Z8" s="2565"/>
      <c r="AA8" s="2566"/>
      <c r="AB8" s="615"/>
      <c r="AC8" s="615"/>
      <c r="AD8" s="615"/>
      <c r="AE8" s="615"/>
      <c r="AF8" s="615"/>
      <c r="AG8" s="615"/>
      <c r="AH8" s="615"/>
      <c r="AI8" s="615"/>
      <c r="AJ8" s="615"/>
      <c r="AK8" s="615"/>
      <c r="AL8" s="615"/>
      <c r="AM8" s="615"/>
      <c r="AN8" s="615"/>
      <c r="AO8" s="615"/>
      <c r="AP8" s="615"/>
      <c r="AQ8" s="615"/>
      <c r="AR8" s="615"/>
    </row>
    <row r="9" spans="1:45" ht="14.1" customHeight="1" thickBot="1">
      <c r="A9" s="2546"/>
      <c r="B9" s="2532"/>
      <c r="C9" s="2548"/>
      <c r="D9" s="2551"/>
      <c r="E9" s="2552"/>
      <c r="F9" s="2554"/>
      <c r="G9" s="2555"/>
      <c r="H9" s="2532"/>
      <c r="I9" s="2532"/>
      <c r="J9" s="1217" t="s">
        <v>704</v>
      </c>
      <c r="K9" s="1217" t="s">
        <v>705</v>
      </c>
      <c r="L9" s="2627" t="s">
        <v>706</v>
      </c>
      <c r="M9" s="2628"/>
      <c r="O9" s="2564" t="s">
        <v>714</v>
      </c>
      <c r="P9" s="2565"/>
      <c r="Q9" s="2565"/>
      <c r="R9" s="2566"/>
      <c r="S9" s="2591" t="s">
        <v>152</v>
      </c>
      <c r="T9" s="2591"/>
      <c r="U9" s="2591"/>
      <c r="V9" s="1230"/>
      <c r="W9" s="2565" t="s">
        <v>729</v>
      </c>
      <c r="X9" s="2565"/>
      <c r="Y9" s="2565"/>
      <c r="Z9" s="2565"/>
      <c r="AA9" s="2566"/>
      <c r="AB9" s="615"/>
      <c r="AC9" s="615"/>
      <c r="AD9" s="615"/>
      <c r="AE9" s="615"/>
      <c r="AF9" s="615"/>
      <c r="AG9" s="615"/>
      <c r="AH9" s="615"/>
      <c r="AI9" s="615"/>
      <c r="AJ9" s="615"/>
      <c r="AK9" s="615"/>
      <c r="AL9" s="615"/>
      <c r="AM9" s="615"/>
      <c r="AN9" s="615"/>
      <c r="AO9" s="615"/>
      <c r="AP9" s="615"/>
      <c r="AQ9" s="615"/>
      <c r="AR9" s="615"/>
    </row>
    <row r="10" spans="1:45" ht="18" customHeight="1" thickTop="1">
      <c r="A10" s="2536"/>
      <c r="B10" s="2538"/>
      <c r="C10" s="2538"/>
      <c r="D10" s="1403"/>
      <c r="E10" s="1404"/>
      <c r="F10" s="1403"/>
      <c r="G10" s="1404"/>
      <c r="H10" s="2267"/>
      <c r="I10" s="1400"/>
      <c r="J10" s="2541"/>
      <c r="K10" s="2541"/>
      <c r="L10" s="2541"/>
      <c r="M10" s="2543"/>
      <c r="N10" s="617"/>
      <c r="O10" s="2564" t="s">
        <v>715</v>
      </c>
      <c r="P10" s="2565"/>
      <c r="Q10" s="2565"/>
      <c r="R10" s="2566"/>
      <c r="S10" s="2591" t="s">
        <v>208</v>
      </c>
      <c r="T10" s="2591"/>
      <c r="U10" s="2591"/>
      <c r="V10" s="1230"/>
      <c r="W10" s="2565" t="s">
        <v>730</v>
      </c>
      <c r="X10" s="2565"/>
      <c r="Y10" s="2565"/>
      <c r="Z10" s="2565"/>
      <c r="AA10" s="2566"/>
      <c r="AB10" s="615"/>
      <c r="AC10" s="615"/>
      <c r="AD10" s="615"/>
      <c r="AE10" s="615"/>
      <c r="AF10" s="615"/>
      <c r="AG10" s="615"/>
      <c r="AH10" s="615"/>
      <c r="AI10" s="615"/>
      <c r="AJ10" s="615"/>
      <c r="AK10" s="615"/>
      <c r="AL10" s="615"/>
      <c r="AM10" s="615"/>
      <c r="AN10" s="615"/>
      <c r="AO10" s="615"/>
      <c r="AP10" s="615"/>
      <c r="AQ10" s="615"/>
      <c r="AR10" s="615"/>
    </row>
    <row r="11" spans="1:45" ht="18" customHeight="1">
      <c r="A11" s="2537"/>
      <c r="B11" s="2539"/>
      <c r="C11" s="2540"/>
      <c r="D11" s="1401"/>
      <c r="E11" s="1402"/>
      <c r="F11" s="1403"/>
      <c r="G11" s="1402"/>
      <c r="H11" s="1400"/>
      <c r="I11" s="1400"/>
      <c r="J11" s="2542"/>
      <c r="K11" s="2542"/>
      <c r="L11" s="2542"/>
      <c r="M11" s="2544"/>
      <c r="N11" s="617"/>
      <c r="O11" s="2564" t="s">
        <v>716</v>
      </c>
      <c r="P11" s="2565"/>
      <c r="Q11" s="2565"/>
      <c r="R11" s="2566"/>
      <c r="S11" s="2629" t="s">
        <v>249</v>
      </c>
      <c r="T11" s="2629"/>
      <c r="U11" s="2629"/>
      <c r="V11" s="1230"/>
      <c r="W11" s="2593" t="s">
        <v>731</v>
      </c>
      <c r="X11" s="2593"/>
      <c r="Y11" s="2593"/>
      <c r="Z11" s="2593"/>
      <c r="AA11" s="2594"/>
      <c r="AB11" s="615"/>
      <c r="AC11" s="615"/>
      <c r="AD11" s="615"/>
      <c r="AE11" s="615"/>
      <c r="AF11" s="615"/>
      <c r="AG11" s="615"/>
      <c r="AH11" s="615"/>
      <c r="AI11" s="615"/>
      <c r="AJ11" s="615"/>
      <c r="AK11" s="615"/>
      <c r="AL11" s="615"/>
      <c r="AM11" s="615"/>
      <c r="AN11" s="615"/>
      <c r="AO11" s="615"/>
      <c r="AP11" s="615"/>
      <c r="AQ11" s="615"/>
      <c r="AR11" s="615"/>
    </row>
    <row r="12" spans="1:45" ht="18" customHeight="1">
      <c r="A12" s="2537"/>
      <c r="B12" s="2539"/>
      <c r="C12" s="2538"/>
      <c r="D12" s="1401"/>
      <c r="E12" s="1402"/>
      <c r="F12" s="1403"/>
      <c r="G12" s="1402"/>
      <c r="H12" s="1400"/>
      <c r="I12" s="1400"/>
      <c r="J12" s="2542"/>
      <c r="K12" s="2542"/>
      <c r="L12" s="2542"/>
      <c r="M12" s="2544"/>
      <c r="N12" s="617"/>
      <c r="O12" s="2564" t="s">
        <v>717</v>
      </c>
      <c r="P12" s="2565"/>
      <c r="Q12" s="2565"/>
      <c r="R12" s="2566"/>
      <c r="S12" s="2629"/>
      <c r="T12" s="2629"/>
      <c r="U12" s="2629"/>
      <c r="V12" s="1230"/>
      <c r="W12" s="2593"/>
      <c r="X12" s="2593"/>
      <c r="Y12" s="2593"/>
      <c r="Z12" s="2593"/>
      <c r="AA12" s="2594"/>
      <c r="AB12" s="615"/>
      <c r="AC12" s="615"/>
      <c r="AD12" s="615"/>
      <c r="AE12" s="615"/>
      <c r="AF12" s="615"/>
      <c r="AG12" s="615"/>
      <c r="AH12" s="615"/>
      <c r="AI12" s="615"/>
      <c r="AJ12" s="615"/>
      <c r="AK12" s="615"/>
      <c r="AL12" s="615"/>
      <c r="AM12" s="615"/>
      <c r="AN12" s="615"/>
      <c r="AO12" s="615"/>
      <c r="AP12" s="615"/>
      <c r="AQ12" s="615"/>
      <c r="AR12" s="615"/>
    </row>
    <row r="13" spans="1:45" ht="18" customHeight="1">
      <c r="A13" s="2537"/>
      <c r="B13" s="2539"/>
      <c r="C13" s="2540"/>
      <c r="D13" s="1401"/>
      <c r="E13" s="1402"/>
      <c r="F13" s="1403"/>
      <c r="G13" s="1402"/>
      <c r="H13" s="1400"/>
      <c r="I13" s="1400"/>
      <c r="J13" s="2542"/>
      <c r="K13" s="2542"/>
      <c r="L13" s="2542"/>
      <c r="M13" s="2544"/>
      <c r="N13" s="617"/>
      <c r="O13" s="2567" t="s">
        <v>718</v>
      </c>
      <c r="P13" s="2568"/>
      <c r="Q13" s="2568"/>
      <c r="R13" s="2569"/>
      <c r="S13" s="2596" t="s">
        <v>277</v>
      </c>
      <c r="T13" s="2596"/>
      <c r="U13" s="2596"/>
      <c r="V13" s="1229"/>
      <c r="W13" s="2597" t="s">
        <v>732</v>
      </c>
      <c r="X13" s="2597"/>
      <c r="Y13" s="2597"/>
      <c r="Z13" s="2597"/>
      <c r="AA13" s="2598"/>
      <c r="AC13" s="615"/>
      <c r="AD13" s="615"/>
      <c r="AE13" s="615"/>
      <c r="AF13" s="615"/>
      <c r="AG13" s="615"/>
      <c r="AH13" s="615"/>
      <c r="AI13" s="615"/>
      <c r="AJ13" s="615"/>
      <c r="AK13" s="615"/>
      <c r="AL13" s="615"/>
      <c r="AM13" s="615"/>
      <c r="AN13" s="615"/>
      <c r="AO13" s="615"/>
      <c r="AP13" s="615"/>
      <c r="AQ13" s="615"/>
      <c r="AR13" s="615"/>
    </row>
    <row r="14" spans="1:45" ht="18" customHeight="1">
      <c r="A14" s="2537"/>
      <c r="B14" s="2539"/>
      <c r="C14" s="2538"/>
      <c r="D14" s="1401"/>
      <c r="E14" s="1402"/>
      <c r="F14" s="1403"/>
      <c r="G14" s="1402"/>
      <c r="H14" s="1400"/>
      <c r="I14" s="1400"/>
      <c r="J14" s="2542"/>
      <c r="K14" s="2542"/>
      <c r="L14" s="2542"/>
      <c r="M14" s="2544"/>
      <c r="N14" s="617"/>
      <c r="O14" s="1627" t="s">
        <v>733</v>
      </c>
      <c r="P14" s="1628"/>
      <c r="Q14" s="1628"/>
      <c r="R14" s="1232"/>
      <c r="S14" s="1241"/>
      <c r="T14" s="1241"/>
      <c r="U14" s="632"/>
      <c r="V14" s="632"/>
      <c r="W14" s="632"/>
      <c r="X14" s="632"/>
      <c r="Y14" s="632"/>
      <c r="Z14" s="632"/>
      <c r="AA14" s="623"/>
      <c r="AD14" s="615"/>
      <c r="AE14" s="615"/>
      <c r="AF14" s="615"/>
      <c r="AG14" s="615"/>
      <c r="AH14" s="615"/>
      <c r="AI14" s="615"/>
      <c r="AJ14" s="615"/>
      <c r="AK14" s="615"/>
      <c r="AL14" s="615"/>
      <c r="AM14" s="615"/>
      <c r="AN14" s="615"/>
      <c r="AO14" s="615"/>
      <c r="AP14" s="615"/>
      <c r="AQ14" s="615"/>
      <c r="AR14" s="615"/>
      <c r="AS14" s="615"/>
    </row>
    <row r="15" spans="1:45" ht="18" customHeight="1">
      <c r="A15" s="2537"/>
      <c r="B15" s="2539"/>
      <c r="C15" s="2540"/>
      <c r="D15" s="1401"/>
      <c r="E15" s="1402"/>
      <c r="F15" s="1403"/>
      <c r="G15" s="1402"/>
      <c r="H15" s="1400"/>
      <c r="I15" s="1400"/>
      <c r="J15" s="2542"/>
      <c r="K15" s="2542"/>
      <c r="L15" s="2542"/>
      <c r="M15" s="2544"/>
      <c r="N15" s="617"/>
      <c r="O15" s="2592" t="s">
        <v>150</v>
      </c>
      <c r="P15" s="2591"/>
      <c r="Q15" s="2591"/>
      <c r="R15" s="1230"/>
      <c r="S15" s="2605" t="s">
        <v>734</v>
      </c>
      <c r="T15" s="2605"/>
      <c r="U15" s="2605"/>
      <c r="V15" s="2605"/>
      <c r="W15" s="2605"/>
      <c r="X15" s="2605"/>
      <c r="Y15" s="2605"/>
      <c r="Z15" s="2605"/>
      <c r="AA15" s="2606"/>
      <c r="AF15" s="615"/>
      <c r="AG15" s="615"/>
      <c r="AH15" s="615"/>
      <c r="AI15" s="615"/>
      <c r="AJ15" s="615"/>
      <c r="AK15" s="615"/>
      <c r="AL15" s="615"/>
      <c r="AM15" s="615"/>
      <c r="AN15" s="615"/>
      <c r="AO15" s="615"/>
      <c r="AP15" s="615"/>
      <c r="AQ15" s="615"/>
      <c r="AR15" s="615"/>
      <c r="AS15" s="615"/>
    </row>
    <row r="16" spans="1:45" ht="18" customHeight="1">
      <c r="A16" s="2537"/>
      <c r="B16" s="2539"/>
      <c r="C16" s="2538"/>
      <c r="D16" s="1401"/>
      <c r="E16" s="1402"/>
      <c r="F16" s="1403"/>
      <c r="G16" s="1402"/>
      <c r="H16" s="1400"/>
      <c r="I16" s="1400"/>
      <c r="J16" s="2542"/>
      <c r="K16" s="2542"/>
      <c r="L16" s="2542"/>
      <c r="M16" s="2544"/>
      <c r="N16" s="617"/>
      <c r="O16" s="2592"/>
      <c r="P16" s="2591"/>
      <c r="Q16" s="2591"/>
      <c r="R16" s="1230"/>
      <c r="S16" s="2605"/>
      <c r="T16" s="2605"/>
      <c r="U16" s="2605"/>
      <c r="V16" s="2605"/>
      <c r="W16" s="2605"/>
      <c r="X16" s="2605"/>
      <c r="Y16" s="2605"/>
      <c r="Z16" s="2605"/>
      <c r="AA16" s="2606"/>
      <c r="AF16" s="615"/>
      <c r="AG16" s="615"/>
      <c r="AH16" s="615"/>
      <c r="AI16" s="615"/>
      <c r="AJ16" s="615"/>
      <c r="AK16" s="615"/>
      <c r="AL16" s="615"/>
      <c r="AM16" s="615"/>
      <c r="AN16" s="615"/>
      <c r="AO16" s="615"/>
      <c r="AP16" s="615"/>
      <c r="AQ16" s="615"/>
      <c r="AR16" s="615"/>
      <c r="AS16" s="615"/>
    </row>
    <row r="17" spans="1:45" ht="18" customHeight="1">
      <c r="A17" s="2537"/>
      <c r="B17" s="2539"/>
      <c r="C17" s="2540"/>
      <c r="D17" s="1401"/>
      <c r="E17" s="1402"/>
      <c r="F17" s="1403"/>
      <c r="G17" s="1402"/>
      <c r="H17" s="1400"/>
      <c r="I17" s="1400"/>
      <c r="J17" s="2542"/>
      <c r="K17" s="2542"/>
      <c r="L17" s="2542"/>
      <c r="M17" s="2544"/>
      <c r="N17" s="617"/>
      <c r="O17" s="2592" t="s">
        <v>206</v>
      </c>
      <c r="P17" s="2591"/>
      <c r="Q17" s="2591"/>
      <c r="R17" s="1230"/>
      <c r="S17" s="2605" t="s">
        <v>735</v>
      </c>
      <c r="T17" s="2605"/>
      <c r="U17" s="2605"/>
      <c r="V17" s="2605"/>
      <c r="W17" s="2605"/>
      <c r="X17" s="2605"/>
      <c r="Y17" s="2605"/>
      <c r="Z17" s="2605"/>
      <c r="AA17" s="2606"/>
      <c r="AF17" s="615"/>
      <c r="AG17" s="615"/>
      <c r="AH17" s="615"/>
      <c r="AI17" s="615"/>
      <c r="AJ17" s="615"/>
      <c r="AK17" s="615"/>
      <c r="AL17" s="615"/>
      <c r="AM17" s="615"/>
      <c r="AN17" s="615"/>
      <c r="AO17" s="615"/>
      <c r="AP17" s="615"/>
      <c r="AQ17" s="615"/>
      <c r="AR17" s="615"/>
      <c r="AS17" s="615"/>
    </row>
    <row r="18" spans="1:45" ht="18" customHeight="1">
      <c r="A18" s="2537"/>
      <c r="B18" s="2539"/>
      <c r="C18" s="2538"/>
      <c r="D18" s="1401"/>
      <c r="E18" s="1402"/>
      <c r="F18" s="1403"/>
      <c r="G18" s="1402"/>
      <c r="H18" s="1400"/>
      <c r="I18" s="1400"/>
      <c r="J18" s="2542"/>
      <c r="K18" s="2542"/>
      <c r="L18" s="2542"/>
      <c r="M18" s="2544"/>
      <c r="N18" s="617"/>
      <c r="O18" s="2592"/>
      <c r="P18" s="2591"/>
      <c r="Q18" s="2591"/>
      <c r="R18" s="1230"/>
      <c r="S18" s="2605"/>
      <c r="T18" s="2605"/>
      <c r="U18" s="2605"/>
      <c r="V18" s="2605"/>
      <c r="W18" s="2605"/>
      <c r="X18" s="2605"/>
      <c r="Y18" s="2605"/>
      <c r="Z18" s="2605"/>
      <c r="AA18" s="2606"/>
      <c r="AF18" s="615"/>
      <c r="AG18" s="615"/>
      <c r="AH18" s="615"/>
      <c r="AI18" s="615"/>
      <c r="AJ18" s="615"/>
      <c r="AK18" s="615"/>
      <c r="AL18" s="615"/>
      <c r="AM18" s="615"/>
      <c r="AN18" s="615"/>
      <c r="AO18" s="615"/>
      <c r="AP18" s="615"/>
      <c r="AQ18" s="615"/>
      <c r="AR18" s="615"/>
      <c r="AS18" s="615"/>
    </row>
    <row r="19" spans="1:45" ht="18" customHeight="1">
      <c r="A19" s="2537"/>
      <c r="B19" s="2539"/>
      <c r="C19" s="2540"/>
      <c r="D19" s="1401"/>
      <c r="E19" s="1402"/>
      <c r="F19" s="1403"/>
      <c r="G19" s="1402"/>
      <c r="H19" s="1400"/>
      <c r="I19" s="1400"/>
      <c r="J19" s="2542"/>
      <c r="K19" s="2542"/>
      <c r="L19" s="2542"/>
      <c r="M19" s="2544"/>
      <c r="N19" s="617"/>
      <c r="O19" s="2592"/>
      <c r="P19" s="2591"/>
      <c r="Q19" s="2591"/>
      <c r="R19" s="1230"/>
      <c r="S19" s="2605"/>
      <c r="T19" s="2605"/>
      <c r="U19" s="2605"/>
      <c r="V19" s="2605"/>
      <c r="W19" s="2605"/>
      <c r="X19" s="2605"/>
      <c r="Y19" s="2605"/>
      <c r="Z19" s="2605"/>
      <c r="AA19" s="2606"/>
      <c r="AF19" s="615"/>
      <c r="AG19" s="615"/>
      <c r="AH19" s="615"/>
      <c r="AI19" s="615"/>
      <c r="AJ19" s="615"/>
      <c r="AK19" s="615"/>
      <c r="AL19" s="615"/>
      <c r="AM19" s="615"/>
      <c r="AN19" s="615"/>
      <c r="AO19" s="615"/>
      <c r="AP19" s="615"/>
      <c r="AQ19" s="615"/>
      <c r="AR19" s="615"/>
      <c r="AS19" s="615"/>
    </row>
    <row r="20" spans="1:45" ht="18" customHeight="1">
      <c r="A20" s="2537"/>
      <c r="B20" s="2539"/>
      <c r="C20" s="2538"/>
      <c r="D20" s="1401"/>
      <c r="E20" s="1402"/>
      <c r="F20" s="1403"/>
      <c r="G20" s="1402"/>
      <c r="H20" s="1400"/>
      <c r="I20" s="1400"/>
      <c r="J20" s="2542"/>
      <c r="K20" s="2542"/>
      <c r="L20" s="2542"/>
      <c r="M20" s="2544"/>
      <c r="N20" s="617"/>
      <c r="O20" s="2592" t="s">
        <v>247</v>
      </c>
      <c r="P20" s="2591"/>
      <c r="Q20" s="2591"/>
      <c r="R20" s="1230"/>
      <c r="S20" s="2605" t="s">
        <v>736</v>
      </c>
      <c r="T20" s="2605"/>
      <c r="U20" s="2605"/>
      <c r="V20" s="2605"/>
      <c r="W20" s="2605"/>
      <c r="X20" s="2605"/>
      <c r="Y20" s="2605"/>
      <c r="Z20" s="2605"/>
      <c r="AA20" s="2606"/>
      <c r="AF20" s="615"/>
      <c r="AG20" s="615"/>
      <c r="AH20" s="615"/>
      <c r="AI20" s="615"/>
      <c r="AJ20" s="615"/>
      <c r="AK20" s="615"/>
      <c r="AL20" s="615"/>
      <c r="AM20" s="615"/>
      <c r="AN20" s="615"/>
      <c r="AO20" s="615"/>
      <c r="AP20" s="615"/>
      <c r="AQ20" s="615"/>
      <c r="AR20" s="615"/>
      <c r="AS20" s="615"/>
    </row>
    <row r="21" spans="1:45" ht="18" customHeight="1">
      <c r="A21" s="2537"/>
      <c r="B21" s="2539"/>
      <c r="C21" s="2540"/>
      <c r="D21" s="1401"/>
      <c r="E21" s="1402"/>
      <c r="F21" s="1403"/>
      <c r="G21" s="1402"/>
      <c r="H21" s="1400"/>
      <c r="I21" s="1400"/>
      <c r="J21" s="2542"/>
      <c r="K21" s="2542"/>
      <c r="L21" s="2542"/>
      <c r="M21" s="2544"/>
      <c r="N21" s="617"/>
      <c r="O21" s="2592"/>
      <c r="P21" s="2591"/>
      <c r="Q21" s="2591"/>
      <c r="R21" s="1230"/>
      <c r="S21" s="2605"/>
      <c r="T21" s="2605"/>
      <c r="U21" s="2605"/>
      <c r="V21" s="2605"/>
      <c r="W21" s="2605"/>
      <c r="X21" s="2605"/>
      <c r="Y21" s="2605"/>
      <c r="Z21" s="2605"/>
      <c r="AA21" s="2606"/>
      <c r="AF21" s="615"/>
      <c r="AG21" s="615"/>
      <c r="AH21" s="615"/>
      <c r="AI21" s="615"/>
      <c r="AJ21" s="615"/>
      <c r="AK21" s="615"/>
      <c r="AL21" s="615"/>
      <c r="AM21" s="615"/>
      <c r="AN21" s="615"/>
      <c r="AO21" s="615"/>
      <c r="AP21" s="615"/>
      <c r="AQ21" s="615"/>
      <c r="AR21" s="615"/>
      <c r="AS21" s="615"/>
    </row>
    <row r="22" spans="1:45" ht="18" customHeight="1">
      <c r="A22" s="2537"/>
      <c r="B22" s="2539"/>
      <c r="C22" s="2538"/>
      <c r="D22" s="1401"/>
      <c r="E22" s="1402"/>
      <c r="F22" s="1403"/>
      <c r="G22" s="1402"/>
      <c r="H22" s="1400"/>
      <c r="I22" s="1400"/>
      <c r="J22" s="2542"/>
      <c r="K22" s="2542"/>
      <c r="L22" s="2542"/>
      <c r="M22" s="2544"/>
      <c r="N22" s="617"/>
      <c r="O22" s="2592"/>
      <c r="P22" s="2591"/>
      <c r="Q22" s="2591"/>
      <c r="R22" s="1230"/>
      <c r="S22" s="2605"/>
      <c r="T22" s="2605"/>
      <c r="U22" s="2605"/>
      <c r="V22" s="2605"/>
      <c r="W22" s="2605"/>
      <c r="X22" s="2605"/>
      <c r="Y22" s="2605"/>
      <c r="Z22" s="2605"/>
      <c r="AA22" s="2606"/>
      <c r="AB22" s="621"/>
      <c r="AC22" s="621"/>
      <c r="AF22" s="615"/>
      <c r="AG22" s="615"/>
      <c r="AH22" s="615"/>
      <c r="AI22" s="615"/>
      <c r="AJ22" s="615"/>
      <c r="AK22" s="615"/>
      <c r="AL22" s="615"/>
      <c r="AM22" s="615"/>
      <c r="AN22" s="615"/>
      <c r="AO22" s="615"/>
      <c r="AP22" s="615"/>
      <c r="AQ22" s="615"/>
      <c r="AR22" s="615"/>
      <c r="AS22" s="615"/>
    </row>
    <row r="23" spans="1:45" ht="18" customHeight="1" thickBot="1">
      <c r="A23" s="2574"/>
      <c r="B23" s="2575"/>
      <c r="C23" s="2540"/>
      <c r="D23" s="1405"/>
      <c r="E23" s="1402"/>
      <c r="F23" s="1403"/>
      <c r="G23" s="1406"/>
      <c r="H23" s="1400"/>
      <c r="I23" s="1400"/>
      <c r="J23" s="2576"/>
      <c r="K23" s="2576"/>
      <c r="L23" s="2576"/>
      <c r="M23" s="2577"/>
      <c r="N23" s="617"/>
      <c r="O23" s="2592" t="s">
        <v>275</v>
      </c>
      <c r="P23" s="2591"/>
      <c r="Q23" s="2591"/>
      <c r="R23" s="1230"/>
      <c r="S23" s="2605" t="s">
        <v>737</v>
      </c>
      <c r="T23" s="2605"/>
      <c r="U23" s="2605"/>
      <c r="V23" s="2605"/>
      <c r="W23" s="2605"/>
      <c r="X23" s="2605"/>
      <c r="Y23" s="2605"/>
      <c r="Z23" s="2605"/>
      <c r="AA23" s="2606"/>
      <c r="AF23" s="615"/>
      <c r="AG23" s="615"/>
      <c r="AH23" s="615"/>
      <c r="AI23" s="615"/>
      <c r="AJ23" s="615"/>
      <c r="AK23" s="615"/>
      <c r="AL23" s="615"/>
      <c r="AM23" s="615"/>
      <c r="AN23" s="615"/>
      <c r="AO23" s="615"/>
      <c r="AP23" s="615"/>
      <c r="AQ23" s="615"/>
      <c r="AR23" s="615"/>
      <c r="AS23" s="615"/>
    </row>
    <row r="24" spans="1:45" s="621" customFormat="1" ht="6" customHeight="1">
      <c r="A24" s="2578" t="s">
        <v>719</v>
      </c>
      <c r="B24" s="2580"/>
      <c r="C24" s="2580"/>
      <c r="D24" s="2580"/>
      <c r="E24" s="2580"/>
      <c r="F24" s="2580"/>
      <c r="G24" s="2580"/>
      <c r="H24" s="2580"/>
      <c r="I24" s="2580"/>
      <c r="J24" s="2580"/>
      <c r="K24" s="2580"/>
      <c r="L24" s="2580"/>
      <c r="M24" s="2581"/>
      <c r="N24" s="618"/>
      <c r="O24" s="2592"/>
      <c r="P24" s="2591"/>
      <c r="Q24" s="2591"/>
      <c r="R24" s="1230"/>
      <c r="S24" s="2605"/>
      <c r="T24" s="2605"/>
      <c r="U24" s="2605"/>
      <c r="V24" s="2605"/>
      <c r="W24" s="2605"/>
      <c r="X24" s="2605"/>
      <c r="Y24" s="2605"/>
      <c r="Z24" s="2605"/>
      <c r="AA24" s="2606"/>
      <c r="AB24" s="608"/>
      <c r="AC24" s="608"/>
      <c r="AF24" s="620"/>
      <c r="AG24" s="620"/>
      <c r="AH24" s="620"/>
      <c r="AI24" s="620"/>
      <c r="AJ24" s="620"/>
      <c r="AK24" s="620"/>
      <c r="AL24" s="620"/>
      <c r="AM24" s="620"/>
      <c r="AN24" s="620"/>
      <c r="AO24" s="620"/>
      <c r="AP24" s="620"/>
      <c r="AQ24" s="620"/>
      <c r="AR24" s="620"/>
      <c r="AS24" s="620"/>
    </row>
    <row r="25" spans="1:45" ht="21.95" customHeight="1" thickBot="1">
      <c r="A25" s="2579"/>
      <c r="B25" s="2582"/>
      <c r="C25" s="2582"/>
      <c r="D25" s="2582"/>
      <c r="E25" s="2582"/>
      <c r="F25" s="2582"/>
      <c r="G25" s="2582"/>
      <c r="H25" s="2582"/>
      <c r="I25" s="2582"/>
      <c r="J25" s="2582"/>
      <c r="K25" s="2582"/>
      <c r="L25" s="2582"/>
      <c r="M25" s="2583"/>
      <c r="N25" s="617"/>
      <c r="O25" s="2592"/>
      <c r="P25" s="2591"/>
      <c r="Q25" s="2591"/>
      <c r="R25" s="1230"/>
      <c r="S25" s="2605"/>
      <c r="T25" s="2605"/>
      <c r="U25" s="2605"/>
      <c r="V25" s="2605"/>
      <c r="W25" s="2605"/>
      <c r="X25" s="2605"/>
      <c r="Y25" s="2605"/>
      <c r="Z25" s="2605"/>
      <c r="AA25" s="2606"/>
      <c r="AB25" s="608"/>
      <c r="AC25" s="608"/>
      <c r="AF25" s="615"/>
      <c r="AG25" s="615"/>
      <c r="AH25" s="615"/>
      <c r="AI25" s="615"/>
      <c r="AJ25" s="615"/>
      <c r="AK25" s="615"/>
      <c r="AL25" s="615"/>
      <c r="AM25" s="615"/>
      <c r="AN25" s="615"/>
      <c r="AO25" s="615"/>
      <c r="AP25" s="615"/>
      <c r="AQ25" s="615"/>
      <c r="AR25" s="615"/>
      <c r="AS25" s="615"/>
    </row>
    <row r="26" spans="1:45" s="608" customFormat="1" ht="14.1" customHeight="1">
      <c r="A26" s="1407" t="s">
        <v>720</v>
      </c>
      <c r="B26" s="1408"/>
      <c r="D26" s="1116"/>
      <c r="E26" s="1116"/>
      <c r="F26" s="1116"/>
      <c r="G26" s="1116"/>
      <c r="H26" s="1116"/>
      <c r="I26" s="1116"/>
      <c r="J26" s="1116"/>
      <c r="K26" s="1116"/>
      <c r="L26" s="1116"/>
      <c r="M26" s="1409"/>
      <c r="N26" s="1116"/>
      <c r="O26" s="2601" t="s">
        <v>738</v>
      </c>
      <c r="P26" s="2602"/>
      <c r="Q26" s="2602"/>
      <c r="R26" s="1229"/>
      <c r="S26" s="2603" t="s">
        <v>739</v>
      </c>
      <c r="T26" s="2603"/>
      <c r="U26" s="2603"/>
      <c r="V26" s="2603"/>
      <c r="W26" s="2603"/>
      <c r="X26" s="2603"/>
      <c r="Y26" s="2603"/>
      <c r="Z26" s="2603"/>
      <c r="AA26" s="2604"/>
    </row>
    <row r="27" spans="1:45" s="608" customFormat="1" ht="21.95" customHeight="1" thickBot="1">
      <c r="A27" s="2584"/>
      <c r="B27" s="2585"/>
      <c r="C27" s="2585"/>
      <c r="D27" s="610"/>
      <c r="E27" s="2586"/>
      <c r="F27" s="2586"/>
      <c r="G27" s="2586"/>
      <c r="H27" s="2586"/>
      <c r="J27" s="1564"/>
      <c r="L27" s="2634"/>
      <c r="M27" s="2588"/>
      <c r="N27" s="622"/>
      <c r="O27" s="1635" t="s">
        <v>740</v>
      </c>
      <c r="P27" s="1628"/>
      <c r="Q27" s="2607" t="s">
        <v>96</v>
      </c>
      <c r="R27" s="1232"/>
      <c r="S27" s="2589" t="s">
        <v>741</v>
      </c>
      <c r="T27" s="2589"/>
      <c r="U27" s="2589"/>
      <c r="V27" s="2589"/>
      <c r="W27" s="2589"/>
      <c r="X27" s="2589"/>
      <c r="Y27" s="2589"/>
      <c r="Z27" s="632"/>
      <c r="AA27" s="623"/>
    </row>
    <row r="28" spans="1:45" s="608" customFormat="1" ht="12" customHeight="1">
      <c r="A28" s="2570" t="s">
        <v>721</v>
      </c>
      <c r="B28" s="2571"/>
      <c r="C28" s="2571"/>
      <c r="D28" s="611"/>
      <c r="E28" s="2571" t="s">
        <v>722</v>
      </c>
      <c r="F28" s="2571"/>
      <c r="G28" s="2571"/>
      <c r="H28" s="2572"/>
      <c r="J28" s="1491" t="s">
        <v>723</v>
      </c>
      <c r="L28" s="2465" t="s">
        <v>724</v>
      </c>
      <c r="M28" s="2573"/>
      <c r="N28" s="622"/>
      <c r="O28" s="1634"/>
      <c r="P28" s="1629"/>
      <c r="Q28" s="2608"/>
      <c r="R28" s="1230"/>
      <c r="S28" s="2590"/>
      <c r="T28" s="2590"/>
      <c r="U28" s="2590"/>
      <c r="V28" s="2590"/>
      <c r="W28" s="2590"/>
      <c r="X28" s="2590"/>
      <c r="Y28" s="2590"/>
      <c r="Z28" s="1226"/>
      <c r="AA28" s="1240"/>
    </row>
    <row r="29" spans="1:45" s="608" customFormat="1" ht="27" customHeight="1">
      <c r="A29" s="2639" t="s">
        <v>2661</v>
      </c>
      <c r="B29" s="2640"/>
      <c r="C29" s="2640"/>
      <c r="D29" s="2640"/>
      <c r="E29" s="2640"/>
      <c r="F29" s="2640"/>
      <c r="G29" s="2640"/>
      <c r="H29" s="2640"/>
      <c r="I29" s="2640"/>
      <c r="J29" s="2640"/>
      <c r="K29" s="2640"/>
      <c r="L29" s="2640"/>
      <c r="M29" s="2641"/>
      <c r="N29" s="622"/>
      <c r="O29" s="2592" t="s">
        <v>151</v>
      </c>
      <c r="P29" s="2591"/>
      <c r="Q29" s="2591"/>
      <c r="R29" s="1230"/>
      <c r="S29" s="1239" t="s">
        <v>742</v>
      </c>
      <c r="T29" s="1239"/>
      <c r="U29" s="1239"/>
      <c r="V29" s="1239"/>
      <c r="W29" s="1239"/>
      <c r="X29" s="1239"/>
      <c r="Y29" s="1239"/>
      <c r="Z29" s="1238"/>
      <c r="AA29" s="626"/>
    </row>
    <row r="30" spans="1:45" s="608" customFormat="1" ht="21.95" customHeight="1" thickBot="1">
      <c r="A30" s="2635"/>
      <c r="B30" s="2636"/>
      <c r="C30" s="2636"/>
      <c r="D30" s="610"/>
      <c r="E30" s="2637"/>
      <c r="F30" s="2637"/>
      <c r="G30" s="2637"/>
      <c r="H30" s="2637"/>
      <c r="J30" s="1259"/>
      <c r="L30" s="2634"/>
      <c r="M30" s="2638"/>
      <c r="N30" s="622"/>
      <c r="O30" s="2592" t="s">
        <v>207</v>
      </c>
      <c r="P30" s="2591"/>
      <c r="Q30" s="2591"/>
      <c r="R30" s="1230"/>
      <c r="S30" s="2599" t="s">
        <v>743</v>
      </c>
      <c r="T30" s="2599"/>
      <c r="U30" s="2599"/>
      <c r="V30" s="2599"/>
      <c r="W30" s="2599"/>
      <c r="X30" s="2599"/>
      <c r="Y30" s="2599"/>
      <c r="Z30" s="2599"/>
      <c r="AA30" s="2600"/>
      <c r="AB30" s="613"/>
      <c r="AC30" s="613"/>
    </row>
    <row r="31" spans="1:45" s="608" customFormat="1" ht="14.1" customHeight="1" thickBot="1">
      <c r="A31" s="2630" t="s">
        <v>744</v>
      </c>
      <c r="B31" s="2631"/>
      <c r="C31" s="2631"/>
      <c r="D31" s="894"/>
      <c r="E31" s="2631" t="s">
        <v>722</v>
      </c>
      <c r="F31" s="2631"/>
      <c r="G31" s="2631"/>
      <c r="H31" s="2632"/>
      <c r="I31" s="612"/>
      <c r="J31" s="894" t="s">
        <v>745</v>
      </c>
      <c r="K31" s="612"/>
      <c r="L31" s="2631" t="s">
        <v>724</v>
      </c>
      <c r="M31" s="2633"/>
      <c r="O31" s="1237"/>
      <c r="P31" s="1236"/>
      <c r="Q31" s="1236"/>
      <c r="R31" s="1230"/>
      <c r="S31" s="2599"/>
      <c r="T31" s="2599"/>
      <c r="U31" s="2599"/>
      <c r="V31" s="2599"/>
      <c r="W31" s="2599"/>
      <c r="X31" s="2599"/>
      <c r="Y31" s="2599"/>
      <c r="Z31" s="2599"/>
      <c r="AA31" s="2600"/>
      <c r="AB31" s="613"/>
      <c r="AC31" s="613"/>
    </row>
    <row r="32" spans="1:45">
      <c r="L32" s="615"/>
      <c r="M32" s="615"/>
      <c r="O32" s="2592" t="s">
        <v>248</v>
      </c>
      <c r="P32" s="2591"/>
      <c r="Q32" s="2591"/>
      <c r="R32" s="1230"/>
      <c r="S32" s="2593" t="s">
        <v>746</v>
      </c>
      <c r="T32" s="2593"/>
      <c r="U32" s="2593"/>
      <c r="V32" s="2593"/>
      <c r="W32" s="2593"/>
      <c r="X32" s="2593"/>
      <c r="Y32" s="2593"/>
      <c r="Z32" s="2593"/>
      <c r="AA32" s="2594"/>
      <c r="AF32" s="615"/>
      <c r="AG32" s="615"/>
      <c r="AH32" s="615"/>
      <c r="AI32" s="615"/>
      <c r="AJ32" s="615"/>
      <c r="AK32" s="615"/>
      <c r="AL32" s="615"/>
      <c r="AM32" s="615"/>
      <c r="AN32" s="615"/>
      <c r="AO32" s="615"/>
      <c r="AP32" s="615"/>
      <c r="AQ32" s="615"/>
      <c r="AR32" s="615"/>
      <c r="AS32" s="615"/>
    </row>
    <row r="33" spans="12:45">
      <c r="L33" s="615"/>
      <c r="M33" s="615"/>
      <c r="O33" s="2592"/>
      <c r="P33" s="2591"/>
      <c r="Q33" s="2591"/>
      <c r="R33" s="1230"/>
      <c r="S33" s="2593"/>
      <c r="T33" s="2593"/>
      <c r="U33" s="2593"/>
      <c r="V33" s="2593"/>
      <c r="W33" s="2593"/>
      <c r="X33" s="2593"/>
      <c r="Y33" s="2593"/>
      <c r="Z33" s="2593"/>
      <c r="AA33" s="2594"/>
      <c r="AF33" s="615"/>
      <c r="AG33" s="615"/>
      <c r="AH33" s="615"/>
      <c r="AI33" s="615"/>
      <c r="AJ33" s="615"/>
      <c r="AK33" s="615"/>
      <c r="AL33" s="615"/>
      <c r="AM33" s="615"/>
      <c r="AN33" s="615"/>
      <c r="AO33" s="615"/>
      <c r="AP33" s="615"/>
      <c r="AQ33" s="615"/>
      <c r="AR33" s="615"/>
      <c r="AS33" s="615"/>
    </row>
    <row r="34" spans="12:45">
      <c r="L34" s="615"/>
      <c r="M34" s="615"/>
      <c r="O34" s="2595" t="s">
        <v>276</v>
      </c>
      <c r="P34" s="2596"/>
      <c r="Q34" s="2596"/>
      <c r="R34" s="1229"/>
      <c r="S34" s="631" t="s">
        <v>747</v>
      </c>
      <c r="T34" s="631"/>
      <c r="U34" s="631"/>
      <c r="V34" s="631"/>
      <c r="W34" s="631"/>
      <c r="X34" s="631"/>
      <c r="Y34" s="631"/>
      <c r="Z34" s="629"/>
      <c r="AA34" s="630"/>
      <c r="AF34" s="615"/>
      <c r="AG34" s="615"/>
      <c r="AH34" s="615"/>
      <c r="AI34" s="615"/>
      <c r="AJ34" s="615"/>
      <c r="AK34" s="615"/>
      <c r="AL34" s="615"/>
      <c r="AM34" s="615"/>
      <c r="AN34" s="615"/>
      <c r="AO34" s="615"/>
      <c r="AP34" s="615"/>
      <c r="AQ34" s="615"/>
      <c r="AR34" s="615"/>
      <c r="AS34" s="615"/>
    </row>
    <row r="35" spans="12:45">
      <c r="L35" s="615"/>
      <c r="M35" s="615"/>
      <c r="AF35" s="615"/>
      <c r="AG35" s="615"/>
      <c r="AH35" s="615"/>
      <c r="AI35" s="615"/>
      <c r="AJ35" s="615"/>
      <c r="AK35" s="615"/>
      <c r="AL35" s="615"/>
      <c r="AM35" s="615"/>
      <c r="AN35" s="615"/>
      <c r="AO35" s="615"/>
      <c r="AP35" s="615"/>
      <c r="AQ35" s="615"/>
      <c r="AR35" s="615"/>
      <c r="AS35" s="615"/>
    </row>
    <row r="36" spans="12:45">
      <c r="L36" s="615"/>
      <c r="M36" s="615"/>
      <c r="AF36" s="615"/>
      <c r="AG36" s="615"/>
      <c r="AH36" s="615"/>
      <c r="AI36" s="615"/>
      <c r="AJ36" s="615"/>
      <c r="AK36" s="615"/>
      <c r="AL36" s="615"/>
      <c r="AM36" s="615"/>
      <c r="AN36" s="615"/>
      <c r="AO36" s="615"/>
      <c r="AP36" s="615"/>
      <c r="AQ36" s="615"/>
      <c r="AR36" s="615"/>
      <c r="AS36" s="615"/>
    </row>
    <row r="37" spans="12:45">
      <c r="L37" s="615"/>
      <c r="AF37" s="615"/>
      <c r="AG37" s="615"/>
      <c r="AH37" s="615"/>
      <c r="AI37" s="615"/>
      <c r="AJ37" s="615"/>
      <c r="AK37" s="615"/>
      <c r="AL37" s="615"/>
      <c r="AM37" s="615"/>
      <c r="AN37" s="615"/>
      <c r="AO37" s="615"/>
      <c r="AP37" s="615"/>
      <c r="AQ37" s="615"/>
      <c r="AR37" s="615"/>
      <c r="AS37" s="615"/>
    </row>
    <row r="38" spans="12:45">
      <c r="L38" s="615"/>
      <c r="AF38" s="615"/>
      <c r="AG38" s="615"/>
      <c r="AH38" s="615"/>
      <c r="AI38" s="615"/>
      <c r="AJ38" s="615"/>
      <c r="AK38" s="615"/>
      <c r="AL38" s="615"/>
      <c r="AM38" s="615"/>
      <c r="AN38" s="615"/>
      <c r="AO38" s="615"/>
      <c r="AP38" s="615"/>
      <c r="AQ38" s="615"/>
      <c r="AR38" s="615"/>
      <c r="AS38" s="615"/>
    </row>
    <row r="39" spans="12:45">
      <c r="L39" s="615"/>
      <c r="M39" s="615"/>
      <c r="AF39" s="615"/>
      <c r="AG39" s="615"/>
      <c r="AH39" s="615"/>
      <c r="AI39" s="615"/>
      <c r="AJ39" s="615"/>
      <c r="AK39" s="615"/>
      <c r="AL39" s="615"/>
      <c r="AM39" s="615"/>
      <c r="AN39" s="615"/>
      <c r="AO39" s="615"/>
      <c r="AP39" s="615"/>
      <c r="AQ39" s="615"/>
      <c r="AR39" s="615"/>
      <c r="AS39" s="615"/>
    </row>
    <row r="40" spans="12:45">
      <c r="L40" s="615"/>
      <c r="M40" s="615"/>
      <c r="AB40" s="615"/>
      <c r="AC40" s="615"/>
      <c r="AF40" s="615"/>
      <c r="AG40" s="615"/>
      <c r="AH40" s="615"/>
      <c r="AI40" s="615"/>
      <c r="AJ40" s="615"/>
      <c r="AK40" s="615"/>
      <c r="AL40" s="615"/>
      <c r="AM40" s="615"/>
      <c r="AN40" s="615"/>
      <c r="AO40" s="615"/>
      <c r="AP40" s="615"/>
      <c r="AQ40" s="615"/>
      <c r="AR40" s="615"/>
      <c r="AS40" s="615"/>
    </row>
    <row r="41" spans="12:45">
      <c r="L41" s="615"/>
      <c r="M41" s="615"/>
      <c r="AB41" s="615"/>
      <c r="AC41" s="615"/>
      <c r="AF41" s="615"/>
      <c r="AG41" s="615"/>
      <c r="AH41" s="615"/>
      <c r="AI41" s="615"/>
      <c r="AJ41" s="615"/>
      <c r="AK41" s="615"/>
      <c r="AL41" s="615"/>
      <c r="AM41" s="615"/>
      <c r="AN41" s="615"/>
      <c r="AO41" s="615"/>
      <c r="AP41" s="615"/>
      <c r="AQ41" s="615"/>
      <c r="AR41" s="615"/>
      <c r="AS41" s="615"/>
    </row>
    <row r="42" spans="12:45">
      <c r="L42" s="615"/>
      <c r="M42" s="615"/>
      <c r="AB42" s="615"/>
      <c r="AC42" s="615"/>
      <c r="AD42" s="615"/>
      <c r="AE42" s="615"/>
      <c r="AF42" s="615"/>
      <c r="AG42" s="615"/>
      <c r="AH42" s="615"/>
      <c r="AI42" s="615"/>
      <c r="AJ42" s="615"/>
      <c r="AK42" s="615"/>
      <c r="AL42" s="615"/>
      <c r="AM42" s="615"/>
      <c r="AN42" s="615"/>
      <c r="AO42" s="615"/>
      <c r="AP42" s="615"/>
      <c r="AQ42" s="615"/>
      <c r="AR42" s="615"/>
      <c r="AS42" s="615"/>
    </row>
    <row r="43" spans="12:45">
      <c r="L43" s="615"/>
      <c r="M43" s="615"/>
      <c r="AB43" s="615"/>
      <c r="AC43" s="615"/>
      <c r="AD43" s="615"/>
      <c r="AE43" s="615"/>
      <c r="AF43" s="615"/>
      <c r="AG43" s="615"/>
      <c r="AH43" s="615"/>
      <c r="AI43" s="615"/>
      <c r="AJ43" s="615"/>
      <c r="AK43" s="615"/>
      <c r="AL43" s="615"/>
      <c r="AM43" s="615"/>
      <c r="AN43" s="615"/>
      <c r="AO43" s="615"/>
      <c r="AP43" s="615"/>
      <c r="AQ43" s="615"/>
      <c r="AR43" s="615"/>
      <c r="AS43" s="615"/>
    </row>
    <row r="44" spans="12:45">
      <c r="L44" s="615"/>
      <c r="M44" s="615"/>
      <c r="AB44" s="615"/>
      <c r="AC44" s="615"/>
      <c r="AD44" s="615"/>
      <c r="AE44" s="615"/>
      <c r="AF44" s="615"/>
      <c r="AG44" s="615"/>
      <c r="AH44" s="615"/>
      <c r="AI44" s="615"/>
      <c r="AJ44" s="615"/>
      <c r="AK44" s="615"/>
      <c r="AL44" s="615"/>
      <c r="AM44" s="615"/>
      <c r="AN44" s="615"/>
      <c r="AO44" s="615"/>
      <c r="AP44" s="615"/>
      <c r="AQ44" s="615"/>
      <c r="AR44" s="615"/>
      <c r="AS44" s="615"/>
    </row>
    <row r="45" spans="12:45">
      <c r="L45" s="615"/>
      <c r="M45" s="615"/>
      <c r="AB45" s="615"/>
      <c r="AC45" s="615"/>
      <c r="AD45" s="615"/>
      <c r="AE45" s="615"/>
      <c r="AF45" s="615"/>
      <c r="AG45" s="615"/>
      <c r="AH45" s="615"/>
      <c r="AI45" s="615"/>
      <c r="AJ45" s="615"/>
      <c r="AK45" s="615"/>
      <c r="AL45" s="615"/>
      <c r="AM45" s="615"/>
      <c r="AN45" s="615"/>
      <c r="AO45" s="615"/>
      <c r="AP45" s="615"/>
      <c r="AQ45" s="615"/>
      <c r="AR45" s="615"/>
      <c r="AS45" s="615"/>
    </row>
    <row r="46" spans="12:45">
      <c r="L46" s="615"/>
      <c r="M46" s="615"/>
      <c r="AB46" s="615"/>
      <c r="AC46" s="615"/>
      <c r="AD46" s="615"/>
      <c r="AE46" s="615"/>
      <c r="AF46" s="615"/>
      <c r="AG46" s="615"/>
      <c r="AH46" s="615"/>
      <c r="AI46" s="615"/>
      <c r="AJ46" s="615"/>
      <c r="AK46" s="615"/>
      <c r="AL46" s="615"/>
      <c r="AM46" s="615"/>
      <c r="AN46" s="615"/>
      <c r="AO46" s="615"/>
      <c r="AP46" s="615"/>
      <c r="AQ46" s="615"/>
      <c r="AR46" s="615"/>
      <c r="AS46" s="615"/>
    </row>
    <row r="47" spans="12:45">
      <c r="L47" s="615"/>
      <c r="M47" s="615"/>
      <c r="AB47" s="615"/>
      <c r="AC47" s="615"/>
      <c r="AD47" s="615"/>
      <c r="AE47" s="615"/>
      <c r="AF47" s="615"/>
      <c r="AG47" s="615"/>
      <c r="AH47" s="615"/>
      <c r="AI47" s="615"/>
      <c r="AJ47" s="615"/>
      <c r="AK47" s="615"/>
      <c r="AL47" s="615"/>
      <c r="AM47" s="615"/>
      <c r="AN47" s="615"/>
      <c r="AO47" s="615"/>
      <c r="AP47" s="615"/>
      <c r="AQ47" s="615"/>
      <c r="AR47" s="615"/>
      <c r="AS47" s="615"/>
    </row>
    <row r="48" spans="12:45">
      <c r="L48" s="615"/>
      <c r="M48" s="615"/>
      <c r="AB48" s="615"/>
      <c r="AC48" s="615"/>
      <c r="AD48" s="615"/>
      <c r="AE48" s="615"/>
      <c r="AF48" s="615"/>
      <c r="AG48" s="615"/>
      <c r="AH48" s="615"/>
      <c r="AI48" s="615"/>
      <c r="AJ48" s="615"/>
      <c r="AK48" s="615"/>
      <c r="AL48" s="615"/>
      <c r="AM48" s="615"/>
      <c r="AN48" s="615"/>
      <c r="AO48" s="615"/>
      <c r="AP48" s="615"/>
      <c r="AQ48" s="615"/>
      <c r="AR48" s="615"/>
      <c r="AS48" s="615"/>
    </row>
    <row r="49" spans="12:45">
      <c r="L49" s="615"/>
      <c r="M49" s="615"/>
      <c r="AB49" s="615"/>
      <c r="AC49" s="615"/>
      <c r="AD49" s="615"/>
      <c r="AE49" s="615"/>
      <c r="AF49" s="615"/>
      <c r="AG49" s="615"/>
      <c r="AH49" s="615"/>
      <c r="AI49" s="615"/>
      <c r="AJ49" s="615"/>
      <c r="AK49" s="615"/>
      <c r="AL49" s="615"/>
      <c r="AM49" s="615"/>
      <c r="AN49" s="615"/>
      <c r="AO49" s="615"/>
      <c r="AP49" s="615"/>
      <c r="AQ49" s="615"/>
      <c r="AR49" s="615"/>
      <c r="AS49" s="615"/>
    </row>
    <row r="50" spans="12:45">
      <c r="L50" s="615"/>
      <c r="M50" s="615"/>
      <c r="AB50" s="615"/>
      <c r="AC50" s="615"/>
      <c r="AD50" s="615"/>
      <c r="AE50" s="615"/>
      <c r="AF50" s="615"/>
      <c r="AG50" s="615"/>
      <c r="AH50" s="615"/>
      <c r="AI50" s="615"/>
      <c r="AJ50" s="615"/>
      <c r="AK50" s="615"/>
      <c r="AL50" s="615"/>
      <c r="AM50" s="615"/>
      <c r="AN50" s="615"/>
      <c r="AO50" s="615"/>
      <c r="AP50" s="615"/>
      <c r="AQ50" s="615"/>
      <c r="AR50" s="615"/>
      <c r="AS50" s="615"/>
    </row>
    <row r="51" spans="12:45">
      <c r="L51" s="615"/>
      <c r="M51" s="615"/>
      <c r="AB51" s="615"/>
      <c r="AC51" s="615"/>
      <c r="AD51" s="615"/>
      <c r="AE51" s="615"/>
      <c r="AF51" s="615"/>
      <c r="AG51" s="615"/>
      <c r="AH51" s="615"/>
      <c r="AI51" s="615"/>
      <c r="AJ51" s="615"/>
      <c r="AK51" s="615"/>
      <c r="AL51" s="615"/>
      <c r="AM51" s="615"/>
      <c r="AN51" s="615"/>
      <c r="AO51" s="615"/>
      <c r="AP51" s="615"/>
      <c r="AQ51" s="615"/>
      <c r="AR51" s="615"/>
      <c r="AS51" s="615"/>
    </row>
    <row r="52" spans="12:45">
      <c r="L52" s="615"/>
      <c r="M52" s="615"/>
      <c r="AB52" s="615"/>
      <c r="AC52" s="615"/>
      <c r="AD52" s="615"/>
      <c r="AE52" s="615"/>
      <c r="AF52" s="615"/>
      <c r="AG52" s="615"/>
      <c r="AH52" s="615"/>
      <c r="AI52" s="615"/>
      <c r="AJ52" s="615"/>
      <c r="AK52" s="615"/>
      <c r="AL52" s="615"/>
      <c r="AM52" s="615"/>
      <c r="AN52" s="615"/>
      <c r="AO52" s="615"/>
      <c r="AP52" s="615"/>
      <c r="AQ52" s="615"/>
      <c r="AR52" s="615"/>
      <c r="AS52" s="615"/>
    </row>
    <row r="53" spans="12:45">
      <c r="L53" s="615"/>
      <c r="M53" s="615"/>
      <c r="AB53" s="615"/>
      <c r="AC53" s="615"/>
      <c r="AD53" s="615"/>
      <c r="AE53" s="615"/>
      <c r="AF53" s="615"/>
      <c r="AG53" s="615"/>
      <c r="AH53" s="615"/>
      <c r="AI53" s="615"/>
      <c r="AJ53" s="615"/>
      <c r="AK53" s="615"/>
      <c r="AL53" s="615"/>
      <c r="AM53" s="615"/>
      <c r="AN53" s="615"/>
      <c r="AO53" s="615"/>
      <c r="AP53" s="615"/>
      <c r="AQ53" s="615"/>
      <c r="AR53" s="615"/>
      <c r="AS53" s="615"/>
    </row>
    <row r="54" spans="12:45">
      <c r="L54" s="615"/>
      <c r="M54" s="615"/>
      <c r="AB54" s="615"/>
      <c r="AC54" s="615"/>
      <c r="AD54" s="615"/>
      <c r="AE54" s="615"/>
      <c r="AF54" s="615"/>
      <c r="AG54" s="615"/>
      <c r="AH54" s="615"/>
      <c r="AI54" s="615"/>
      <c r="AJ54" s="615"/>
      <c r="AK54" s="615"/>
      <c r="AL54" s="615"/>
      <c r="AM54" s="615"/>
      <c r="AN54" s="615"/>
      <c r="AO54" s="615"/>
      <c r="AP54" s="615"/>
      <c r="AQ54" s="615"/>
      <c r="AR54" s="615"/>
      <c r="AS54" s="615"/>
    </row>
    <row r="55" spans="12:45">
      <c r="L55" s="615"/>
      <c r="M55" s="615"/>
      <c r="AB55" s="615"/>
      <c r="AC55" s="615"/>
      <c r="AD55" s="615"/>
      <c r="AE55" s="615"/>
      <c r="AF55" s="615"/>
      <c r="AG55" s="615"/>
      <c r="AH55" s="615"/>
      <c r="AI55" s="615"/>
      <c r="AJ55" s="615"/>
      <c r="AK55" s="615"/>
      <c r="AL55" s="615"/>
      <c r="AM55" s="615"/>
      <c r="AN55" s="615"/>
      <c r="AO55" s="615"/>
      <c r="AP55" s="615"/>
      <c r="AQ55" s="615"/>
      <c r="AR55" s="615"/>
      <c r="AS55" s="615"/>
    </row>
    <row r="56" spans="12:45">
      <c r="L56" s="615"/>
      <c r="M56" s="615"/>
      <c r="AB56" s="615"/>
      <c r="AC56" s="615"/>
      <c r="AD56" s="615"/>
      <c r="AE56" s="615"/>
      <c r="AF56" s="615"/>
      <c r="AG56" s="615"/>
      <c r="AH56" s="615"/>
      <c r="AI56" s="615"/>
      <c r="AJ56" s="615"/>
      <c r="AK56" s="615"/>
      <c r="AL56" s="615"/>
      <c r="AM56" s="615"/>
      <c r="AN56" s="615"/>
      <c r="AO56" s="615"/>
      <c r="AP56" s="615"/>
      <c r="AQ56" s="615"/>
      <c r="AR56" s="615"/>
      <c r="AS56" s="615"/>
    </row>
    <row r="57" spans="12:45">
      <c r="L57" s="615"/>
      <c r="M57" s="615"/>
      <c r="AB57" s="615"/>
      <c r="AC57" s="615"/>
      <c r="AD57" s="615"/>
      <c r="AE57" s="615"/>
      <c r="AF57" s="615"/>
      <c r="AG57" s="615"/>
      <c r="AH57" s="615"/>
      <c r="AI57" s="615"/>
      <c r="AJ57" s="615"/>
      <c r="AK57" s="615"/>
      <c r="AL57" s="615"/>
      <c r="AM57" s="615"/>
      <c r="AN57" s="615"/>
      <c r="AO57" s="615"/>
      <c r="AP57" s="615"/>
      <c r="AQ57" s="615"/>
      <c r="AR57" s="615"/>
      <c r="AS57" s="615"/>
    </row>
    <row r="58" spans="12:45">
      <c r="L58" s="615"/>
      <c r="M58" s="615"/>
      <c r="AB58" s="615"/>
      <c r="AC58" s="615"/>
      <c r="AD58" s="615"/>
      <c r="AE58" s="615"/>
      <c r="AF58" s="615"/>
      <c r="AG58" s="615"/>
      <c r="AH58" s="615"/>
      <c r="AI58" s="615"/>
      <c r="AJ58" s="615"/>
      <c r="AK58" s="615"/>
      <c r="AL58" s="615"/>
      <c r="AM58" s="615"/>
      <c r="AN58" s="615"/>
      <c r="AO58" s="615"/>
      <c r="AP58" s="615"/>
      <c r="AQ58" s="615"/>
      <c r="AR58" s="615"/>
      <c r="AS58" s="615"/>
    </row>
    <row r="59" spans="12:45">
      <c r="L59" s="615"/>
      <c r="M59" s="615"/>
      <c r="AB59" s="615"/>
      <c r="AC59" s="615"/>
      <c r="AD59" s="615"/>
      <c r="AE59" s="615"/>
      <c r="AF59" s="615"/>
      <c r="AG59" s="615"/>
      <c r="AH59" s="615"/>
      <c r="AI59" s="615"/>
      <c r="AJ59" s="615"/>
      <c r="AK59" s="615"/>
      <c r="AL59" s="615"/>
      <c r="AM59" s="615"/>
      <c r="AN59" s="615"/>
      <c r="AO59" s="615"/>
      <c r="AP59" s="615"/>
      <c r="AQ59" s="615"/>
      <c r="AR59" s="615"/>
      <c r="AS59" s="615"/>
    </row>
    <row r="60" spans="12:45">
      <c r="L60" s="615"/>
      <c r="M60" s="615"/>
      <c r="AB60" s="615"/>
      <c r="AC60" s="615"/>
      <c r="AD60" s="615"/>
      <c r="AE60" s="615"/>
      <c r="AF60" s="615"/>
      <c r="AG60" s="615"/>
      <c r="AH60" s="615"/>
      <c r="AI60" s="615"/>
      <c r="AJ60" s="615"/>
      <c r="AK60" s="615"/>
      <c r="AL60" s="615"/>
      <c r="AM60" s="615"/>
      <c r="AN60" s="615"/>
      <c r="AO60" s="615"/>
      <c r="AP60" s="615"/>
      <c r="AQ60" s="615"/>
      <c r="AR60" s="615"/>
      <c r="AS60" s="615"/>
    </row>
    <row r="61" spans="12:45">
      <c r="L61" s="615"/>
      <c r="M61" s="615"/>
      <c r="AB61" s="615"/>
      <c r="AC61" s="615"/>
      <c r="AD61" s="615"/>
      <c r="AE61" s="615"/>
      <c r="AF61" s="615"/>
      <c r="AG61" s="615"/>
      <c r="AH61" s="615"/>
      <c r="AI61" s="615"/>
      <c r="AJ61" s="615"/>
      <c r="AK61" s="615"/>
      <c r="AL61" s="615"/>
      <c r="AM61" s="615"/>
      <c r="AN61" s="615"/>
      <c r="AO61" s="615"/>
      <c r="AP61" s="615"/>
      <c r="AQ61" s="615"/>
      <c r="AR61" s="615"/>
      <c r="AS61" s="615"/>
    </row>
    <row r="62" spans="12:45">
      <c r="L62" s="615"/>
      <c r="M62" s="615"/>
      <c r="AB62" s="615"/>
      <c r="AC62" s="615"/>
      <c r="AD62" s="615"/>
      <c r="AE62" s="615"/>
      <c r="AF62" s="615"/>
      <c r="AG62" s="615"/>
      <c r="AH62" s="615"/>
      <c r="AI62" s="615"/>
      <c r="AJ62" s="615"/>
      <c r="AK62" s="615"/>
      <c r="AL62" s="615"/>
      <c r="AM62" s="615"/>
      <c r="AN62" s="615"/>
      <c r="AO62" s="615"/>
      <c r="AP62" s="615"/>
      <c r="AQ62" s="615"/>
      <c r="AR62" s="615"/>
      <c r="AS62" s="615"/>
    </row>
    <row r="63" spans="12:45">
      <c r="L63" s="615"/>
      <c r="M63" s="615"/>
      <c r="AB63" s="615"/>
      <c r="AC63" s="615"/>
      <c r="AD63" s="615"/>
      <c r="AE63" s="615"/>
      <c r="AF63" s="615"/>
      <c r="AG63" s="615"/>
      <c r="AH63" s="615"/>
      <c r="AI63" s="615"/>
      <c r="AJ63" s="615"/>
      <c r="AK63" s="615"/>
      <c r="AL63" s="615"/>
      <c r="AM63" s="615"/>
      <c r="AN63" s="615"/>
      <c r="AO63" s="615"/>
      <c r="AP63" s="615"/>
      <c r="AQ63" s="615"/>
      <c r="AR63" s="615"/>
      <c r="AS63" s="615"/>
    </row>
    <row r="64" spans="12:45">
      <c r="L64" s="615"/>
      <c r="M64" s="615"/>
      <c r="AB64" s="615"/>
      <c r="AC64" s="615"/>
      <c r="AD64" s="615"/>
      <c r="AE64" s="615"/>
      <c r="AF64" s="615"/>
      <c r="AG64" s="615"/>
      <c r="AH64" s="615"/>
      <c r="AI64" s="615"/>
      <c r="AJ64" s="615"/>
      <c r="AK64" s="615"/>
      <c r="AL64" s="615"/>
      <c r="AM64" s="615"/>
      <c r="AN64" s="615"/>
      <c r="AO64" s="615"/>
      <c r="AP64" s="615"/>
      <c r="AQ64" s="615"/>
      <c r="AR64" s="615"/>
      <c r="AS64" s="615"/>
    </row>
    <row r="65" spans="12:45">
      <c r="L65" s="615"/>
      <c r="M65" s="615"/>
      <c r="AB65" s="615"/>
      <c r="AC65" s="615"/>
      <c r="AD65" s="615"/>
      <c r="AE65" s="615"/>
      <c r="AF65" s="615"/>
      <c r="AG65" s="615"/>
      <c r="AH65" s="615"/>
      <c r="AI65" s="615"/>
      <c r="AJ65" s="615"/>
      <c r="AK65" s="615"/>
      <c r="AL65" s="615"/>
      <c r="AM65" s="615"/>
      <c r="AN65" s="615"/>
      <c r="AO65" s="615"/>
      <c r="AP65" s="615"/>
      <c r="AQ65" s="615"/>
      <c r="AR65" s="615"/>
      <c r="AS65" s="615"/>
    </row>
    <row r="66" spans="12:45">
      <c r="L66" s="615"/>
      <c r="M66" s="615"/>
      <c r="AB66" s="615"/>
      <c r="AC66" s="615"/>
      <c r="AD66" s="615"/>
      <c r="AE66" s="615"/>
      <c r="AF66" s="615"/>
      <c r="AG66" s="615"/>
      <c r="AH66" s="615"/>
      <c r="AI66" s="615"/>
      <c r="AJ66" s="615"/>
      <c r="AK66" s="615"/>
      <c r="AL66" s="615"/>
      <c r="AM66" s="615"/>
      <c r="AN66" s="615"/>
      <c r="AO66" s="615"/>
      <c r="AP66" s="615"/>
      <c r="AQ66" s="615"/>
      <c r="AR66" s="615"/>
      <c r="AS66" s="615"/>
    </row>
    <row r="67" spans="12:45">
      <c r="L67" s="615"/>
      <c r="M67" s="615"/>
      <c r="AB67" s="615"/>
      <c r="AC67" s="615"/>
      <c r="AD67" s="615"/>
      <c r="AE67" s="615"/>
      <c r="AF67" s="615"/>
      <c r="AG67" s="615"/>
      <c r="AH67" s="615"/>
      <c r="AI67" s="615"/>
      <c r="AJ67" s="615"/>
      <c r="AK67" s="615"/>
      <c r="AL67" s="615"/>
      <c r="AM67" s="615"/>
      <c r="AN67" s="615"/>
      <c r="AO67" s="615"/>
      <c r="AP67" s="615"/>
      <c r="AQ67" s="615"/>
      <c r="AR67" s="615"/>
      <c r="AS67" s="615"/>
    </row>
    <row r="68" spans="12:45">
      <c r="L68" s="615"/>
      <c r="M68" s="615"/>
      <c r="AB68" s="615"/>
      <c r="AC68" s="615"/>
      <c r="AD68" s="615"/>
      <c r="AE68" s="615"/>
      <c r="AF68" s="615"/>
      <c r="AG68" s="615"/>
      <c r="AH68" s="615"/>
      <c r="AI68" s="615"/>
      <c r="AJ68" s="615"/>
      <c r="AK68" s="615"/>
      <c r="AL68" s="615"/>
      <c r="AM68" s="615"/>
      <c r="AN68" s="615"/>
      <c r="AO68" s="615"/>
      <c r="AP68" s="615"/>
      <c r="AQ68" s="615"/>
      <c r="AR68" s="615"/>
      <c r="AS68" s="615"/>
    </row>
    <row r="69" spans="12:45">
      <c r="L69" s="615"/>
      <c r="M69" s="615"/>
      <c r="AB69" s="615"/>
      <c r="AC69" s="615"/>
      <c r="AD69" s="615"/>
      <c r="AE69" s="615"/>
      <c r="AF69" s="615"/>
      <c r="AG69" s="615"/>
      <c r="AH69" s="615"/>
      <c r="AI69" s="615"/>
      <c r="AJ69" s="615"/>
      <c r="AK69" s="615"/>
      <c r="AL69" s="615"/>
      <c r="AM69" s="615"/>
      <c r="AN69" s="615"/>
      <c r="AO69" s="615"/>
      <c r="AP69" s="615"/>
      <c r="AQ69" s="615"/>
      <c r="AR69" s="615"/>
      <c r="AS69" s="615"/>
    </row>
    <row r="70" spans="12:45">
      <c r="L70" s="615"/>
      <c r="M70" s="615"/>
      <c r="AB70" s="615"/>
      <c r="AC70" s="615"/>
      <c r="AD70" s="615"/>
      <c r="AE70" s="615"/>
      <c r="AF70" s="615"/>
      <c r="AG70" s="615"/>
      <c r="AH70" s="615"/>
      <c r="AI70" s="615"/>
      <c r="AJ70" s="615"/>
      <c r="AK70" s="615"/>
      <c r="AL70" s="615"/>
      <c r="AM70" s="615"/>
      <c r="AN70" s="615"/>
      <c r="AO70" s="615"/>
      <c r="AP70" s="615"/>
      <c r="AQ70" s="615"/>
      <c r="AR70" s="615"/>
      <c r="AS70" s="615"/>
    </row>
    <row r="71" spans="12:45">
      <c r="L71" s="615"/>
      <c r="M71" s="615"/>
      <c r="AB71" s="615"/>
      <c r="AC71" s="615"/>
      <c r="AD71" s="615"/>
      <c r="AE71" s="615"/>
      <c r="AF71" s="615"/>
      <c r="AG71" s="615"/>
      <c r="AH71" s="615"/>
      <c r="AI71" s="615"/>
      <c r="AJ71" s="615"/>
      <c r="AK71" s="615"/>
      <c r="AL71" s="615"/>
      <c r="AM71" s="615"/>
      <c r="AN71" s="615"/>
      <c r="AO71" s="615"/>
      <c r="AP71" s="615"/>
      <c r="AQ71" s="615"/>
      <c r="AR71" s="615"/>
      <c r="AS71" s="615"/>
    </row>
    <row r="72" spans="12:45">
      <c r="L72" s="615"/>
      <c r="M72" s="615"/>
      <c r="AB72" s="615"/>
      <c r="AC72" s="615"/>
      <c r="AD72" s="615"/>
      <c r="AE72" s="615"/>
      <c r="AF72" s="615"/>
      <c r="AG72" s="615"/>
      <c r="AH72" s="615"/>
      <c r="AI72" s="615"/>
      <c r="AJ72" s="615"/>
      <c r="AK72" s="615"/>
      <c r="AL72" s="615"/>
      <c r="AM72" s="615"/>
      <c r="AN72" s="615"/>
      <c r="AO72" s="615"/>
      <c r="AP72" s="615"/>
      <c r="AQ72" s="615"/>
      <c r="AR72" s="615"/>
      <c r="AS72" s="615"/>
    </row>
    <row r="73" spans="12:45">
      <c r="L73" s="615"/>
      <c r="M73" s="615"/>
      <c r="AB73" s="615"/>
      <c r="AC73" s="615"/>
      <c r="AD73" s="615"/>
      <c r="AE73" s="615"/>
      <c r="AF73" s="615"/>
      <c r="AG73" s="615"/>
      <c r="AH73" s="615"/>
      <c r="AI73" s="615"/>
      <c r="AJ73" s="615"/>
      <c r="AK73" s="615"/>
      <c r="AL73" s="615"/>
      <c r="AM73" s="615"/>
      <c r="AN73" s="615"/>
      <c r="AO73" s="615"/>
      <c r="AP73" s="615"/>
      <c r="AQ73" s="615"/>
      <c r="AR73" s="615"/>
      <c r="AS73" s="615"/>
    </row>
    <row r="74" spans="12:45">
      <c r="L74" s="615"/>
      <c r="M74" s="615"/>
      <c r="AB74" s="615"/>
      <c r="AC74" s="615"/>
      <c r="AD74" s="615"/>
      <c r="AE74" s="615"/>
      <c r="AF74" s="615"/>
      <c r="AG74" s="615"/>
      <c r="AH74" s="615"/>
      <c r="AI74" s="615"/>
      <c r="AJ74" s="615"/>
      <c r="AK74" s="615"/>
      <c r="AL74" s="615"/>
      <c r="AM74" s="615"/>
      <c r="AN74" s="615"/>
      <c r="AO74" s="615"/>
      <c r="AP74" s="615"/>
      <c r="AQ74" s="615"/>
      <c r="AR74" s="615"/>
      <c r="AS74" s="615"/>
    </row>
    <row r="75" spans="12:45">
      <c r="L75" s="615"/>
      <c r="M75" s="615"/>
      <c r="AB75" s="615"/>
      <c r="AC75" s="615"/>
      <c r="AD75" s="615"/>
      <c r="AE75" s="615"/>
      <c r="AF75" s="615"/>
      <c r="AG75" s="615"/>
      <c r="AH75" s="615"/>
      <c r="AI75" s="615"/>
      <c r="AJ75" s="615"/>
      <c r="AK75" s="615"/>
      <c r="AL75" s="615"/>
      <c r="AM75" s="615"/>
      <c r="AN75" s="615"/>
      <c r="AO75" s="615"/>
      <c r="AP75" s="615"/>
      <c r="AQ75" s="615"/>
      <c r="AR75" s="615"/>
      <c r="AS75" s="615"/>
    </row>
    <row r="76" spans="12:45">
      <c r="L76" s="615"/>
      <c r="M76" s="615"/>
      <c r="AB76" s="615"/>
      <c r="AC76" s="615"/>
      <c r="AD76" s="615"/>
      <c r="AE76" s="615"/>
      <c r="AF76" s="615"/>
      <c r="AG76" s="615"/>
      <c r="AH76" s="615"/>
      <c r="AI76" s="615"/>
      <c r="AJ76" s="615"/>
      <c r="AK76" s="615"/>
      <c r="AL76" s="615"/>
      <c r="AM76" s="615"/>
      <c r="AN76" s="615"/>
      <c r="AO76" s="615"/>
      <c r="AP76" s="615"/>
      <c r="AQ76" s="615"/>
      <c r="AR76" s="615"/>
      <c r="AS76" s="615"/>
    </row>
    <row r="77" spans="12:45">
      <c r="L77" s="615"/>
      <c r="M77" s="615"/>
      <c r="AB77" s="615"/>
      <c r="AC77" s="615"/>
      <c r="AD77" s="615"/>
      <c r="AE77" s="615"/>
      <c r="AF77" s="615"/>
      <c r="AG77" s="615"/>
      <c r="AH77" s="615"/>
      <c r="AI77" s="615"/>
      <c r="AJ77" s="615"/>
      <c r="AK77" s="615"/>
      <c r="AL77" s="615"/>
      <c r="AM77" s="615"/>
      <c r="AN77" s="615"/>
      <c r="AO77" s="615"/>
      <c r="AP77" s="615"/>
      <c r="AQ77" s="615"/>
      <c r="AR77" s="615"/>
      <c r="AS77" s="615"/>
    </row>
    <row r="78" spans="12:45">
      <c r="L78" s="615"/>
      <c r="M78" s="615"/>
      <c r="AB78" s="615"/>
      <c r="AC78" s="615"/>
      <c r="AD78" s="615"/>
      <c r="AE78" s="615"/>
      <c r="AF78" s="615"/>
      <c r="AG78" s="615"/>
      <c r="AH78" s="615"/>
      <c r="AI78" s="615"/>
      <c r="AJ78" s="615"/>
      <c r="AK78" s="615"/>
      <c r="AL78" s="615"/>
      <c r="AM78" s="615"/>
      <c r="AN78" s="615"/>
      <c r="AO78" s="615"/>
      <c r="AP78" s="615"/>
      <c r="AQ78" s="615"/>
      <c r="AR78" s="615"/>
      <c r="AS78" s="615"/>
    </row>
    <row r="79" spans="12:45">
      <c r="L79" s="615"/>
      <c r="M79" s="615"/>
      <c r="AB79" s="615"/>
      <c r="AC79" s="615"/>
      <c r="AD79" s="615"/>
      <c r="AE79" s="615"/>
      <c r="AF79" s="615"/>
      <c r="AG79" s="615"/>
      <c r="AH79" s="615"/>
      <c r="AI79" s="615"/>
      <c r="AJ79" s="615"/>
      <c r="AK79" s="615"/>
      <c r="AL79" s="615"/>
      <c r="AM79" s="615"/>
      <c r="AN79" s="615"/>
      <c r="AO79" s="615"/>
      <c r="AP79" s="615"/>
      <c r="AQ79" s="615"/>
      <c r="AR79" s="615"/>
      <c r="AS79" s="615"/>
    </row>
    <row r="80" spans="12:45">
      <c r="L80" s="615"/>
      <c r="M80" s="615"/>
      <c r="AB80" s="615"/>
      <c r="AC80" s="615"/>
      <c r="AD80" s="615"/>
      <c r="AE80" s="615"/>
      <c r="AF80" s="615"/>
      <c r="AG80" s="615"/>
      <c r="AH80" s="615"/>
      <c r="AI80" s="615"/>
      <c r="AJ80" s="615"/>
      <c r="AK80" s="615"/>
      <c r="AL80" s="615"/>
      <c r="AM80" s="615"/>
      <c r="AN80" s="615"/>
      <c r="AO80" s="615"/>
      <c r="AP80" s="615"/>
      <c r="AQ80" s="615"/>
      <c r="AR80" s="615"/>
      <c r="AS80" s="615"/>
    </row>
    <row r="81" spans="12:45">
      <c r="L81" s="615"/>
      <c r="M81" s="615"/>
      <c r="AB81" s="615"/>
      <c r="AC81" s="615"/>
      <c r="AD81" s="615"/>
      <c r="AE81" s="615"/>
      <c r="AF81" s="615"/>
      <c r="AG81" s="615"/>
      <c r="AH81" s="615"/>
      <c r="AI81" s="615"/>
      <c r="AJ81" s="615"/>
      <c r="AK81" s="615"/>
      <c r="AL81" s="615"/>
      <c r="AM81" s="615"/>
      <c r="AN81" s="615"/>
      <c r="AO81" s="615"/>
      <c r="AP81" s="615"/>
      <c r="AQ81" s="615"/>
      <c r="AR81" s="615"/>
      <c r="AS81" s="615"/>
    </row>
    <row r="82" spans="12:45">
      <c r="L82" s="615"/>
      <c r="M82" s="615"/>
      <c r="AB82" s="615"/>
      <c r="AC82" s="615"/>
      <c r="AD82" s="615"/>
      <c r="AE82" s="615"/>
      <c r="AF82" s="615"/>
      <c r="AG82" s="615"/>
      <c r="AH82" s="615"/>
      <c r="AI82" s="615"/>
      <c r="AJ82" s="615"/>
      <c r="AK82" s="615"/>
      <c r="AL82" s="615"/>
      <c r="AM82" s="615"/>
      <c r="AN82" s="615"/>
      <c r="AO82" s="615"/>
      <c r="AP82" s="615"/>
      <c r="AQ82" s="615"/>
      <c r="AR82" s="615"/>
      <c r="AS82" s="615"/>
    </row>
    <row r="83" spans="12:45">
      <c r="L83" s="615"/>
      <c r="M83" s="615"/>
      <c r="AB83" s="615"/>
      <c r="AC83" s="615"/>
      <c r="AD83" s="615"/>
      <c r="AE83" s="615"/>
      <c r="AF83" s="615"/>
      <c r="AG83" s="615"/>
      <c r="AH83" s="615"/>
      <c r="AI83" s="615"/>
      <c r="AJ83" s="615"/>
      <c r="AK83" s="615"/>
      <c r="AL83" s="615"/>
      <c r="AM83" s="615"/>
      <c r="AN83" s="615"/>
      <c r="AO83" s="615"/>
      <c r="AP83" s="615"/>
      <c r="AQ83" s="615"/>
      <c r="AR83" s="615"/>
      <c r="AS83" s="615"/>
    </row>
    <row r="84" spans="12:45">
      <c r="L84" s="615"/>
      <c r="M84" s="615"/>
      <c r="AB84" s="615"/>
      <c r="AC84" s="615"/>
      <c r="AD84" s="615"/>
      <c r="AE84" s="615"/>
      <c r="AF84" s="615"/>
      <c r="AG84" s="615"/>
      <c r="AH84" s="615"/>
      <c r="AI84" s="615"/>
      <c r="AJ84" s="615"/>
      <c r="AK84" s="615"/>
      <c r="AL84" s="615"/>
      <c r="AM84" s="615"/>
      <c r="AN84" s="615"/>
      <c r="AO84" s="615"/>
      <c r="AP84" s="615"/>
      <c r="AQ84" s="615"/>
      <c r="AR84" s="615"/>
      <c r="AS84" s="615"/>
    </row>
    <row r="85" spans="12:45">
      <c r="L85" s="615"/>
      <c r="M85" s="615"/>
      <c r="AB85" s="615"/>
      <c r="AC85" s="615"/>
      <c r="AD85" s="615"/>
      <c r="AE85" s="615"/>
      <c r="AF85" s="615"/>
      <c r="AG85" s="615"/>
      <c r="AH85" s="615"/>
      <c r="AI85" s="615"/>
      <c r="AJ85" s="615"/>
      <c r="AK85" s="615"/>
      <c r="AL85" s="615"/>
      <c r="AM85" s="615"/>
      <c r="AN85" s="615"/>
      <c r="AO85" s="615"/>
      <c r="AP85" s="615"/>
      <c r="AQ85" s="615"/>
      <c r="AR85" s="615"/>
      <c r="AS85" s="615"/>
    </row>
    <row r="86" spans="12:45">
      <c r="L86" s="615"/>
      <c r="M86" s="615"/>
      <c r="AB86" s="615"/>
      <c r="AC86" s="615"/>
      <c r="AD86" s="615"/>
      <c r="AE86" s="615"/>
      <c r="AF86" s="615"/>
      <c r="AG86" s="615"/>
      <c r="AH86" s="615"/>
      <c r="AI86" s="615"/>
      <c r="AJ86" s="615"/>
      <c r="AK86" s="615"/>
      <c r="AL86" s="615"/>
      <c r="AM86" s="615"/>
      <c r="AN86" s="615"/>
      <c r="AO86" s="615"/>
      <c r="AP86" s="615"/>
      <c r="AQ86" s="615"/>
      <c r="AR86" s="615"/>
      <c r="AS86" s="615"/>
    </row>
    <row r="87" spans="12:45">
      <c r="L87" s="615"/>
      <c r="M87" s="615"/>
      <c r="AB87" s="615"/>
      <c r="AC87" s="615"/>
      <c r="AD87" s="615"/>
      <c r="AE87" s="615"/>
      <c r="AF87" s="615"/>
      <c r="AG87" s="615"/>
      <c r="AH87" s="615"/>
      <c r="AI87" s="615"/>
      <c r="AJ87" s="615"/>
      <c r="AK87" s="615"/>
      <c r="AL87" s="615"/>
      <c r="AM87" s="615"/>
      <c r="AN87" s="615"/>
      <c r="AO87" s="615"/>
      <c r="AP87" s="615"/>
      <c r="AQ87" s="615"/>
      <c r="AR87" s="615"/>
      <c r="AS87" s="615"/>
    </row>
    <row r="88" spans="12:45">
      <c r="L88" s="615"/>
      <c r="M88" s="615"/>
      <c r="AB88" s="615"/>
      <c r="AC88" s="615"/>
      <c r="AD88" s="615"/>
      <c r="AE88" s="615"/>
      <c r="AF88" s="615"/>
      <c r="AG88" s="615"/>
      <c r="AH88" s="615"/>
      <c r="AI88" s="615"/>
      <c r="AJ88" s="615"/>
      <c r="AK88" s="615"/>
      <c r="AL88" s="615"/>
      <c r="AM88" s="615"/>
      <c r="AN88" s="615"/>
      <c r="AO88" s="615"/>
      <c r="AP88" s="615"/>
      <c r="AQ88" s="615"/>
      <c r="AR88" s="615"/>
      <c r="AS88" s="615"/>
    </row>
    <row r="89" spans="12:45">
      <c r="L89" s="615"/>
      <c r="M89" s="615"/>
      <c r="AB89" s="615"/>
      <c r="AC89" s="615"/>
      <c r="AD89" s="615"/>
      <c r="AE89" s="615"/>
      <c r="AF89" s="615"/>
      <c r="AG89" s="615"/>
      <c r="AH89" s="615"/>
      <c r="AI89" s="615"/>
      <c r="AJ89" s="615"/>
      <c r="AK89" s="615"/>
      <c r="AL89" s="615"/>
      <c r="AM89" s="615"/>
      <c r="AN89" s="615"/>
      <c r="AO89" s="615"/>
      <c r="AP89" s="615"/>
      <c r="AQ89" s="615"/>
      <c r="AR89" s="615"/>
      <c r="AS89" s="615"/>
    </row>
    <row r="90" spans="12:45">
      <c r="L90" s="615"/>
      <c r="M90" s="615"/>
      <c r="AB90" s="615"/>
      <c r="AC90" s="615"/>
      <c r="AD90" s="615"/>
      <c r="AE90" s="615"/>
      <c r="AF90" s="615"/>
      <c r="AG90" s="615"/>
      <c r="AH90" s="615"/>
      <c r="AI90" s="615"/>
      <c r="AJ90" s="615"/>
      <c r="AK90" s="615"/>
      <c r="AL90" s="615"/>
      <c r="AM90" s="615"/>
      <c r="AN90" s="615"/>
      <c r="AO90" s="615"/>
      <c r="AP90" s="615"/>
      <c r="AQ90" s="615"/>
      <c r="AR90" s="615"/>
      <c r="AS90" s="615"/>
    </row>
    <row r="91" spans="12:45">
      <c r="L91" s="615"/>
      <c r="M91" s="615"/>
      <c r="AB91" s="615"/>
      <c r="AC91" s="615"/>
      <c r="AD91" s="615"/>
      <c r="AE91" s="615"/>
      <c r="AF91" s="615"/>
      <c r="AG91" s="615"/>
      <c r="AH91" s="615"/>
      <c r="AI91" s="615"/>
      <c r="AJ91" s="615"/>
      <c r="AK91" s="615"/>
      <c r="AL91" s="615"/>
      <c r="AM91" s="615"/>
      <c r="AN91" s="615"/>
      <c r="AO91" s="615"/>
      <c r="AP91" s="615"/>
      <c r="AQ91" s="615"/>
      <c r="AR91" s="615"/>
      <c r="AS91" s="615"/>
    </row>
    <row r="92" spans="12:45">
      <c r="L92" s="615"/>
      <c r="M92" s="615"/>
      <c r="AB92" s="615"/>
      <c r="AC92" s="615"/>
      <c r="AD92" s="615"/>
      <c r="AE92" s="615"/>
      <c r="AF92" s="615"/>
      <c r="AG92" s="615"/>
      <c r="AH92" s="615"/>
      <c r="AI92" s="615"/>
      <c r="AJ92" s="615"/>
      <c r="AK92" s="615"/>
      <c r="AL92" s="615"/>
      <c r="AM92" s="615"/>
      <c r="AN92" s="615"/>
      <c r="AO92" s="615"/>
      <c r="AP92" s="615"/>
      <c r="AQ92" s="615"/>
      <c r="AR92" s="615"/>
      <c r="AS92" s="615"/>
    </row>
    <row r="93" spans="12:45">
      <c r="L93" s="615"/>
      <c r="M93" s="615"/>
      <c r="AB93" s="615"/>
      <c r="AC93" s="615"/>
      <c r="AD93" s="615"/>
      <c r="AE93" s="615"/>
      <c r="AF93" s="615"/>
      <c r="AG93" s="615"/>
      <c r="AH93" s="615"/>
      <c r="AI93" s="615"/>
      <c r="AJ93" s="615"/>
      <c r="AK93" s="615"/>
      <c r="AL93" s="615"/>
      <c r="AM93" s="615"/>
      <c r="AN93" s="615"/>
      <c r="AO93" s="615"/>
      <c r="AP93" s="615"/>
      <c r="AQ93" s="615"/>
      <c r="AR93" s="615"/>
      <c r="AS93" s="615"/>
    </row>
    <row r="94" spans="12:45">
      <c r="L94" s="615"/>
      <c r="M94" s="615"/>
      <c r="AB94" s="615"/>
      <c r="AC94" s="615"/>
      <c r="AD94" s="615"/>
      <c r="AE94" s="615"/>
      <c r="AF94" s="615"/>
      <c r="AG94" s="615"/>
      <c r="AH94" s="615"/>
      <c r="AI94" s="615"/>
      <c r="AJ94" s="615"/>
      <c r="AK94" s="615"/>
      <c r="AL94" s="615"/>
      <c r="AM94" s="615"/>
      <c r="AN94" s="615"/>
      <c r="AO94" s="615"/>
      <c r="AP94" s="615"/>
      <c r="AQ94" s="615"/>
      <c r="AR94" s="615"/>
      <c r="AS94" s="615"/>
    </row>
    <row r="95" spans="12:45">
      <c r="L95" s="615"/>
      <c r="M95" s="615"/>
      <c r="AB95" s="615"/>
      <c r="AC95" s="615"/>
      <c r="AD95" s="615"/>
      <c r="AE95" s="615"/>
      <c r="AF95" s="615"/>
      <c r="AG95" s="615"/>
      <c r="AH95" s="615"/>
      <c r="AI95" s="615"/>
      <c r="AJ95" s="615"/>
      <c r="AK95" s="615"/>
      <c r="AL95" s="615"/>
      <c r="AM95" s="615"/>
      <c r="AN95" s="615"/>
      <c r="AO95" s="615"/>
      <c r="AP95" s="615"/>
      <c r="AQ95" s="615"/>
      <c r="AR95" s="615"/>
      <c r="AS95" s="615"/>
    </row>
    <row r="96" spans="12:45">
      <c r="L96" s="615"/>
      <c r="M96" s="615"/>
      <c r="AB96" s="615"/>
      <c r="AC96" s="615"/>
      <c r="AD96" s="615"/>
      <c r="AE96" s="615"/>
      <c r="AF96" s="615"/>
      <c r="AG96" s="615"/>
      <c r="AH96" s="615"/>
      <c r="AI96" s="615"/>
      <c r="AJ96" s="615"/>
      <c r="AK96" s="615"/>
      <c r="AL96" s="615"/>
      <c r="AM96" s="615"/>
      <c r="AN96" s="615"/>
      <c r="AO96" s="615"/>
      <c r="AP96" s="615"/>
      <c r="AQ96" s="615"/>
      <c r="AR96" s="615"/>
      <c r="AS96" s="615"/>
    </row>
    <row r="97" spans="12:45">
      <c r="L97" s="615"/>
      <c r="M97" s="615"/>
      <c r="AB97" s="615"/>
      <c r="AC97" s="615"/>
      <c r="AD97" s="615"/>
      <c r="AE97" s="615"/>
      <c r="AF97" s="615"/>
      <c r="AG97" s="615"/>
      <c r="AH97" s="615"/>
      <c r="AI97" s="615"/>
      <c r="AJ97" s="615"/>
      <c r="AK97" s="615"/>
      <c r="AL97" s="615"/>
      <c r="AM97" s="615"/>
      <c r="AN97" s="615"/>
      <c r="AO97" s="615"/>
      <c r="AP97" s="615"/>
      <c r="AQ97" s="615"/>
      <c r="AR97" s="615"/>
      <c r="AS97" s="615"/>
    </row>
    <row r="98" spans="12:45">
      <c r="L98" s="615"/>
      <c r="M98" s="615"/>
      <c r="AB98" s="615"/>
      <c r="AC98" s="615"/>
      <c r="AD98" s="615"/>
      <c r="AE98" s="615"/>
      <c r="AF98" s="615"/>
      <c r="AG98" s="615"/>
      <c r="AH98" s="615"/>
      <c r="AI98" s="615"/>
      <c r="AJ98" s="615"/>
      <c r="AK98" s="615"/>
      <c r="AL98" s="615"/>
      <c r="AM98" s="615"/>
      <c r="AN98" s="615"/>
      <c r="AO98" s="615"/>
      <c r="AP98" s="615"/>
      <c r="AQ98" s="615"/>
      <c r="AR98" s="615"/>
      <c r="AS98" s="615"/>
    </row>
    <row r="99" spans="12:45">
      <c r="L99" s="615"/>
      <c r="M99" s="615"/>
      <c r="AB99" s="615"/>
      <c r="AC99" s="615"/>
      <c r="AD99" s="615"/>
      <c r="AE99" s="615"/>
      <c r="AF99" s="615"/>
      <c r="AG99" s="615"/>
      <c r="AH99" s="615"/>
      <c r="AI99" s="615"/>
      <c r="AJ99" s="615"/>
      <c r="AK99" s="615"/>
      <c r="AL99" s="615"/>
      <c r="AM99" s="615"/>
      <c r="AN99" s="615"/>
      <c r="AO99" s="615"/>
      <c r="AP99" s="615"/>
      <c r="AQ99" s="615"/>
      <c r="AR99" s="615"/>
      <c r="AS99" s="615"/>
    </row>
    <row r="100" spans="12:45">
      <c r="L100" s="615"/>
      <c r="M100" s="615"/>
      <c r="AB100" s="615"/>
      <c r="AC100" s="615"/>
      <c r="AD100" s="615"/>
      <c r="AE100" s="615"/>
      <c r="AF100" s="615"/>
      <c r="AG100" s="615"/>
      <c r="AH100" s="615"/>
      <c r="AI100" s="615"/>
      <c r="AJ100" s="615"/>
      <c r="AK100" s="615"/>
      <c r="AL100" s="615"/>
      <c r="AM100" s="615"/>
      <c r="AN100" s="615"/>
      <c r="AO100" s="615"/>
      <c r="AP100" s="615"/>
      <c r="AQ100" s="615"/>
      <c r="AR100" s="615"/>
      <c r="AS100" s="615"/>
    </row>
    <row r="101" spans="12:45">
      <c r="L101" s="615"/>
      <c r="M101" s="615"/>
      <c r="AB101" s="615"/>
      <c r="AC101" s="615"/>
      <c r="AD101" s="615"/>
      <c r="AE101" s="615"/>
      <c r="AF101" s="615"/>
      <c r="AG101" s="615"/>
      <c r="AH101" s="615"/>
      <c r="AI101" s="615"/>
      <c r="AJ101" s="615"/>
      <c r="AK101" s="615"/>
      <c r="AL101" s="615"/>
      <c r="AM101" s="615"/>
      <c r="AN101" s="615"/>
      <c r="AO101" s="615"/>
      <c r="AP101" s="615"/>
      <c r="AQ101" s="615"/>
      <c r="AR101" s="615"/>
      <c r="AS101" s="615"/>
    </row>
    <row r="102" spans="12:45">
      <c r="L102" s="615"/>
      <c r="M102" s="615"/>
      <c r="AB102" s="615"/>
      <c r="AC102" s="615"/>
      <c r="AD102" s="615"/>
      <c r="AE102" s="615"/>
      <c r="AF102" s="615"/>
      <c r="AG102" s="615"/>
      <c r="AH102" s="615"/>
      <c r="AI102" s="615"/>
      <c r="AJ102" s="615"/>
      <c r="AK102" s="615"/>
      <c r="AL102" s="615"/>
      <c r="AM102" s="615"/>
      <c r="AN102" s="615"/>
      <c r="AO102" s="615"/>
      <c r="AP102" s="615"/>
      <c r="AQ102" s="615"/>
      <c r="AR102" s="615"/>
      <c r="AS102" s="615"/>
    </row>
    <row r="103" spans="12:45">
      <c r="L103" s="615"/>
      <c r="M103" s="615"/>
      <c r="AB103" s="615"/>
      <c r="AC103" s="615"/>
      <c r="AD103" s="615"/>
      <c r="AE103" s="615"/>
      <c r="AF103" s="615"/>
      <c r="AG103" s="615"/>
      <c r="AH103" s="615"/>
      <c r="AI103" s="615"/>
      <c r="AJ103" s="615"/>
      <c r="AK103" s="615"/>
      <c r="AL103" s="615"/>
      <c r="AM103" s="615"/>
      <c r="AN103" s="615"/>
      <c r="AO103" s="615"/>
      <c r="AP103" s="615"/>
      <c r="AQ103" s="615"/>
      <c r="AR103" s="615"/>
      <c r="AS103" s="615"/>
    </row>
    <row r="104" spans="12:45">
      <c r="L104" s="615"/>
      <c r="M104" s="615"/>
      <c r="AB104" s="615"/>
      <c r="AC104" s="615"/>
      <c r="AD104" s="615"/>
      <c r="AE104" s="615"/>
      <c r="AF104" s="615"/>
      <c r="AG104" s="615"/>
      <c r="AH104" s="615"/>
      <c r="AI104" s="615"/>
      <c r="AJ104" s="615"/>
      <c r="AK104" s="615"/>
      <c r="AL104" s="615"/>
      <c r="AM104" s="615"/>
      <c r="AN104" s="615"/>
      <c r="AO104" s="615"/>
      <c r="AP104" s="615"/>
      <c r="AQ104" s="615"/>
      <c r="AR104" s="615"/>
      <c r="AS104" s="615"/>
    </row>
    <row r="105" spans="12:45">
      <c r="L105" s="615"/>
      <c r="M105" s="615"/>
      <c r="AB105" s="615"/>
      <c r="AC105" s="615"/>
      <c r="AD105" s="615"/>
      <c r="AE105" s="615"/>
      <c r="AF105" s="615"/>
      <c r="AG105" s="615"/>
      <c r="AH105" s="615"/>
      <c r="AI105" s="615"/>
      <c r="AJ105" s="615"/>
      <c r="AK105" s="615"/>
      <c r="AL105" s="615"/>
      <c r="AM105" s="615"/>
      <c r="AN105" s="615"/>
      <c r="AO105" s="615"/>
      <c r="AP105" s="615"/>
      <c r="AQ105" s="615"/>
      <c r="AR105" s="615"/>
      <c r="AS105" s="615"/>
    </row>
    <row r="106" spans="12:45">
      <c r="L106" s="615"/>
      <c r="M106" s="615"/>
      <c r="AB106" s="615"/>
      <c r="AC106" s="615"/>
      <c r="AD106" s="615"/>
      <c r="AE106" s="615"/>
      <c r="AF106" s="615"/>
      <c r="AG106" s="615"/>
      <c r="AH106" s="615"/>
      <c r="AI106" s="615"/>
      <c r="AJ106" s="615"/>
      <c r="AK106" s="615"/>
      <c r="AL106" s="615"/>
      <c r="AM106" s="615"/>
      <c r="AN106" s="615"/>
      <c r="AO106" s="615"/>
      <c r="AP106" s="615"/>
      <c r="AQ106" s="615"/>
      <c r="AR106" s="615"/>
      <c r="AS106" s="615"/>
    </row>
    <row r="107" spans="12:45">
      <c r="L107" s="615"/>
      <c r="M107" s="615"/>
      <c r="AB107" s="615"/>
      <c r="AC107" s="615"/>
      <c r="AD107" s="615"/>
      <c r="AE107" s="615"/>
      <c r="AF107" s="615"/>
      <c r="AG107" s="615"/>
      <c r="AH107" s="615"/>
      <c r="AI107" s="615"/>
      <c r="AJ107" s="615"/>
      <c r="AK107" s="615"/>
      <c r="AL107" s="615"/>
      <c r="AM107" s="615"/>
      <c r="AN107" s="615"/>
      <c r="AO107" s="615"/>
      <c r="AP107" s="615"/>
      <c r="AQ107" s="615"/>
      <c r="AR107" s="615"/>
      <c r="AS107" s="615"/>
    </row>
    <row r="108" spans="12:45">
      <c r="L108" s="615"/>
      <c r="M108" s="615"/>
      <c r="AB108" s="615"/>
      <c r="AC108" s="615"/>
      <c r="AD108" s="615"/>
      <c r="AE108" s="615"/>
      <c r="AF108" s="615"/>
      <c r="AG108" s="615"/>
      <c r="AH108" s="615"/>
      <c r="AI108" s="615"/>
      <c r="AJ108" s="615"/>
      <c r="AK108" s="615"/>
      <c r="AL108" s="615"/>
      <c r="AM108" s="615"/>
      <c r="AN108" s="615"/>
      <c r="AO108" s="615"/>
      <c r="AP108" s="615"/>
      <c r="AQ108" s="615"/>
      <c r="AR108" s="615"/>
      <c r="AS108" s="615"/>
    </row>
    <row r="109" spans="12:45">
      <c r="L109" s="615"/>
      <c r="M109" s="615"/>
      <c r="AB109" s="615"/>
      <c r="AC109" s="615"/>
      <c r="AD109" s="615"/>
      <c r="AE109" s="615"/>
      <c r="AF109" s="615"/>
      <c r="AG109" s="615"/>
      <c r="AH109" s="615"/>
      <c r="AI109" s="615"/>
      <c r="AJ109" s="615"/>
      <c r="AK109" s="615"/>
      <c r="AL109" s="615"/>
      <c r="AM109" s="615"/>
      <c r="AN109" s="615"/>
      <c r="AO109" s="615"/>
      <c r="AP109" s="615"/>
      <c r="AQ109" s="615"/>
      <c r="AR109" s="615"/>
      <c r="AS109" s="615"/>
    </row>
    <row r="110" spans="12:45">
      <c r="L110" s="615"/>
      <c r="M110" s="615"/>
      <c r="AB110" s="615"/>
      <c r="AC110" s="615"/>
      <c r="AD110" s="615"/>
      <c r="AE110" s="615"/>
      <c r="AF110" s="615"/>
      <c r="AG110" s="615"/>
      <c r="AH110" s="615"/>
      <c r="AI110" s="615"/>
      <c r="AJ110" s="615"/>
      <c r="AK110" s="615"/>
      <c r="AL110" s="615"/>
      <c r="AM110" s="615"/>
      <c r="AN110" s="615"/>
      <c r="AO110" s="615"/>
      <c r="AP110" s="615"/>
      <c r="AQ110" s="615"/>
      <c r="AR110" s="615"/>
      <c r="AS110" s="615"/>
    </row>
    <row r="111" spans="12:45">
      <c r="L111" s="615"/>
      <c r="M111" s="615"/>
      <c r="AB111" s="615"/>
      <c r="AC111" s="615"/>
      <c r="AD111" s="615"/>
      <c r="AE111" s="615"/>
      <c r="AF111" s="615"/>
      <c r="AG111" s="615"/>
      <c r="AH111" s="615"/>
      <c r="AI111" s="615"/>
      <c r="AJ111" s="615"/>
      <c r="AK111" s="615"/>
      <c r="AL111" s="615"/>
      <c r="AM111" s="615"/>
      <c r="AN111" s="615"/>
      <c r="AO111" s="615"/>
      <c r="AP111" s="615"/>
      <c r="AQ111" s="615"/>
      <c r="AR111" s="615"/>
      <c r="AS111" s="615"/>
    </row>
    <row r="112" spans="12:45">
      <c r="L112" s="615"/>
      <c r="M112" s="615"/>
      <c r="AB112" s="615"/>
      <c r="AC112" s="615"/>
      <c r="AD112" s="615"/>
      <c r="AE112" s="615"/>
      <c r="AF112" s="615"/>
      <c r="AG112" s="615"/>
      <c r="AH112" s="615"/>
      <c r="AI112" s="615"/>
      <c r="AJ112" s="615"/>
      <c r="AK112" s="615"/>
      <c r="AL112" s="615"/>
      <c r="AM112" s="615"/>
      <c r="AN112" s="615"/>
      <c r="AO112" s="615"/>
      <c r="AP112" s="615"/>
      <c r="AQ112" s="615"/>
      <c r="AR112" s="615"/>
      <c r="AS112" s="615"/>
    </row>
    <row r="113" spans="12:45">
      <c r="L113" s="615"/>
      <c r="M113" s="615"/>
      <c r="AB113" s="615"/>
      <c r="AC113" s="615"/>
      <c r="AD113" s="615"/>
      <c r="AE113" s="615"/>
      <c r="AF113" s="615"/>
      <c r="AG113" s="615"/>
      <c r="AH113" s="615"/>
      <c r="AI113" s="615"/>
      <c r="AJ113" s="615"/>
      <c r="AK113" s="615"/>
      <c r="AL113" s="615"/>
      <c r="AM113" s="615"/>
      <c r="AN113" s="615"/>
      <c r="AO113" s="615"/>
      <c r="AP113" s="615"/>
      <c r="AQ113" s="615"/>
      <c r="AR113" s="615"/>
      <c r="AS113" s="615"/>
    </row>
    <row r="114" spans="12:45">
      <c r="L114" s="615"/>
      <c r="M114" s="615"/>
      <c r="AB114" s="615"/>
      <c r="AC114" s="615"/>
      <c r="AD114" s="615"/>
      <c r="AE114" s="615"/>
      <c r="AF114" s="615"/>
      <c r="AG114" s="615"/>
      <c r="AH114" s="615"/>
      <c r="AI114" s="615"/>
      <c r="AJ114" s="615"/>
      <c r="AK114" s="615"/>
      <c r="AL114" s="615"/>
      <c r="AM114" s="615"/>
      <c r="AN114" s="615"/>
      <c r="AO114" s="615"/>
      <c r="AP114" s="615"/>
      <c r="AQ114" s="615"/>
      <c r="AR114" s="615"/>
      <c r="AS114" s="615"/>
    </row>
    <row r="115" spans="12:45">
      <c r="L115" s="615"/>
      <c r="M115" s="615"/>
      <c r="AB115" s="615"/>
      <c r="AC115" s="615"/>
      <c r="AD115" s="615"/>
      <c r="AE115" s="615"/>
      <c r="AF115" s="615"/>
      <c r="AG115" s="615"/>
      <c r="AH115" s="615"/>
      <c r="AI115" s="615"/>
      <c r="AJ115" s="615"/>
      <c r="AK115" s="615"/>
      <c r="AL115" s="615"/>
      <c r="AM115" s="615"/>
      <c r="AN115" s="615"/>
      <c r="AO115" s="615"/>
      <c r="AP115" s="615"/>
      <c r="AQ115" s="615"/>
      <c r="AR115" s="615"/>
      <c r="AS115" s="615"/>
    </row>
    <row r="116" spans="12:45">
      <c r="L116" s="615"/>
      <c r="M116" s="615"/>
      <c r="AB116" s="615"/>
      <c r="AC116" s="615"/>
      <c r="AD116" s="615"/>
      <c r="AE116" s="615"/>
      <c r="AF116" s="615"/>
      <c r="AG116" s="615"/>
      <c r="AH116" s="615"/>
      <c r="AI116" s="615"/>
      <c r="AJ116" s="615"/>
      <c r="AK116" s="615"/>
      <c r="AL116" s="615"/>
      <c r="AM116" s="615"/>
      <c r="AN116" s="615"/>
      <c r="AO116" s="615"/>
      <c r="AP116" s="615"/>
      <c r="AQ116" s="615"/>
      <c r="AR116" s="615"/>
      <c r="AS116" s="615"/>
    </row>
    <row r="117" spans="12:45">
      <c r="L117" s="615"/>
      <c r="M117" s="615"/>
      <c r="AB117" s="615"/>
      <c r="AC117" s="615"/>
      <c r="AD117" s="615"/>
      <c r="AE117" s="615"/>
      <c r="AF117" s="615"/>
      <c r="AG117" s="615"/>
      <c r="AH117" s="615"/>
      <c r="AI117" s="615"/>
      <c r="AJ117" s="615"/>
      <c r="AK117" s="615"/>
      <c r="AL117" s="615"/>
      <c r="AM117" s="615"/>
      <c r="AN117" s="615"/>
      <c r="AO117" s="615"/>
      <c r="AP117" s="615"/>
      <c r="AQ117" s="615"/>
      <c r="AR117" s="615"/>
      <c r="AS117" s="615"/>
    </row>
    <row r="118" spans="12:45">
      <c r="L118" s="615"/>
      <c r="M118" s="615"/>
      <c r="AB118" s="615"/>
      <c r="AC118" s="615"/>
      <c r="AD118" s="615"/>
      <c r="AE118" s="615"/>
      <c r="AF118" s="615"/>
      <c r="AG118" s="615"/>
      <c r="AH118" s="615"/>
      <c r="AI118" s="615"/>
      <c r="AJ118" s="615"/>
      <c r="AK118" s="615"/>
      <c r="AL118" s="615"/>
      <c r="AM118" s="615"/>
      <c r="AN118" s="615"/>
      <c r="AO118" s="615"/>
      <c r="AP118" s="615"/>
      <c r="AQ118" s="615"/>
      <c r="AR118" s="615"/>
      <c r="AS118" s="615"/>
    </row>
    <row r="119" spans="12:45">
      <c r="L119" s="615"/>
      <c r="M119" s="615"/>
      <c r="AB119" s="615"/>
      <c r="AC119" s="615"/>
      <c r="AD119" s="615"/>
      <c r="AE119" s="615"/>
      <c r="AF119" s="615"/>
      <c r="AG119" s="615"/>
      <c r="AH119" s="615"/>
      <c r="AI119" s="615"/>
      <c r="AJ119" s="615"/>
      <c r="AK119" s="615"/>
      <c r="AL119" s="615"/>
      <c r="AM119" s="615"/>
      <c r="AN119" s="615"/>
      <c r="AO119" s="615"/>
      <c r="AP119" s="615"/>
      <c r="AQ119" s="615"/>
      <c r="AR119" s="615"/>
      <c r="AS119" s="615"/>
    </row>
    <row r="120" spans="12:45">
      <c r="L120" s="615"/>
      <c r="M120" s="615"/>
      <c r="AB120" s="615"/>
      <c r="AC120" s="615"/>
      <c r="AD120" s="615"/>
      <c r="AE120" s="615"/>
      <c r="AF120" s="615"/>
      <c r="AG120" s="615"/>
      <c r="AH120" s="615"/>
      <c r="AI120" s="615"/>
      <c r="AJ120" s="615"/>
      <c r="AK120" s="615"/>
      <c r="AL120" s="615"/>
      <c r="AM120" s="615"/>
      <c r="AN120" s="615"/>
      <c r="AO120" s="615"/>
      <c r="AP120" s="615"/>
      <c r="AQ120" s="615"/>
      <c r="AR120" s="615"/>
      <c r="AS120" s="615"/>
    </row>
    <row r="121" spans="12:45">
      <c r="L121" s="615"/>
      <c r="M121" s="615"/>
      <c r="AB121" s="615"/>
      <c r="AC121" s="615"/>
      <c r="AD121" s="615"/>
      <c r="AE121" s="615"/>
      <c r="AF121" s="615"/>
      <c r="AG121" s="615"/>
      <c r="AH121" s="615"/>
      <c r="AI121" s="615"/>
      <c r="AJ121" s="615"/>
      <c r="AK121" s="615"/>
      <c r="AL121" s="615"/>
      <c r="AM121" s="615"/>
      <c r="AN121" s="615"/>
      <c r="AO121" s="615"/>
      <c r="AP121" s="615"/>
      <c r="AQ121" s="615"/>
      <c r="AR121" s="615"/>
      <c r="AS121" s="615"/>
    </row>
    <row r="122" spans="12:45">
      <c r="L122" s="615"/>
      <c r="M122" s="615"/>
      <c r="AB122" s="615"/>
      <c r="AC122" s="615"/>
      <c r="AD122" s="615"/>
      <c r="AE122" s="615"/>
      <c r="AF122" s="615"/>
      <c r="AG122" s="615"/>
      <c r="AH122" s="615"/>
      <c r="AI122" s="615"/>
      <c r="AJ122" s="615"/>
      <c r="AK122" s="615"/>
      <c r="AL122" s="615"/>
      <c r="AM122" s="615"/>
      <c r="AN122" s="615"/>
      <c r="AO122" s="615"/>
      <c r="AP122" s="615"/>
      <c r="AQ122" s="615"/>
      <c r="AR122" s="615"/>
      <c r="AS122" s="615"/>
    </row>
    <row r="123" spans="12:45">
      <c r="L123" s="615"/>
      <c r="M123" s="615"/>
      <c r="AB123" s="615"/>
      <c r="AC123" s="615"/>
      <c r="AD123" s="615"/>
      <c r="AE123" s="615"/>
      <c r="AF123" s="615"/>
      <c r="AG123" s="615"/>
      <c r="AH123" s="615"/>
      <c r="AI123" s="615"/>
      <c r="AJ123" s="615"/>
      <c r="AK123" s="615"/>
      <c r="AL123" s="615"/>
      <c r="AM123" s="615"/>
      <c r="AN123" s="615"/>
      <c r="AO123" s="615"/>
      <c r="AP123" s="615"/>
      <c r="AQ123" s="615"/>
      <c r="AR123" s="615"/>
      <c r="AS123" s="615"/>
    </row>
    <row r="124" spans="12:45">
      <c r="L124" s="615"/>
      <c r="M124" s="615"/>
      <c r="AB124" s="615"/>
      <c r="AC124" s="615"/>
      <c r="AD124" s="615"/>
      <c r="AE124" s="615"/>
      <c r="AF124" s="615"/>
      <c r="AG124" s="615"/>
      <c r="AH124" s="615"/>
      <c r="AI124" s="615"/>
      <c r="AJ124" s="615"/>
      <c r="AK124" s="615"/>
      <c r="AL124" s="615"/>
      <c r="AM124" s="615"/>
      <c r="AN124" s="615"/>
      <c r="AO124" s="615"/>
      <c r="AP124" s="615"/>
      <c r="AQ124" s="615"/>
      <c r="AR124" s="615"/>
      <c r="AS124" s="615"/>
    </row>
    <row r="125" spans="12:45">
      <c r="L125" s="615"/>
      <c r="M125" s="615"/>
      <c r="AB125" s="615"/>
      <c r="AC125" s="615"/>
      <c r="AD125" s="615"/>
      <c r="AE125" s="615"/>
      <c r="AF125" s="615"/>
      <c r="AG125" s="615"/>
      <c r="AH125" s="615"/>
      <c r="AI125" s="615"/>
      <c r="AJ125" s="615"/>
      <c r="AK125" s="615"/>
      <c r="AL125" s="615"/>
      <c r="AM125" s="615"/>
      <c r="AN125" s="615"/>
      <c r="AO125" s="615"/>
      <c r="AP125" s="615"/>
      <c r="AQ125" s="615"/>
      <c r="AR125" s="615"/>
      <c r="AS125" s="615"/>
    </row>
    <row r="126" spans="12:45">
      <c r="L126" s="615"/>
      <c r="M126" s="615"/>
      <c r="AB126" s="615"/>
      <c r="AC126" s="615"/>
      <c r="AD126" s="615"/>
      <c r="AE126" s="615"/>
      <c r="AF126" s="615"/>
      <c r="AG126" s="615"/>
      <c r="AH126" s="615"/>
      <c r="AI126" s="615"/>
      <c r="AJ126" s="615"/>
      <c r="AK126" s="615"/>
      <c r="AL126" s="615"/>
      <c r="AM126" s="615"/>
      <c r="AN126" s="615"/>
      <c r="AO126" s="615"/>
      <c r="AP126" s="615"/>
      <c r="AQ126" s="615"/>
      <c r="AR126" s="615"/>
      <c r="AS126" s="615"/>
    </row>
    <row r="127" spans="12:45">
      <c r="L127" s="615"/>
      <c r="M127" s="615"/>
      <c r="AB127" s="615"/>
      <c r="AC127" s="615"/>
      <c r="AD127" s="615"/>
      <c r="AE127" s="615"/>
      <c r="AF127" s="615"/>
      <c r="AG127" s="615"/>
      <c r="AH127" s="615"/>
      <c r="AI127" s="615"/>
      <c r="AJ127" s="615"/>
      <c r="AK127" s="615"/>
      <c r="AL127" s="615"/>
      <c r="AM127" s="615"/>
      <c r="AN127" s="615"/>
      <c r="AO127" s="615"/>
      <c r="AP127" s="615"/>
      <c r="AQ127" s="615"/>
      <c r="AR127" s="615"/>
      <c r="AS127" s="615"/>
    </row>
    <row r="128" spans="12:45">
      <c r="L128" s="615"/>
      <c r="M128" s="615"/>
      <c r="AB128" s="615"/>
      <c r="AC128" s="615"/>
      <c r="AD128" s="615"/>
      <c r="AE128" s="615"/>
      <c r="AF128" s="615"/>
      <c r="AG128" s="615"/>
      <c r="AH128" s="615"/>
      <c r="AI128" s="615"/>
      <c r="AJ128" s="615"/>
      <c r="AK128" s="615"/>
      <c r="AL128" s="615"/>
      <c r="AM128" s="615"/>
      <c r="AN128" s="615"/>
      <c r="AO128" s="615"/>
      <c r="AP128" s="615"/>
      <c r="AQ128" s="615"/>
      <c r="AR128" s="615"/>
      <c r="AS128" s="615"/>
    </row>
    <row r="129" spans="12:45">
      <c r="L129" s="615"/>
      <c r="M129" s="615"/>
      <c r="AB129" s="615"/>
      <c r="AC129" s="615"/>
      <c r="AD129" s="615"/>
      <c r="AE129" s="615"/>
      <c r="AF129" s="615"/>
      <c r="AG129" s="615"/>
      <c r="AH129" s="615"/>
      <c r="AI129" s="615"/>
      <c r="AJ129" s="615"/>
      <c r="AK129" s="615"/>
      <c r="AL129" s="615"/>
      <c r="AM129" s="615"/>
      <c r="AN129" s="615"/>
      <c r="AO129" s="615"/>
      <c r="AP129" s="615"/>
      <c r="AQ129" s="615"/>
      <c r="AR129" s="615"/>
      <c r="AS129" s="615"/>
    </row>
    <row r="130" spans="12:45">
      <c r="L130" s="615"/>
      <c r="M130" s="615"/>
      <c r="AB130" s="615"/>
      <c r="AC130" s="615"/>
      <c r="AD130" s="615"/>
      <c r="AE130" s="615"/>
      <c r="AF130" s="615"/>
      <c r="AG130" s="615"/>
      <c r="AH130" s="615"/>
      <c r="AI130" s="615"/>
      <c r="AJ130" s="615"/>
      <c r="AK130" s="615"/>
      <c r="AL130" s="615"/>
      <c r="AM130" s="615"/>
      <c r="AN130" s="615"/>
      <c r="AO130" s="615"/>
      <c r="AP130" s="615"/>
      <c r="AQ130" s="615"/>
      <c r="AR130" s="615"/>
      <c r="AS130" s="615"/>
    </row>
    <row r="131" spans="12:45">
      <c r="L131" s="615"/>
      <c r="M131" s="615"/>
      <c r="AB131" s="615"/>
      <c r="AC131" s="615"/>
      <c r="AD131" s="615"/>
      <c r="AE131" s="615"/>
      <c r="AF131" s="615"/>
      <c r="AG131" s="615"/>
      <c r="AH131" s="615"/>
      <c r="AI131" s="615"/>
      <c r="AJ131" s="615"/>
      <c r="AK131" s="615"/>
      <c r="AL131" s="615"/>
      <c r="AM131" s="615"/>
      <c r="AN131" s="615"/>
      <c r="AO131" s="615"/>
      <c r="AP131" s="615"/>
      <c r="AQ131" s="615"/>
      <c r="AR131" s="615"/>
      <c r="AS131" s="615"/>
    </row>
    <row r="132" spans="12:45">
      <c r="L132" s="615"/>
      <c r="M132" s="615"/>
      <c r="AB132" s="615"/>
      <c r="AC132" s="615"/>
      <c r="AD132" s="615"/>
      <c r="AE132" s="615"/>
      <c r="AF132" s="615"/>
      <c r="AG132" s="615"/>
      <c r="AH132" s="615"/>
      <c r="AI132" s="615"/>
      <c r="AJ132" s="615"/>
      <c r="AK132" s="615"/>
      <c r="AL132" s="615"/>
      <c r="AM132" s="615"/>
      <c r="AN132" s="615"/>
      <c r="AO132" s="615"/>
      <c r="AP132" s="615"/>
      <c r="AQ132" s="615"/>
      <c r="AR132" s="615"/>
      <c r="AS132" s="615"/>
    </row>
    <row r="133" spans="12:45">
      <c r="L133" s="615"/>
      <c r="M133" s="615"/>
      <c r="AB133" s="615"/>
      <c r="AC133" s="615"/>
      <c r="AD133" s="615"/>
      <c r="AE133" s="615"/>
      <c r="AF133" s="615"/>
      <c r="AG133" s="615"/>
      <c r="AH133" s="615"/>
      <c r="AI133" s="615"/>
      <c r="AJ133" s="615"/>
      <c r="AK133" s="615"/>
      <c r="AL133" s="615"/>
      <c r="AM133" s="615"/>
      <c r="AN133" s="615"/>
      <c r="AO133" s="615"/>
      <c r="AP133" s="615"/>
      <c r="AQ133" s="615"/>
      <c r="AR133" s="615"/>
      <c r="AS133" s="615"/>
    </row>
    <row r="134" spans="12:45">
      <c r="L134" s="615"/>
      <c r="M134" s="615"/>
      <c r="AB134" s="615"/>
      <c r="AC134" s="615"/>
      <c r="AD134" s="615"/>
      <c r="AE134" s="615"/>
      <c r="AF134" s="615"/>
      <c r="AG134" s="615"/>
      <c r="AH134" s="615"/>
      <c r="AI134" s="615"/>
      <c r="AJ134" s="615"/>
      <c r="AK134" s="615"/>
      <c r="AL134" s="615"/>
      <c r="AM134" s="615"/>
      <c r="AN134" s="615"/>
      <c r="AO134" s="615"/>
      <c r="AP134" s="615"/>
      <c r="AQ134" s="615"/>
      <c r="AR134" s="615"/>
      <c r="AS134" s="615"/>
    </row>
    <row r="135" spans="12:45">
      <c r="L135" s="615"/>
      <c r="M135" s="615"/>
      <c r="AB135" s="615"/>
      <c r="AC135" s="615"/>
      <c r="AD135" s="615"/>
      <c r="AE135" s="615"/>
      <c r="AF135" s="615"/>
      <c r="AG135" s="615"/>
      <c r="AH135" s="615"/>
      <c r="AI135" s="615"/>
      <c r="AJ135" s="615"/>
      <c r="AK135" s="615"/>
      <c r="AL135" s="615"/>
      <c r="AM135" s="615"/>
      <c r="AN135" s="615"/>
      <c r="AO135" s="615"/>
      <c r="AP135" s="615"/>
      <c r="AQ135" s="615"/>
      <c r="AR135" s="615"/>
      <c r="AS135" s="615"/>
    </row>
    <row r="136" spans="12:45">
      <c r="L136" s="615"/>
      <c r="M136" s="615"/>
      <c r="AB136" s="615"/>
      <c r="AC136" s="615"/>
      <c r="AD136" s="615"/>
      <c r="AE136" s="615"/>
      <c r="AF136" s="615"/>
      <c r="AG136" s="615"/>
      <c r="AH136" s="615"/>
      <c r="AI136" s="615"/>
      <c r="AJ136" s="615"/>
      <c r="AK136" s="615"/>
      <c r="AL136" s="615"/>
      <c r="AM136" s="615"/>
      <c r="AN136" s="615"/>
      <c r="AO136" s="615"/>
      <c r="AP136" s="615"/>
      <c r="AQ136" s="615"/>
      <c r="AR136" s="615"/>
      <c r="AS136" s="615"/>
    </row>
    <row r="137" spans="12:45">
      <c r="L137" s="615"/>
      <c r="M137" s="615"/>
      <c r="AB137" s="615"/>
      <c r="AC137" s="615"/>
      <c r="AD137" s="615"/>
      <c r="AE137" s="615"/>
      <c r="AF137" s="615"/>
      <c r="AG137" s="615"/>
      <c r="AH137" s="615"/>
      <c r="AI137" s="615"/>
      <c r="AJ137" s="615"/>
      <c r="AK137" s="615"/>
      <c r="AL137" s="615"/>
      <c r="AM137" s="615"/>
      <c r="AN137" s="615"/>
      <c r="AO137" s="615"/>
      <c r="AP137" s="615"/>
      <c r="AQ137" s="615"/>
      <c r="AR137" s="615"/>
      <c r="AS137" s="615"/>
    </row>
    <row r="138" spans="12:45">
      <c r="L138" s="615"/>
      <c r="M138" s="615"/>
      <c r="AB138" s="615"/>
      <c r="AC138" s="615"/>
      <c r="AD138" s="615"/>
      <c r="AE138" s="615"/>
      <c r="AF138" s="615"/>
      <c r="AG138" s="615"/>
      <c r="AH138" s="615"/>
      <c r="AI138" s="615"/>
      <c r="AJ138" s="615"/>
      <c r="AK138" s="615"/>
      <c r="AL138" s="615"/>
      <c r="AM138" s="615"/>
      <c r="AN138" s="615"/>
      <c r="AO138" s="615"/>
      <c r="AP138" s="615"/>
      <c r="AQ138" s="615"/>
      <c r="AR138" s="615"/>
      <c r="AS138" s="615"/>
    </row>
    <row r="139" spans="12:45">
      <c r="L139" s="615"/>
      <c r="M139" s="615"/>
      <c r="AB139" s="615"/>
      <c r="AC139" s="615"/>
      <c r="AD139" s="615"/>
      <c r="AE139" s="615"/>
      <c r="AF139" s="615"/>
      <c r="AG139" s="615"/>
      <c r="AH139" s="615"/>
      <c r="AI139" s="615"/>
      <c r="AJ139" s="615"/>
      <c r="AK139" s="615"/>
      <c r="AL139" s="615"/>
      <c r="AM139" s="615"/>
      <c r="AN139" s="615"/>
      <c r="AO139" s="615"/>
      <c r="AP139" s="615"/>
      <c r="AQ139" s="615"/>
      <c r="AR139" s="615"/>
      <c r="AS139" s="615"/>
    </row>
    <row r="140" spans="12:45">
      <c r="L140" s="615"/>
      <c r="M140" s="615"/>
      <c r="AB140" s="615"/>
      <c r="AC140" s="615"/>
      <c r="AD140" s="615"/>
      <c r="AE140" s="615"/>
      <c r="AF140" s="615"/>
      <c r="AG140" s="615"/>
      <c r="AH140" s="615"/>
      <c r="AI140" s="615"/>
      <c r="AJ140" s="615"/>
      <c r="AK140" s="615"/>
      <c r="AL140" s="615"/>
      <c r="AM140" s="615"/>
      <c r="AN140" s="615"/>
      <c r="AO140" s="615"/>
      <c r="AP140" s="615"/>
      <c r="AQ140" s="615"/>
      <c r="AR140" s="615"/>
      <c r="AS140" s="615"/>
    </row>
    <row r="141" spans="12:45">
      <c r="L141" s="615"/>
      <c r="M141" s="615"/>
      <c r="AB141" s="615"/>
      <c r="AC141" s="615"/>
      <c r="AD141" s="615"/>
      <c r="AE141" s="615"/>
      <c r="AF141" s="615"/>
      <c r="AG141" s="615"/>
      <c r="AH141" s="615"/>
      <c r="AI141" s="615"/>
      <c r="AJ141" s="615"/>
      <c r="AK141" s="615"/>
      <c r="AL141" s="615"/>
      <c r="AM141" s="615"/>
      <c r="AN141" s="615"/>
      <c r="AO141" s="615"/>
      <c r="AP141" s="615"/>
      <c r="AQ141" s="615"/>
      <c r="AR141" s="615"/>
      <c r="AS141" s="615"/>
    </row>
    <row r="142" spans="12:45">
      <c r="L142" s="615"/>
      <c r="M142" s="615"/>
      <c r="AB142" s="615"/>
      <c r="AC142" s="615"/>
      <c r="AD142" s="615"/>
      <c r="AE142" s="615"/>
      <c r="AF142" s="615"/>
      <c r="AG142" s="615"/>
      <c r="AH142" s="615"/>
      <c r="AI142" s="615"/>
      <c r="AJ142" s="615"/>
      <c r="AK142" s="615"/>
      <c r="AL142" s="615"/>
      <c r="AM142" s="615"/>
      <c r="AN142" s="615"/>
      <c r="AO142" s="615"/>
      <c r="AP142" s="615"/>
      <c r="AQ142" s="615"/>
      <c r="AR142" s="615"/>
      <c r="AS142" s="615"/>
    </row>
    <row r="143" spans="12:45">
      <c r="L143" s="615"/>
      <c r="M143" s="615"/>
      <c r="AB143" s="615"/>
      <c r="AC143" s="615"/>
      <c r="AD143" s="615"/>
      <c r="AE143" s="615"/>
      <c r="AF143" s="615"/>
      <c r="AG143" s="615"/>
      <c r="AH143" s="615"/>
      <c r="AI143" s="615"/>
      <c r="AJ143" s="615"/>
      <c r="AK143" s="615"/>
      <c r="AL143" s="615"/>
      <c r="AM143" s="615"/>
      <c r="AN143" s="615"/>
      <c r="AO143" s="615"/>
      <c r="AP143" s="615"/>
      <c r="AQ143" s="615"/>
      <c r="AR143" s="615"/>
      <c r="AS143" s="615"/>
    </row>
    <row r="144" spans="12:45">
      <c r="L144" s="615"/>
      <c r="M144" s="615"/>
      <c r="AB144" s="615"/>
      <c r="AC144" s="615"/>
      <c r="AD144" s="615"/>
      <c r="AE144" s="615"/>
      <c r="AF144" s="615"/>
      <c r="AG144" s="615"/>
      <c r="AH144" s="615"/>
      <c r="AI144" s="615"/>
      <c r="AJ144" s="615"/>
      <c r="AK144" s="615"/>
      <c r="AL144" s="615"/>
      <c r="AM144" s="615"/>
      <c r="AN144" s="615"/>
      <c r="AO144" s="615"/>
      <c r="AP144" s="615"/>
      <c r="AQ144" s="615"/>
      <c r="AR144" s="615"/>
      <c r="AS144" s="615"/>
    </row>
    <row r="145" spans="12:45">
      <c r="L145" s="615"/>
      <c r="M145" s="615"/>
      <c r="AB145" s="615"/>
      <c r="AC145" s="615"/>
      <c r="AD145" s="615"/>
      <c r="AE145" s="615"/>
      <c r="AF145" s="615"/>
      <c r="AG145" s="615"/>
      <c r="AH145" s="615"/>
      <c r="AI145" s="615"/>
      <c r="AJ145" s="615"/>
      <c r="AK145" s="615"/>
      <c r="AL145" s="615"/>
      <c r="AM145" s="615"/>
      <c r="AN145" s="615"/>
      <c r="AO145" s="615"/>
      <c r="AP145" s="615"/>
      <c r="AQ145" s="615"/>
      <c r="AR145" s="615"/>
      <c r="AS145" s="615"/>
    </row>
    <row r="146" spans="12:45">
      <c r="L146" s="615"/>
      <c r="M146" s="615"/>
      <c r="AB146" s="615"/>
      <c r="AC146" s="615"/>
      <c r="AD146" s="615"/>
      <c r="AE146" s="615"/>
      <c r="AF146" s="615"/>
      <c r="AG146" s="615"/>
      <c r="AH146" s="615"/>
      <c r="AI146" s="615"/>
      <c r="AJ146" s="615"/>
      <c r="AK146" s="615"/>
      <c r="AL146" s="615"/>
      <c r="AM146" s="615"/>
      <c r="AN146" s="615"/>
      <c r="AO146" s="615"/>
      <c r="AP146" s="615"/>
      <c r="AQ146" s="615"/>
      <c r="AR146" s="615"/>
      <c r="AS146" s="615"/>
    </row>
    <row r="147" spans="12:45">
      <c r="L147" s="615"/>
      <c r="M147" s="615"/>
      <c r="AB147" s="615"/>
      <c r="AC147" s="615"/>
      <c r="AD147" s="615"/>
      <c r="AE147" s="615"/>
      <c r="AF147" s="615"/>
      <c r="AG147" s="615"/>
      <c r="AH147" s="615"/>
      <c r="AI147" s="615"/>
      <c r="AJ147" s="615"/>
      <c r="AK147" s="615"/>
      <c r="AL147" s="615"/>
      <c r="AM147" s="615"/>
      <c r="AN147" s="615"/>
      <c r="AO147" s="615"/>
      <c r="AP147" s="615"/>
      <c r="AQ147" s="615"/>
      <c r="AR147" s="615"/>
      <c r="AS147" s="615"/>
    </row>
    <row r="148" spans="12:45">
      <c r="L148" s="615"/>
      <c r="M148" s="615"/>
      <c r="AB148" s="615"/>
      <c r="AC148" s="615"/>
      <c r="AD148" s="615"/>
      <c r="AE148" s="615"/>
      <c r="AF148" s="615"/>
      <c r="AG148" s="615"/>
      <c r="AH148" s="615"/>
      <c r="AI148" s="615"/>
      <c r="AJ148" s="615"/>
      <c r="AK148" s="615"/>
      <c r="AL148" s="615"/>
      <c r="AM148" s="615"/>
      <c r="AN148" s="615"/>
      <c r="AO148" s="615"/>
      <c r="AP148" s="615"/>
      <c r="AQ148" s="615"/>
      <c r="AR148" s="615"/>
      <c r="AS148" s="615"/>
    </row>
    <row r="149" spans="12:45">
      <c r="L149" s="615"/>
      <c r="M149" s="615"/>
      <c r="AB149" s="615"/>
      <c r="AC149" s="615"/>
      <c r="AD149" s="615"/>
      <c r="AE149" s="615"/>
      <c r="AF149" s="615"/>
      <c r="AG149" s="615"/>
      <c r="AH149" s="615"/>
      <c r="AI149" s="615"/>
      <c r="AJ149" s="615"/>
      <c r="AK149" s="615"/>
      <c r="AL149" s="615"/>
      <c r="AM149" s="615"/>
      <c r="AN149" s="615"/>
      <c r="AO149" s="615"/>
      <c r="AP149" s="615"/>
      <c r="AQ149" s="615"/>
      <c r="AR149" s="615"/>
      <c r="AS149" s="615"/>
    </row>
    <row r="150" spans="12:45">
      <c r="L150" s="615"/>
      <c r="M150" s="615"/>
      <c r="AB150" s="615"/>
      <c r="AC150" s="615"/>
      <c r="AD150" s="615"/>
      <c r="AE150" s="615"/>
      <c r="AF150" s="615"/>
      <c r="AG150" s="615"/>
      <c r="AH150" s="615"/>
      <c r="AI150" s="615"/>
      <c r="AJ150" s="615"/>
      <c r="AK150" s="615"/>
      <c r="AL150" s="615"/>
      <c r="AM150" s="615"/>
      <c r="AN150" s="615"/>
      <c r="AO150" s="615"/>
      <c r="AP150" s="615"/>
      <c r="AQ150" s="615"/>
      <c r="AR150" s="615"/>
      <c r="AS150" s="615"/>
    </row>
    <row r="151" spans="12:45">
      <c r="L151" s="615"/>
      <c r="M151" s="615"/>
      <c r="AB151" s="615"/>
      <c r="AC151" s="615"/>
      <c r="AD151" s="615"/>
      <c r="AE151" s="615"/>
      <c r="AF151" s="615"/>
      <c r="AG151" s="615"/>
      <c r="AH151" s="615"/>
      <c r="AI151" s="615"/>
      <c r="AJ151" s="615"/>
      <c r="AK151" s="615"/>
      <c r="AL151" s="615"/>
      <c r="AM151" s="615"/>
      <c r="AN151" s="615"/>
      <c r="AO151" s="615"/>
      <c r="AP151" s="615"/>
      <c r="AQ151" s="615"/>
      <c r="AR151" s="615"/>
      <c r="AS151" s="615"/>
    </row>
    <row r="152" spans="12:45">
      <c r="L152" s="615"/>
      <c r="M152" s="615"/>
      <c r="AB152" s="615"/>
      <c r="AC152" s="615"/>
      <c r="AD152" s="615"/>
      <c r="AE152" s="615"/>
      <c r="AF152" s="615"/>
      <c r="AG152" s="615"/>
      <c r="AH152" s="615"/>
      <c r="AI152" s="615"/>
      <c r="AJ152" s="615"/>
      <c r="AK152" s="615"/>
      <c r="AL152" s="615"/>
      <c r="AM152" s="615"/>
      <c r="AN152" s="615"/>
      <c r="AO152" s="615"/>
      <c r="AP152" s="615"/>
      <c r="AQ152" s="615"/>
      <c r="AR152" s="615"/>
      <c r="AS152" s="615"/>
    </row>
    <row r="153" spans="12:45">
      <c r="L153" s="615"/>
      <c r="M153" s="615"/>
      <c r="AB153" s="615"/>
      <c r="AC153" s="615"/>
      <c r="AD153" s="615"/>
      <c r="AE153" s="615"/>
      <c r="AF153" s="615"/>
      <c r="AG153" s="615"/>
      <c r="AH153" s="615"/>
      <c r="AI153" s="615"/>
      <c r="AJ153" s="615"/>
      <c r="AK153" s="615"/>
      <c r="AL153" s="615"/>
      <c r="AM153" s="615"/>
      <c r="AN153" s="615"/>
      <c r="AO153" s="615"/>
      <c r="AP153" s="615"/>
      <c r="AQ153" s="615"/>
      <c r="AR153" s="615"/>
      <c r="AS153" s="615"/>
    </row>
    <row r="154" spans="12:45">
      <c r="L154" s="615"/>
      <c r="M154" s="615"/>
      <c r="AB154" s="615"/>
      <c r="AC154" s="615"/>
      <c r="AD154" s="615"/>
      <c r="AE154" s="615"/>
      <c r="AF154" s="615"/>
      <c r="AG154" s="615"/>
      <c r="AH154" s="615"/>
      <c r="AI154" s="615"/>
      <c r="AJ154" s="615"/>
      <c r="AK154" s="615"/>
      <c r="AL154" s="615"/>
      <c r="AM154" s="615"/>
      <c r="AN154" s="615"/>
      <c r="AO154" s="615"/>
      <c r="AP154" s="615"/>
      <c r="AQ154" s="615"/>
      <c r="AR154" s="615"/>
      <c r="AS154" s="615"/>
    </row>
    <row r="155" spans="12:45">
      <c r="L155" s="615"/>
      <c r="M155" s="615"/>
      <c r="AB155" s="615"/>
      <c r="AC155" s="615"/>
      <c r="AD155" s="615"/>
      <c r="AE155" s="615"/>
      <c r="AF155" s="615"/>
      <c r="AG155" s="615"/>
      <c r="AH155" s="615"/>
      <c r="AI155" s="615"/>
      <c r="AJ155" s="615"/>
      <c r="AK155" s="615"/>
      <c r="AL155" s="615"/>
      <c r="AM155" s="615"/>
      <c r="AN155" s="615"/>
      <c r="AO155" s="615"/>
      <c r="AP155" s="615"/>
      <c r="AQ155" s="615"/>
      <c r="AR155" s="615"/>
      <c r="AS155" s="615"/>
    </row>
    <row r="156" spans="12:45">
      <c r="L156" s="615"/>
      <c r="M156" s="615"/>
      <c r="AB156" s="615"/>
      <c r="AC156" s="615"/>
      <c r="AD156" s="615"/>
      <c r="AE156" s="615"/>
      <c r="AF156" s="615"/>
      <c r="AG156" s="615"/>
      <c r="AH156" s="615"/>
      <c r="AI156" s="615"/>
      <c r="AJ156" s="615"/>
      <c r="AK156" s="615"/>
      <c r="AL156" s="615"/>
      <c r="AM156" s="615"/>
      <c r="AN156" s="615"/>
      <c r="AO156" s="615"/>
      <c r="AP156" s="615"/>
      <c r="AQ156" s="615"/>
      <c r="AR156" s="615"/>
      <c r="AS156" s="615"/>
    </row>
    <row r="157" spans="12:45">
      <c r="L157" s="615"/>
      <c r="M157" s="615"/>
      <c r="AB157" s="615"/>
      <c r="AC157" s="615"/>
      <c r="AD157" s="615"/>
      <c r="AE157" s="615"/>
      <c r="AF157" s="615"/>
      <c r="AG157" s="615"/>
      <c r="AH157" s="615"/>
      <c r="AI157" s="615"/>
      <c r="AJ157" s="615"/>
      <c r="AK157" s="615"/>
      <c r="AL157" s="615"/>
      <c r="AM157" s="615"/>
      <c r="AN157" s="615"/>
      <c r="AO157" s="615"/>
      <c r="AP157" s="615"/>
      <c r="AQ157" s="615"/>
      <c r="AR157" s="615"/>
      <c r="AS157" s="615"/>
    </row>
    <row r="158" spans="12:45">
      <c r="L158" s="615"/>
      <c r="M158" s="615"/>
      <c r="AB158" s="615"/>
      <c r="AC158" s="615"/>
      <c r="AD158" s="615"/>
      <c r="AE158" s="615"/>
      <c r="AF158" s="615"/>
      <c r="AG158" s="615"/>
      <c r="AH158" s="615"/>
      <c r="AI158" s="615"/>
      <c r="AJ158" s="615"/>
      <c r="AK158" s="615"/>
      <c r="AL158" s="615"/>
      <c r="AM158" s="615"/>
      <c r="AN158" s="615"/>
      <c r="AO158" s="615"/>
      <c r="AP158" s="615"/>
      <c r="AQ158" s="615"/>
      <c r="AR158" s="615"/>
      <c r="AS158" s="615"/>
    </row>
    <row r="159" spans="12:45">
      <c r="L159" s="615"/>
      <c r="M159" s="615"/>
      <c r="AB159" s="615"/>
      <c r="AC159" s="615"/>
      <c r="AD159" s="615"/>
      <c r="AE159" s="615"/>
      <c r="AF159" s="615"/>
      <c r="AG159" s="615"/>
      <c r="AH159" s="615"/>
      <c r="AI159" s="615"/>
      <c r="AJ159" s="615"/>
      <c r="AK159" s="615"/>
      <c r="AL159" s="615"/>
      <c r="AM159" s="615"/>
      <c r="AN159" s="615"/>
      <c r="AO159" s="615"/>
      <c r="AP159" s="615"/>
      <c r="AQ159" s="615"/>
      <c r="AR159" s="615"/>
      <c r="AS159" s="615"/>
    </row>
    <row r="160" spans="12:45">
      <c r="L160" s="615"/>
      <c r="M160" s="615"/>
      <c r="AB160" s="615"/>
      <c r="AC160" s="615"/>
      <c r="AD160" s="615"/>
      <c r="AE160" s="615"/>
      <c r="AF160" s="615"/>
      <c r="AG160" s="615"/>
      <c r="AH160" s="615"/>
      <c r="AI160" s="615"/>
      <c r="AJ160" s="615"/>
      <c r="AK160" s="615"/>
      <c r="AL160" s="615"/>
      <c r="AM160" s="615"/>
      <c r="AN160" s="615"/>
      <c r="AO160" s="615"/>
      <c r="AP160" s="615"/>
      <c r="AQ160" s="615"/>
      <c r="AR160" s="615"/>
      <c r="AS160" s="615"/>
    </row>
    <row r="161" spans="12:45">
      <c r="L161" s="615"/>
      <c r="M161" s="615"/>
      <c r="AB161" s="615"/>
      <c r="AC161" s="615"/>
      <c r="AD161" s="615"/>
      <c r="AE161" s="615"/>
      <c r="AF161" s="615"/>
      <c r="AG161" s="615"/>
      <c r="AH161" s="615"/>
      <c r="AI161" s="615"/>
      <c r="AJ161" s="615"/>
      <c r="AK161" s="615"/>
      <c r="AL161" s="615"/>
      <c r="AM161" s="615"/>
      <c r="AN161" s="615"/>
      <c r="AO161" s="615"/>
      <c r="AP161" s="615"/>
      <c r="AQ161" s="615"/>
      <c r="AR161" s="615"/>
      <c r="AS161" s="615"/>
    </row>
    <row r="162" spans="12:45">
      <c r="L162" s="615"/>
      <c r="M162" s="615"/>
      <c r="AB162" s="615"/>
      <c r="AC162" s="615"/>
      <c r="AD162" s="615"/>
      <c r="AE162" s="615"/>
      <c r="AF162" s="615"/>
      <c r="AG162" s="615"/>
      <c r="AH162" s="615"/>
      <c r="AI162" s="615"/>
      <c r="AJ162" s="615"/>
      <c r="AK162" s="615"/>
      <c r="AL162" s="615"/>
      <c r="AM162" s="615"/>
      <c r="AN162" s="615"/>
      <c r="AO162" s="615"/>
      <c r="AP162" s="615"/>
      <c r="AQ162" s="615"/>
      <c r="AR162" s="615"/>
      <c r="AS162" s="615"/>
    </row>
    <row r="163" spans="12:45">
      <c r="L163" s="615"/>
      <c r="M163" s="615"/>
      <c r="AB163" s="615"/>
      <c r="AC163" s="615"/>
      <c r="AD163" s="615"/>
      <c r="AE163" s="615"/>
      <c r="AF163" s="615"/>
      <c r="AG163" s="615"/>
      <c r="AH163" s="615"/>
      <c r="AI163" s="615"/>
      <c r="AJ163" s="615"/>
      <c r="AK163" s="615"/>
      <c r="AL163" s="615"/>
      <c r="AM163" s="615"/>
      <c r="AN163" s="615"/>
      <c r="AO163" s="615"/>
      <c r="AP163" s="615"/>
      <c r="AQ163" s="615"/>
      <c r="AR163" s="615"/>
      <c r="AS163" s="615"/>
    </row>
    <row r="164" spans="12:45">
      <c r="L164" s="615"/>
      <c r="M164" s="615"/>
      <c r="AB164" s="615"/>
      <c r="AC164" s="615"/>
      <c r="AD164" s="615"/>
      <c r="AE164" s="615"/>
      <c r="AF164" s="615"/>
      <c r="AG164" s="615"/>
      <c r="AH164" s="615"/>
      <c r="AI164" s="615"/>
      <c r="AJ164" s="615"/>
      <c r="AK164" s="615"/>
      <c r="AL164" s="615"/>
      <c r="AM164" s="615"/>
      <c r="AN164" s="615"/>
      <c r="AO164" s="615"/>
      <c r="AP164" s="615"/>
      <c r="AQ164" s="615"/>
      <c r="AR164" s="615"/>
      <c r="AS164" s="615"/>
    </row>
    <row r="165" spans="12:45">
      <c r="L165" s="615"/>
      <c r="M165" s="615"/>
      <c r="AB165" s="615"/>
      <c r="AC165" s="615"/>
      <c r="AD165" s="615"/>
      <c r="AE165" s="615"/>
      <c r="AF165" s="615"/>
      <c r="AG165" s="615"/>
      <c r="AH165" s="615"/>
      <c r="AI165" s="615"/>
      <c r="AJ165" s="615"/>
      <c r="AK165" s="615"/>
      <c r="AL165" s="615"/>
      <c r="AM165" s="615"/>
      <c r="AN165" s="615"/>
      <c r="AO165" s="615"/>
      <c r="AP165" s="615"/>
      <c r="AQ165" s="615"/>
      <c r="AR165" s="615"/>
      <c r="AS165" s="615"/>
    </row>
    <row r="166" spans="12:45">
      <c r="L166" s="615"/>
      <c r="M166" s="615"/>
      <c r="AB166" s="615"/>
      <c r="AC166" s="615"/>
      <c r="AD166" s="615"/>
      <c r="AE166" s="615"/>
      <c r="AF166" s="615"/>
      <c r="AG166" s="615"/>
      <c r="AH166" s="615"/>
      <c r="AI166" s="615"/>
      <c r="AJ166" s="615"/>
      <c r="AK166" s="615"/>
      <c r="AL166" s="615"/>
      <c r="AM166" s="615"/>
      <c r="AN166" s="615"/>
      <c r="AO166" s="615"/>
      <c r="AP166" s="615"/>
      <c r="AQ166" s="615"/>
      <c r="AR166" s="615"/>
      <c r="AS166" s="615"/>
    </row>
    <row r="167" spans="12:45">
      <c r="L167" s="615"/>
      <c r="M167" s="615"/>
      <c r="AB167" s="615"/>
      <c r="AC167" s="615"/>
      <c r="AD167" s="615"/>
      <c r="AE167" s="615"/>
      <c r="AF167" s="615"/>
      <c r="AG167" s="615"/>
      <c r="AH167" s="615"/>
      <c r="AI167" s="615"/>
      <c r="AJ167" s="615"/>
      <c r="AK167" s="615"/>
      <c r="AL167" s="615"/>
      <c r="AM167" s="615"/>
      <c r="AN167" s="615"/>
      <c r="AO167" s="615"/>
      <c r="AP167" s="615"/>
      <c r="AQ167" s="615"/>
      <c r="AR167" s="615"/>
      <c r="AS167" s="615"/>
    </row>
    <row r="168" spans="12:45">
      <c r="L168" s="615"/>
      <c r="M168" s="615"/>
      <c r="AB168" s="615"/>
      <c r="AC168" s="615"/>
      <c r="AD168" s="615"/>
      <c r="AE168" s="615"/>
      <c r="AF168" s="615"/>
      <c r="AG168" s="615"/>
      <c r="AH168" s="615"/>
      <c r="AI168" s="615"/>
      <c r="AJ168" s="615"/>
      <c r="AK168" s="615"/>
      <c r="AL168" s="615"/>
      <c r="AM168" s="615"/>
      <c r="AN168" s="615"/>
      <c r="AO168" s="615"/>
      <c r="AP168" s="615"/>
      <c r="AQ168" s="615"/>
      <c r="AR168" s="615"/>
      <c r="AS168" s="615"/>
    </row>
    <row r="169" spans="12:45">
      <c r="L169" s="615"/>
      <c r="M169" s="615"/>
      <c r="AB169" s="615"/>
      <c r="AC169" s="615"/>
      <c r="AD169" s="615"/>
      <c r="AE169" s="615"/>
      <c r="AF169" s="615"/>
      <c r="AG169" s="615"/>
      <c r="AH169" s="615"/>
      <c r="AI169" s="615"/>
      <c r="AJ169" s="615"/>
      <c r="AK169" s="615"/>
      <c r="AL169" s="615"/>
      <c r="AM169" s="615"/>
      <c r="AN169" s="615"/>
      <c r="AO169" s="615"/>
      <c r="AP169" s="615"/>
      <c r="AQ169" s="615"/>
      <c r="AR169" s="615"/>
      <c r="AS169" s="615"/>
    </row>
    <row r="170" spans="12:45">
      <c r="L170" s="615"/>
      <c r="M170" s="615"/>
      <c r="AB170" s="615"/>
      <c r="AC170" s="615"/>
      <c r="AD170" s="615"/>
      <c r="AE170" s="615"/>
      <c r="AF170" s="615"/>
      <c r="AG170" s="615"/>
      <c r="AH170" s="615"/>
      <c r="AI170" s="615"/>
      <c r="AJ170" s="615"/>
      <c r="AK170" s="615"/>
      <c r="AL170" s="615"/>
      <c r="AM170" s="615"/>
      <c r="AN170" s="615"/>
      <c r="AO170" s="615"/>
      <c r="AP170" s="615"/>
      <c r="AQ170" s="615"/>
      <c r="AR170" s="615"/>
      <c r="AS170" s="615"/>
    </row>
    <row r="171" spans="12:45">
      <c r="L171" s="615"/>
      <c r="M171" s="615"/>
      <c r="AB171" s="615"/>
      <c r="AC171" s="615"/>
      <c r="AD171" s="615"/>
      <c r="AE171" s="615"/>
      <c r="AF171" s="615"/>
      <c r="AG171" s="615"/>
      <c r="AH171" s="615"/>
      <c r="AI171" s="615"/>
      <c r="AJ171" s="615"/>
      <c r="AK171" s="615"/>
      <c r="AL171" s="615"/>
      <c r="AM171" s="615"/>
      <c r="AN171" s="615"/>
      <c r="AO171" s="615"/>
      <c r="AP171" s="615"/>
      <c r="AQ171" s="615"/>
      <c r="AR171" s="615"/>
      <c r="AS171" s="615"/>
    </row>
    <row r="172" spans="12:45">
      <c r="L172" s="615"/>
      <c r="M172" s="615"/>
      <c r="AB172" s="615"/>
      <c r="AC172" s="615"/>
      <c r="AD172" s="615"/>
      <c r="AE172" s="615"/>
      <c r="AF172" s="615"/>
      <c r="AG172" s="615"/>
      <c r="AH172" s="615"/>
      <c r="AI172" s="615"/>
      <c r="AJ172" s="615"/>
      <c r="AK172" s="615"/>
      <c r="AL172" s="615"/>
      <c r="AM172" s="615"/>
      <c r="AN172" s="615"/>
      <c r="AO172" s="615"/>
      <c r="AP172" s="615"/>
      <c r="AQ172" s="615"/>
      <c r="AR172" s="615"/>
      <c r="AS172" s="615"/>
    </row>
    <row r="173" spans="12:45">
      <c r="L173" s="615"/>
      <c r="M173" s="615"/>
      <c r="AB173" s="615"/>
      <c r="AC173" s="615"/>
      <c r="AD173" s="615"/>
      <c r="AE173" s="615"/>
      <c r="AF173" s="615"/>
      <c r="AG173" s="615"/>
      <c r="AH173" s="615"/>
      <c r="AI173" s="615"/>
      <c r="AJ173" s="615"/>
      <c r="AK173" s="615"/>
      <c r="AL173" s="615"/>
      <c r="AM173" s="615"/>
      <c r="AN173" s="615"/>
      <c r="AO173" s="615"/>
      <c r="AP173" s="615"/>
      <c r="AQ173" s="615"/>
      <c r="AR173" s="615"/>
      <c r="AS173" s="615"/>
    </row>
    <row r="174" spans="12:45">
      <c r="L174" s="615"/>
      <c r="M174" s="615"/>
      <c r="AB174" s="615"/>
      <c r="AC174" s="615"/>
      <c r="AD174" s="615"/>
      <c r="AE174" s="615"/>
      <c r="AF174" s="615"/>
      <c r="AG174" s="615"/>
      <c r="AH174" s="615"/>
      <c r="AI174" s="615"/>
      <c r="AJ174" s="615"/>
      <c r="AK174" s="615"/>
      <c r="AL174" s="615"/>
      <c r="AM174" s="615"/>
      <c r="AN174" s="615"/>
      <c r="AO174" s="615"/>
      <c r="AP174" s="615"/>
      <c r="AQ174" s="615"/>
      <c r="AR174" s="615"/>
      <c r="AS174" s="615"/>
    </row>
    <row r="175" spans="12:45">
      <c r="L175" s="615"/>
      <c r="M175" s="615"/>
      <c r="AB175" s="615"/>
      <c r="AC175" s="615"/>
      <c r="AD175" s="615"/>
      <c r="AE175" s="615"/>
      <c r="AF175" s="615"/>
      <c r="AG175" s="615"/>
      <c r="AH175" s="615"/>
      <c r="AI175" s="615"/>
      <c r="AJ175" s="615"/>
      <c r="AK175" s="615"/>
      <c r="AL175" s="615"/>
      <c r="AM175" s="615"/>
      <c r="AN175" s="615"/>
      <c r="AO175" s="615"/>
      <c r="AP175" s="615"/>
      <c r="AQ175" s="615"/>
      <c r="AR175" s="615"/>
      <c r="AS175" s="615"/>
    </row>
    <row r="176" spans="12:45">
      <c r="L176" s="615"/>
      <c r="M176" s="615"/>
      <c r="AB176" s="615"/>
      <c r="AC176" s="615"/>
      <c r="AD176" s="615"/>
      <c r="AE176" s="615"/>
      <c r="AF176" s="615"/>
      <c r="AG176" s="615"/>
      <c r="AH176" s="615"/>
      <c r="AI176" s="615"/>
      <c r="AJ176" s="615"/>
      <c r="AK176" s="615"/>
      <c r="AL176" s="615"/>
      <c r="AM176" s="615"/>
      <c r="AN176" s="615"/>
      <c r="AO176" s="615"/>
      <c r="AP176" s="615"/>
      <c r="AQ176" s="615"/>
      <c r="AR176" s="615"/>
      <c r="AS176" s="615"/>
    </row>
    <row r="177" spans="12:45">
      <c r="L177" s="615"/>
      <c r="M177" s="615"/>
      <c r="AB177" s="615"/>
      <c r="AC177" s="615"/>
      <c r="AD177" s="615"/>
      <c r="AE177" s="615"/>
      <c r="AF177" s="615"/>
      <c r="AG177" s="615"/>
      <c r="AH177" s="615"/>
      <c r="AI177" s="615"/>
      <c r="AJ177" s="615"/>
      <c r="AK177" s="615"/>
      <c r="AL177" s="615"/>
      <c r="AM177" s="615"/>
      <c r="AN177" s="615"/>
      <c r="AO177" s="615"/>
      <c r="AP177" s="615"/>
      <c r="AQ177" s="615"/>
      <c r="AR177" s="615"/>
      <c r="AS177" s="615"/>
    </row>
    <row r="178" spans="12:45">
      <c r="L178" s="615"/>
      <c r="M178" s="615"/>
      <c r="AB178" s="615"/>
      <c r="AC178" s="615"/>
      <c r="AD178" s="615"/>
      <c r="AE178" s="615"/>
      <c r="AF178" s="615"/>
      <c r="AG178" s="615"/>
      <c r="AH178" s="615"/>
      <c r="AI178" s="615"/>
      <c r="AJ178" s="615"/>
      <c r="AK178" s="615"/>
      <c r="AL178" s="615"/>
      <c r="AM178" s="615"/>
      <c r="AN178" s="615"/>
      <c r="AO178" s="615"/>
      <c r="AP178" s="615"/>
      <c r="AQ178" s="615"/>
      <c r="AR178" s="615"/>
      <c r="AS178" s="615"/>
    </row>
    <row r="179" spans="12:45">
      <c r="L179" s="615"/>
      <c r="M179" s="615"/>
      <c r="AB179" s="615"/>
      <c r="AC179" s="615"/>
      <c r="AD179" s="615"/>
      <c r="AE179" s="615"/>
      <c r="AF179" s="615"/>
      <c r="AG179" s="615"/>
      <c r="AH179" s="615"/>
      <c r="AI179" s="615"/>
      <c r="AJ179" s="615"/>
      <c r="AK179" s="615"/>
      <c r="AL179" s="615"/>
      <c r="AM179" s="615"/>
      <c r="AN179" s="615"/>
      <c r="AO179" s="615"/>
      <c r="AP179" s="615"/>
      <c r="AQ179" s="615"/>
      <c r="AR179" s="615"/>
      <c r="AS179" s="615"/>
    </row>
    <row r="180" spans="12:45">
      <c r="L180" s="615"/>
      <c r="M180" s="615"/>
      <c r="AB180" s="615"/>
      <c r="AC180" s="615"/>
      <c r="AD180" s="615"/>
      <c r="AE180" s="615"/>
      <c r="AF180" s="615"/>
      <c r="AG180" s="615"/>
      <c r="AH180" s="615"/>
      <c r="AI180" s="615"/>
      <c r="AJ180" s="615"/>
      <c r="AK180" s="615"/>
      <c r="AL180" s="615"/>
      <c r="AM180" s="615"/>
      <c r="AN180" s="615"/>
      <c r="AO180" s="615"/>
      <c r="AP180" s="615"/>
      <c r="AQ180" s="615"/>
      <c r="AR180" s="615"/>
      <c r="AS180" s="615"/>
    </row>
    <row r="181" spans="12:45">
      <c r="L181" s="615"/>
      <c r="M181" s="615"/>
      <c r="AB181" s="615"/>
      <c r="AC181" s="615"/>
      <c r="AD181" s="615"/>
      <c r="AE181" s="615"/>
      <c r="AF181" s="615"/>
      <c r="AG181" s="615"/>
      <c r="AH181" s="615"/>
      <c r="AI181" s="615"/>
      <c r="AJ181" s="615"/>
      <c r="AK181" s="615"/>
      <c r="AL181" s="615"/>
      <c r="AM181" s="615"/>
      <c r="AN181" s="615"/>
      <c r="AO181" s="615"/>
      <c r="AP181" s="615"/>
      <c r="AQ181" s="615"/>
      <c r="AR181" s="615"/>
      <c r="AS181" s="615"/>
    </row>
    <row r="182" spans="12:45">
      <c r="L182" s="615"/>
      <c r="M182" s="615"/>
      <c r="AB182" s="615"/>
      <c r="AC182" s="615"/>
      <c r="AD182" s="615"/>
      <c r="AE182" s="615"/>
      <c r="AF182" s="615"/>
      <c r="AG182" s="615"/>
      <c r="AH182" s="615"/>
      <c r="AI182" s="615"/>
      <c r="AJ182" s="615"/>
      <c r="AK182" s="615"/>
      <c r="AL182" s="615"/>
      <c r="AM182" s="615"/>
      <c r="AN182" s="615"/>
      <c r="AO182" s="615"/>
      <c r="AP182" s="615"/>
      <c r="AQ182" s="615"/>
      <c r="AR182" s="615"/>
      <c r="AS182" s="615"/>
    </row>
    <row r="183" spans="12:45">
      <c r="L183" s="615"/>
      <c r="M183" s="615"/>
      <c r="AB183" s="615"/>
      <c r="AC183" s="615"/>
      <c r="AD183" s="615"/>
      <c r="AE183" s="615"/>
      <c r="AF183" s="615"/>
      <c r="AG183" s="615"/>
      <c r="AH183" s="615"/>
      <c r="AI183" s="615"/>
      <c r="AJ183" s="615"/>
      <c r="AK183" s="615"/>
      <c r="AL183" s="615"/>
      <c r="AM183" s="615"/>
      <c r="AN183" s="615"/>
      <c r="AO183" s="615"/>
      <c r="AP183" s="615"/>
      <c r="AQ183" s="615"/>
      <c r="AR183" s="615"/>
      <c r="AS183" s="615"/>
    </row>
    <row r="184" spans="12:45">
      <c r="L184" s="615"/>
      <c r="M184" s="615"/>
      <c r="AB184" s="615"/>
      <c r="AC184" s="615"/>
      <c r="AD184" s="615"/>
      <c r="AE184" s="615"/>
      <c r="AF184" s="615"/>
      <c r="AG184" s="615"/>
      <c r="AH184" s="615"/>
      <c r="AI184" s="615"/>
      <c r="AJ184" s="615"/>
      <c r="AK184" s="615"/>
      <c r="AL184" s="615"/>
      <c r="AM184" s="615"/>
      <c r="AN184" s="615"/>
      <c r="AO184" s="615"/>
      <c r="AP184" s="615"/>
      <c r="AQ184" s="615"/>
      <c r="AR184" s="615"/>
      <c r="AS184" s="615"/>
    </row>
    <row r="185" spans="12:45">
      <c r="L185" s="615"/>
      <c r="M185" s="615"/>
      <c r="AB185" s="615"/>
      <c r="AC185" s="615"/>
      <c r="AD185" s="615"/>
      <c r="AE185" s="615"/>
      <c r="AF185" s="615"/>
      <c r="AG185" s="615"/>
      <c r="AH185" s="615"/>
      <c r="AI185" s="615"/>
      <c r="AJ185" s="615"/>
      <c r="AK185" s="615"/>
      <c r="AL185" s="615"/>
      <c r="AM185" s="615"/>
      <c r="AN185" s="615"/>
      <c r="AO185" s="615"/>
      <c r="AP185" s="615"/>
      <c r="AQ185" s="615"/>
      <c r="AR185" s="615"/>
      <c r="AS185" s="615"/>
    </row>
    <row r="186" spans="12:45">
      <c r="L186" s="615"/>
      <c r="M186" s="615"/>
      <c r="AB186" s="615"/>
      <c r="AC186" s="615"/>
      <c r="AD186" s="615"/>
      <c r="AE186" s="615"/>
      <c r="AF186" s="615"/>
      <c r="AG186" s="615"/>
      <c r="AH186" s="615"/>
      <c r="AI186" s="615"/>
      <c r="AJ186" s="615"/>
      <c r="AK186" s="615"/>
      <c r="AL186" s="615"/>
      <c r="AM186" s="615"/>
      <c r="AN186" s="615"/>
      <c r="AO186" s="615"/>
      <c r="AP186" s="615"/>
      <c r="AQ186" s="615"/>
      <c r="AR186" s="615"/>
      <c r="AS186" s="615"/>
    </row>
    <row r="187" spans="12:45">
      <c r="L187" s="615"/>
      <c r="M187" s="615"/>
      <c r="AB187" s="615"/>
      <c r="AC187" s="615"/>
      <c r="AD187" s="615"/>
      <c r="AE187" s="615"/>
      <c r="AF187" s="615"/>
      <c r="AG187" s="615"/>
      <c r="AH187" s="615"/>
      <c r="AI187" s="615"/>
      <c r="AJ187" s="615"/>
      <c r="AK187" s="615"/>
      <c r="AL187" s="615"/>
      <c r="AM187" s="615"/>
      <c r="AN187" s="615"/>
      <c r="AO187" s="615"/>
      <c r="AP187" s="615"/>
      <c r="AQ187" s="615"/>
      <c r="AR187" s="615"/>
      <c r="AS187" s="615"/>
    </row>
    <row r="188" spans="12:45">
      <c r="L188" s="615"/>
      <c r="M188" s="615"/>
      <c r="AB188" s="615"/>
      <c r="AC188" s="615"/>
      <c r="AD188" s="615"/>
      <c r="AE188" s="615"/>
      <c r="AF188" s="615"/>
      <c r="AG188" s="615"/>
      <c r="AH188" s="615"/>
      <c r="AI188" s="615"/>
      <c r="AJ188" s="615"/>
      <c r="AK188" s="615"/>
      <c r="AL188" s="615"/>
      <c r="AM188" s="615"/>
      <c r="AN188" s="615"/>
      <c r="AO188" s="615"/>
      <c r="AP188" s="615"/>
      <c r="AQ188" s="615"/>
      <c r="AR188" s="615"/>
      <c r="AS188" s="615"/>
    </row>
    <row r="189" spans="12:45">
      <c r="L189" s="615"/>
      <c r="M189" s="615"/>
      <c r="AB189" s="615"/>
      <c r="AC189" s="615"/>
      <c r="AD189" s="615"/>
      <c r="AE189" s="615"/>
      <c r="AF189" s="615"/>
      <c r="AG189" s="615"/>
      <c r="AH189" s="615"/>
      <c r="AI189" s="615"/>
      <c r="AJ189" s="615"/>
      <c r="AK189" s="615"/>
      <c r="AL189" s="615"/>
      <c r="AM189" s="615"/>
      <c r="AN189" s="615"/>
      <c r="AO189" s="615"/>
      <c r="AP189" s="615"/>
      <c r="AQ189" s="615"/>
      <c r="AR189" s="615"/>
      <c r="AS189" s="615"/>
    </row>
    <row r="190" spans="12:45">
      <c r="L190" s="615"/>
      <c r="M190" s="615"/>
      <c r="AB190" s="615"/>
      <c r="AC190" s="615"/>
      <c r="AD190" s="615"/>
      <c r="AE190" s="615"/>
      <c r="AF190" s="615"/>
      <c r="AG190" s="615"/>
      <c r="AH190" s="615"/>
      <c r="AI190" s="615"/>
      <c r="AJ190" s="615"/>
      <c r="AK190" s="615"/>
      <c r="AL190" s="615"/>
      <c r="AM190" s="615"/>
      <c r="AN190" s="615"/>
      <c r="AO190" s="615"/>
      <c r="AP190" s="615"/>
      <c r="AQ190" s="615"/>
      <c r="AR190" s="615"/>
      <c r="AS190" s="615"/>
    </row>
    <row r="191" spans="12:45">
      <c r="L191" s="615"/>
      <c r="M191" s="615"/>
      <c r="AB191" s="615"/>
      <c r="AC191" s="615"/>
      <c r="AD191" s="615"/>
      <c r="AE191" s="615"/>
      <c r="AF191" s="615"/>
      <c r="AG191" s="615"/>
      <c r="AH191" s="615"/>
      <c r="AI191" s="615"/>
      <c r="AJ191" s="615"/>
      <c r="AK191" s="615"/>
      <c r="AL191" s="615"/>
      <c r="AM191" s="615"/>
      <c r="AN191" s="615"/>
      <c r="AO191" s="615"/>
      <c r="AP191" s="615"/>
      <c r="AQ191" s="615"/>
      <c r="AR191" s="615"/>
      <c r="AS191" s="615"/>
    </row>
    <row r="192" spans="12:45">
      <c r="L192" s="615"/>
      <c r="M192" s="615"/>
      <c r="AB192" s="615"/>
      <c r="AC192" s="615"/>
      <c r="AD192" s="615"/>
      <c r="AE192" s="615"/>
      <c r="AF192" s="615"/>
      <c r="AG192" s="615"/>
      <c r="AH192" s="615"/>
      <c r="AI192" s="615"/>
      <c r="AJ192" s="615"/>
      <c r="AK192" s="615"/>
      <c r="AL192" s="615"/>
      <c r="AM192" s="615"/>
      <c r="AN192" s="615"/>
      <c r="AO192" s="615"/>
      <c r="AP192" s="615"/>
      <c r="AQ192" s="615"/>
      <c r="AR192" s="615"/>
      <c r="AS192" s="615"/>
    </row>
    <row r="193" spans="12:45">
      <c r="L193" s="615"/>
      <c r="M193" s="615"/>
      <c r="AB193" s="615"/>
      <c r="AC193" s="615"/>
      <c r="AD193" s="615"/>
      <c r="AE193" s="615"/>
      <c r="AF193" s="615"/>
      <c r="AG193" s="615"/>
      <c r="AH193" s="615"/>
      <c r="AI193" s="615"/>
      <c r="AJ193" s="615"/>
      <c r="AK193" s="615"/>
      <c r="AL193" s="615"/>
      <c r="AM193" s="615"/>
      <c r="AN193" s="615"/>
      <c r="AO193" s="615"/>
      <c r="AP193" s="615"/>
      <c r="AQ193" s="615"/>
      <c r="AR193" s="615"/>
      <c r="AS193" s="615"/>
    </row>
    <row r="194" spans="12:45">
      <c r="L194" s="615"/>
      <c r="M194" s="615"/>
      <c r="AB194" s="615"/>
      <c r="AC194" s="615"/>
      <c r="AD194" s="615"/>
      <c r="AE194" s="615"/>
      <c r="AF194" s="615"/>
      <c r="AG194" s="615"/>
      <c r="AH194" s="615"/>
      <c r="AI194" s="615"/>
      <c r="AJ194" s="615"/>
      <c r="AK194" s="615"/>
      <c r="AL194" s="615"/>
      <c r="AM194" s="615"/>
      <c r="AN194" s="615"/>
      <c r="AO194" s="615"/>
      <c r="AP194" s="615"/>
      <c r="AQ194" s="615"/>
      <c r="AR194" s="615"/>
      <c r="AS194" s="615"/>
    </row>
    <row r="195" spans="12:45">
      <c r="L195" s="615"/>
      <c r="M195" s="615"/>
      <c r="AB195" s="615"/>
      <c r="AC195" s="615"/>
      <c r="AD195" s="615"/>
      <c r="AE195" s="615"/>
      <c r="AF195" s="615"/>
      <c r="AG195" s="615"/>
      <c r="AH195" s="615"/>
      <c r="AI195" s="615"/>
      <c r="AJ195" s="615"/>
      <c r="AK195" s="615"/>
      <c r="AL195" s="615"/>
      <c r="AM195" s="615"/>
      <c r="AN195" s="615"/>
      <c r="AO195" s="615"/>
      <c r="AP195" s="615"/>
      <c r="AQ195" s="615"/>
      <c r="AR195" s="615"/>
      <c r="AS195" s="615"/>
    </row>
    <row r="196" spans="12:45">
      <c r="L196" s="615"/>
      <c r="M196" s="615"/>
      <c r="AB196" s="615"/>
      <c r="AC196" s="615"/>
      <c r="AD196" s="615"/>
      <c r="AE196" s="615"/>
      <c r="AF196" s="615"/>
      <c r="AG196" s="615"/>
      <c r="AH196" s="615"/>
      <c r="AI196" s="615"/>
      <c r="AJ196" s="615"/>
      <c r="AK196" s="615"/>
      <c r="AL196" s="615"/>
      <c r="AM196" s="615"/>
      <c r="AN196" s="615"/>
      <c r="AO196" s="615"/>
      <c r="AP196" s="615"/>
      <c r="AQ196" s="615"/>
      <c r="AR196" s="615"/>
      <c r="AS196" s="615"/>
    </row>
    <row r="197" spans="12:45">
      <c r="L197" s="615"/>
      <c r="M197" s="615"/>
      <c r="AB197" s="615"/>
      <c r="AC197" s="615"/>
      <c r="AD197" s="615"/>
      <c r="AE197" s="615"/>
      <c r="AF197" s="615"/>
      <c r="AG197" s="615"/>
      <c r="AH197" s="615"/>
      <c r="AI197" s="615"/>
      <c r="AJ197" s="615"/>
      <c r="AK197" s="615"/>
      <c r="AL197" s="615"/>
      <c r="AM197" s="615"/>
      <c r="AN197" s="615"/>
      <c r="AO197" s="615"/>
      <c r="AP197" s="615"/>
      <c r="AQ197" s="615"/>
      <c r="AR197" s="615"/>
      <c r="AS197" s="615"/>
    </row>
    <row r="198" spans="12:45">
      <c r="L198" s="615"/>
      <c r="M198" s="615"/>
      <c r="AB198" s="615"/>
      <c r="AC198" s="615"/>
      <c r="AD198" s="615"/>
      <c r="AE198" s="615"/>
      <c r="AF198" s="615"/>
      <c r="AG198" s="615"/>
      <c r="AH198" s="615"/>
      <c r="AI198" s="615"/>
      <c r="AJ198" s="615"/>
      <c r="AK198" s="615"/>
      <c r="AL198" s="615"/>
      <c r="AM198" s="615"/>
      <c r="AN198" s="615"/>
      <c r="AO198" s="615"/>
      <c r="AP198" s="615"/>
      <c r="AQ198" s="615"/>
      <c r="AR198" s="615"/>
      <c r="AS198" s="615"/>
    </row>
    <row r="199" spans="12:45">
      <c r="L199" s="615"/>
      <c r="M199" s="615"/>
      <c r="AB199" s="615"/>
      <c r="AC199" s="615"/>
      <c r="AD199" s="615"/>
      <c r="AE199" s="615"/>
      <c r="AF199" s="615"/>
      <c r="AG199" s="615"/>
      <c r="AH199" s="615"/>
      <c r="AI199" s="615"/>
      <c r="AJ199" s="615"/>
      <c r="AK199" s="615"/>
      <c r="AL199" s="615"/>
      <c r="AM199" s="615"/>
      <c r="AN199" s="615"/>
      <c r="AO199" s="615"/>
      <c r="AP199" s="615"/>
      <c r="AQ199" s="615"/>
      <c r="AR199" s="615"/>
      <c r="AS199" s="615"/>
    </row>
    <row r="200" spans="12:45">
      <c r="L200" s="615"/>
      <c r="M200" s="615"/>
      <c r="AB200" s="615"/>
      <c r="AC200" s="615"/>
      <c r="AD200" s="615"/>
      <c r="AE200" s="615"/>
      <c r="AF200" s="615"/>
      <c r="AG200" s="615"/>
      <c r="AH200" s="615"/>
      <c r="AI200" s="615"/>
      <c r="AJ200" s="615"/>
      <c r="AK200" s="615"/>
      <c r="AL200" s="615"/>
      <c r="AM200" s="615"/>
      <c r="AN200" s="615"/>
      <c r="AO200" s="615"/>
      <c r="AP200" s="615"/>
      <c r="AQ200" s="615"/>
      <c r="AR200" s="615"/>
      <c r="AS200" s="615"/>
    </row>
    <row r="201" spans="12:45">
      <c r="L201" s="615"/>
      <c r="M201" s="615"/>
      <c r="AB201" s="615"/>
      <c r="AC201" s="615"/>
      <c r="AD201" s="615"/>
      <c r="AE201" s="615"/>
      <c r="AF201" s="615"/>
      <c r="AG201" s="615"/>
      <c r="AH201" s="615"/>
      <c r="AI201" s="615"/>
      <c r="AJ201" s="615"/>
      <c r="AK201" s="615"/>
      <c r="AL201" s="615"/>
      <c r="AM201" s="615"/>
      <c r="AN201" s="615"/>
      <c r="AO201" s="615"/>
      <c r="AP201" s="615"/>
      <c r="AQ201" s="615"/>
      <c r="AR201" s="615"/>
      <c r="AS201" s="615"/>
    </row>
    <row r="202" spans="12:45">
      <c r="L202" s="615"/>
      <c r="M202" s="615"/>
      <c r="AB202" s="615"/>
      <c r="AC202" s="615"/>
      <c r="AD202" s="615"/>
      <c r="AE202" s="615"/>
      <c r="AF202" s="615"/>
      <c r="AG202" s="615"/>
      <c r="AH202" s="615"/>
      <c r="AI202" s="615"/>
      <c r="AJ202" s="615"/>
      <c r="AK202" s="615"/>
      <c r="AL202" s="615"/>
      <c r="AM202" s="615"/>
      <c r="AN202" s="615"/>
      <c r="AO202" s="615"/>
      <c r="AP202" s="615"/>
      <c r="AQ202" s="615"/>
      <c r="AR202" s="615"/>
      <c r="AS202" s="615"/>
    </row>
    <row r="203" spans="12:45">
      <c r="L203" s="615"/>
      <c r="M203" s="615"/>
      <c r="AB203" s="615"/>
      <c r="AC203" s="615"/>
      <c r="AD203" s="615"/>
      <c r="AE203" s="615"/>
      <c r="AF203" s="615"/>
      <c r="AG203" s="615"/>
      <c r="AH203" s="615"/>
      <c r="AI203" s="615"/>
      <c r="AJ203" s="615"/>
      <c r="AK203" s="615"/>
      <c r="AL203" s="615"/>
      <c r="AM203" s="615"/>
      <c r="AN203" s="615"/>
      <c r="AO203" s="615"/>
      <c r="AP203" s="615"/>
      <c r="AQ203" s="615"/>
      <c r="AR203" s="615"/>
      <c r="AS203" s="615"/>
    </row>
    <row r="204" spans="12:45">
      <c r="L204" s="615"/>
      <c r="M204" s="615"/>
      <c r="AB204" s="615"/>
      <c r="AC204" s="615"/>
      <c r="AD204" s="615"/>
      <c r="AE204" s="615"/>
      <c r="AF204" s="615"/>
      <c r="AG204" s="615"/>
      <c r="AH204" s="615"/>
      <c r="AI204" s="615"/>
      <c r="AJ204" s="615"/>
      <c r="AK204" s="615"/>
      <c r="AL204" s="615"/>
      <c r="AM204" s="615"/>
      <c r="AN204" s="615"/>
      <c r="AO204" s="615"/>
      <c r="AP204" s="615"/>
      <c r="AQ204" s="615"/>
      <c r="AR204" s="615"/>
      <c r="AS204" s="615"/>
    </row>
    <row r="205" spans="12:45">
      <c r="L205" s="615"/>
      <c r="M205" s="615"/>
      <c r="AB205" s="615"/>
      <c r="AC205" s="615"/>
      <c r="AD205" s="615"/>
      <c r="AE205" s="615"/>
      <c r="AF205" s="615"/>
      <c r="AG205" s="615"/>
      <c r="AH205" s="615"/>
      <c r="AI205" s="615"/>
      <c r="AJ205" s="615"/>
      <c r="AK205" s="615"/>
      <c r="AL205" s="615"/>
      <c r="AM205" s="615"/>
      <c r="AN205" s="615"/>
      <c r="AO205" s="615"/>
      <c r="AP205" s="615"/>
      <c r="AQ205" s="615"/>
      <c r="AR205" s="615"/>
      <c r="AS205" s="615"/>
    </row>
    <row r="206" spans="12:45">
      <c r="L206" s="615"/>
      <c r="M206" s="615"/>
      <c r="AB206" s="615"/>
      <c r="AC206" s="615"/>
      <c r="AD206" s="615"/>
      <c r="AE206" s="615"/>
      <c r="AF206" s="615"/>
      <c r="AG206" s="615"/>
      <c r="AH206" s="615"/>
      <c r="AI206" s="615"/>
      <c r="AJ206" s="615"/>
      <c r="AK206" s="615"/>
      <c r="AL206" s="615"/>
      <c r="AM206" s="615"/>
      <c r="AN206" s="615"/>
      <c r="AO206" s="615"/>
      <c r="AP206" s="615"/>
      <c r="AQ206" s="615"/>
      <c r="AR206" s="615"/>
      <c r="AS206" s="615"/>
    </row>
    <row r="207" spans="12:45">
      <c r="L207" s="615"/>
      <c r="M207" s="615"/>
      <c r="AB207" s="615"/>
      <c r="AC207" s="615"/>
      <c r="AD207" s="615"/>
      <c r="AE207" s="615"/>
      <c r="AF207" s="615"/>
      <c r="AG207" s="615"/>
      <c r="AH207" s="615"/>
      <c r="AI207" s="615"/>
      <c r="AJ207" s="615"/>
      <c r="AK207" s="615"/>
      <c r="AL207" s="615"/>
      <c r="AM207" s="615"/>
      <c r="AN207" s="615"/>
      <c r="AO207" s="615"/>
      <c r="AP207" s="615"/>
      <c r="AQ207" s="615"/>
      <c r="AR207" s="615"/>
      <c r="AS207" s="615"/>
    </row>
    <row r="208" spans="12:45">
      <c r="L208" s="615"/>
      <c r="M208" s="615"/>
      <c r="AB208" s="615"/>
      <c r="AC208" s="615"/>
      <c r="AD208" s="615"/>
      <c r="AE208" s="615"/>
      <c r="AF208" s="615"/>
      <c r="AG208" s="615"/>
      <c r="AH208" s="615"/>
      <c r="AI208" s="615"/>
      <c r="AJ208" s="615"/>
      <c r="AK208" s="615"/>
      <c r="AL208" s="615"/>
      <c r="AM208" s="615"/>
      <c r="AN208" s="615"/>
      <c r="AO208" s="615"/>
      <c r="AP208" s="615"/>
      <c r="AQ208" s="615"/>
      <c r="AR208" s="615"/>
      <c r="AS208" s="615"/>
    </row>
    <row r="209" spans="12:45">
      <c r="L209" s="615"/>
      <c r="M209" s="615"/>
      <c r="AB209" s="615"/>
      <c r="AC209" s="615"/>
      <c r="AD209" s="615"/>
      <c r="AE209" s="615"/>
      <c r="AF209" s="615"/>
      <c r="AG209" s="615"/>
      <c r="AH209" s="615"/>
      <c r="AI209" s="615"/>
      <c r="AJ209" s="615"/>
      <c r="AK209" s="615"/>
      <c r="AL209" s="615"/>
      <c r="AM209" s="615"/>
      <c r="AN209" s="615"/>
      <c r="AO209" s="615"/>
      <c r="AP209" s="615"/>
      <c r="AQ209" s="615"/>
      <c r="AR209" s="615"/>
      <c r="AS209" s="615"/>
    </row>
    <row r="210" spans="12:45">
      <c r="L210" s="615"/>
      <c r="M210" s="615"/>
      <c r="AB210" s="615"/>
      <c r="AC210" s="615"/>
      <c r="AD210" s="615"/>
      <c r="AE210" s="615"/>
      <c r="AF210" s="615"/>
      <c r="AG210" s="615"/>
      <c r="AH210" s="615"/>
      <c r="AI210" s="615"/>
      <c r="AJ210" s="615"/>
      <c r="AK210" s="615"/>
      <c r="AL210" s="615"/>
      <c r="AM210" s="615"/>
      <c r="AN210" s="615"/>
      <c r="AO210" s="615"/>
      <c r="AP210" s="615"/>
      <c r="AQ210" s="615"/>
      <c r="AR210" s="615"/>
      <c r="AS210" s="615"/>
    </row>
    <row r="211" spans="12:45">
      <c r="L211" s="615"/>
      <c r="M211" s="615"/>
      <c r="AB211" s="615"/>
      <c r="AC211" s="615"/>
      <c r="AD211" s="615"/>
      <c r="AE211" s="615"/>
      <c r="AF211" s="615"/>
      <c r="AG211" s="615"/>
      <c r="AH211" s="615"/>
      <c r="AI211" s="615"/>
      <c r="AJ211" s="615"/>
      <c r="AK211" s="615"/>
      <c r="AL211" s="615"/>
      <c r="AM211" s="615"/>
      <c r="AN211" s="615"/>
      <c r="AO211" s="615"/>
      <c r="AP211" s="615"/>
      <c r="AQ211" s="615"/>
      <c r="AR211" s="615"/>
      <c r="AS211" s="615"/>
    </row>
    <row r="212" spans="12:45">
      <c r="L212" s="615"/>
      <c r="M212" s="615"/>
      <c r="AB212" s="615"/>
      <c r="AC212" s="615"/>
      <c r="AD212" s="615"/>
      <c r="AE212" s="615"/>
      <c r="AF212" s="615"/>
      <c r="AG212" s="615"/>
      <c r="AH212" s="615"/>
      <c r="AI212" s="615"/>
      <c r="AJ212" s="615"/>
      <c r="AK212" s="615"/>
      <c r="AL212" s="615"/>
      <c r="AM212" s="615"/>
      <c r="AN212" s="615"/>
      <c r="AO212" s="615"/>
      <c r="AP212" s="615"/>
      <c r="AQ212" s="615"/>
      <c r="AR212" s="615"/>
      <c r="AS212" s="615"/>
    </row>
    <row r="213" spans="12:45">
      <c r="L213" s="615"/>
      <c r="M213" s="615"/>
      <c r="AB213" s="615"/>
      <c r="AC213" s="615"/>
      <c r="AD213" s="615"/>
      <c r="AE213" s="615"/>
      <c r="AF213" s="615"/>
      <c r="AG213" s="615"/>
      <c r="AH213" s="615"/>
      <c r="AI213" s="615"/>
      <c r="AJ213" s="615"/>
      <c r="AK213" s="615"/>
      <c r="AL213" s="615"/>
      <c r="AM213" s="615"/>
      <c r="AN213" s="615"/>
      <c r="AO213" s="615"/>
      <c r="AP213" s="615"/>
      <c r="AQ213" s="615"/>
      <c r="AR213" s="615"/>
      <c r="AS213" s="615"/>
    </row>
    <row r="214" spans="12:45">
      <c r="L214" s="615"/>
      <c r="M214" s="615"/>
      <c r="AB214" s="615"/>
      <c r="AC214" s="615"/>
      <c r="AD214" s="615"/>
      <c r="AE214" s="615"/>
      <c r="AF214" s="615"/>
      <c r="AG214" s="615"/>
      <c r="AH214" s="615"/>
      <c r="AI214" s="615"/>
      <c r="AJ214" s="615"/>
      <c r="AK214" s="615"/>
      <c r="AL214" s="615"/>
      <c r="AM214" s="615"/>
      <c r="AN214" s="615"/>
      <c r="AO214" s="615"/>
      <c r="AP214" s="615"/>
      <c r="AQ214" s="615"/>
      <c r="AR214" s="615"/>
      <c r="AS214" s="615"/>
    </row>
    <row r="215" spans="12:45">
      <c r="L215" s="615"/>
      <c r="M215" s="615"/>
      <c r="AB215" s="615"/>
      <c r="AC215" s="615"/>
      <c r="AD215" s="615"/>
      <c r="AE215" s="615"/>
      <c r="AF215" s="615"/>
      <c r="AG215" s="615"/>
      <c r="AH215" s="615"/>
      <c r="AI215" s="615"/>
      <c r="AJ215" s="615"/>
      <c r="AK215" s="615"/>
      <c r="AL215" s="615"/>
      <c r="AM215" s="615"/>
      <c r="AN215" s="615"/>
      <c r="AO215" s="615"/>
      <c r="AP215" s="615"/>
      <c r="AQ215" s="615"/>
      <c r="AR215" s="615"/>
      <c r="AS215" s="615"/>
    </row>
    <row r="216" spans="12:45">
      <c r="L216" s="615"/>
      <c r="M216" s="615"/>
      <c r="AB216" s="615"/>
      <c r="AC216" s="615"/>
      <c r="AD216" s="615"/>
      <c r="AE216" s="615"/>
      <c r="AF216" s="615"/>
      <c r="AG216" s="615"/>
      <c r="AH216" s="615"/>
      <c r="AI216" s="615"/>
      <c r="AJ216" s="615"/>
      <c r="AK216" s="615"/>
      <c r="AL216" s="615"/>
      <c r="AM216" s="615"/>
      <c r="AN216" s="615"/>
      <c r="AO216" s="615"/>
      <c r="AP216" s="615"/>
      <c r="AQ216" s="615"/>
      <c r="AR216" s="615"/>
      <c r="AS216" s="615"/>
    </row>
    <row r="217" spans="12:45">
      <c r="L217" s="615"/>
      <c r="M217" s="615"/>
      <c r="AB217" s="615"/>
      <c r="AC217" s="615"/>
      <c r="AD217" s="615"/>
      <c r="AE217" s="615"/>
      <c r="AF217" s="615"/>
      <c r="AG217" s="615"/>
      <c r="AH217" s="615"/>
      <c r="AI217" s="615"/>
      <c r="AJ217" s="615"/>
      <c r="AK217" s="615"/>
      <c r="AL217" s="615"/>
      <c r="AM217" s="615"/>
      <c r="AN217" s="615"/>
      <c r="AO217" s="615"/>
      <c r="AP217" s="615"/>
      <c r="AQ217" s="615"/>
      <c r="AR217" s="615"/>
      <c r="AS217" s="615"/>
    </row>
    <row r="218" spans="12:45">
      <c r="L218" s="615"/>
      <c r="M218" s="615"/>
      <c r="AB218" s="615"/>
      <c r="AC218" s="615"/>
      <c r="AD218" s="615"/>
      <c r="AE218" s="615"/>
      <c r="AF218" s="615"/>
      <c r="AG218" s="615"/>
      <c r="AH218" s="615"/>
      <c r="AI218" s="615"/>
      <c r="AJ218" s="615"/>
      <c r="AK218" s="615"/>
      <c r="AL218" s="615"/>
      <c r="AM218" s="615"/>
      <c r="AN218" s="615"/>
      <c r="AO218" s="615"/>
      <c r="AP218" s="615"/>
      <c r="AQ218" s="615"/>
      <c r="AR218" s="615"/>
      <c r="AS218" s="615"/>
    </row>
    <row r="219" spans="12:45">
      <c r="L219" s="615"/>
      <c r="M219" s="615"/>
      <c r="AB219" s="615"/>
      <c r="AC219" s="615"/>
      <c r="AD219" s="615"/>
      <c r="AE219" s="615"/>
      <c r="AF219" s="615"/>
      <c r="AG219" s="615"/>
      <c r="AH219" s="615"/>
      <c r="AI219" s="615"/>
      <c r="AJ219" s="615"/>
      <c r="AK219" s="615"/>
      <c r="AL219" s="615"/>
      <c r="AM219" s="615"/>
      <c r="AN219" s="615"/>
      <c r="AO219" s="615"/>
      <c r="AP219" s="615"/>
      <c r="AQ219" s="615"/>
      <c r="AR219" s="615"/>
      <c r="AS219" s="615"/>
    </row>
    <row r="220" spans="12:45">
      <c r="L220" s="615"/>
      <c r="M220" s="615"/>
      <c r="AB220" s="615"/>
      <c r="AC220" s="615"/>
      <c r="AD220" s="615"/>
      <c r="AE220" s="615"/>
      <c r="AF220" s="615"/>
      <c r="AG220" s="615"/>
      <c r="AH220" s="615"/>
      <c r="AI220" s="615"/>
      <c r="AJ220" s="615"/>
      <c r="AK220" s="615"/>
      <c r="AL220" s="615"/>
      <c r="AM220" s="615"/>
      <c r="AN220" s="615"/>
      <c r="AO220" s="615"/>
      <c r="AP220" s="615"/>
      <c r="AQ220" s="615"/>
      <c r="AR220" s="615"/>
      <c r="AS220" s="615"/>
    </row>
    <row r="221" spans="12:45">
      <c r="L221" s="615"/>
      <c r="M221" s="615"/>
      <c r="AB221" s="615"/>
      <c r="AC221" s="615"/>
      <c r="AD221" s="615"/>
      <c r="AE221" s="615"/>
      <c r="AF221" s="615"/>
      <c r="AG221" s="615"/>
      <c r="AH221" s="615"/>
      <c r="AI221" s="615"/>
      <c r="AJ221" s="615"/>
      <c r="AK221" s="615"/>
      <c r="AL221" s="615"/>
      <c r="AM221" s="615"/>
      <c r="AN221" s="615"/>
      <c r="AO221" s="615"/>
      <c r="AP221" s="615"/>
      <c r="AQ221" s="615"/>
      <c r="AR221" s="615"/>
      <c r="AS221" s="615"/>
    </row>
    <row r="222" spans="12:45">
      <c r="L222" s="615"/>
      <c r="M222" s="615"/>
      <c r="AB222" s="615"/>
      <c r="AC222" s="615"/>
      <c r="AD222" s="615"/>
      <c r="AE222" s="615"/>
      <c r="AF222" s="615"/>
      <c r="AG222" s="615"/>
      <c r="AH222" s="615"/>
      <c r="AI222" s="615"/>
      <c r="AJ222" s="615"/>
      <c r="AK222" s="615"/>
      <c r="AL222" s="615"/>
      <c r="AM222" s="615"/>
      <c r="AN222" s="615"/>
      <c r="AO222" s="615"/>
      <c r="AP222" s="615"/>
      <c r="AQ222" s="615"/>
      <c r="AR222" s="615"/>
      <c r="AS222" s="615"/>
    </row>
    <row r="223" spans="12:45">
      <c r="L223" s="615"/>
      <c r="M223" s="615"/>
      <c r="AB223" s="615"/>
      <c r="AC223" s="615"/>
      <c r="AD223" s="615"/>
      <c r="AE223" s="615"/>
      <c r="AF223" s="615"/>
      <c r="AG223" s="615"/>
      <c r="AH223" s="615"/>
      <c r="AI223" s="615"/>
      <c r="AJ223" s="615"/>
      <c r="AK223" s="615"/>
      <c r="AL223" s="615"/>
      <c r="AM223" s="615"/>
      <c r="AN223" s="615"/>
      <c r="AO223" s="615"/>
      <c r="AP223" s="615"/>
      <c r="AQ223" s="615"/>
      <c r="AR223" s="615"/>
      <c r="AS223" s="615"/>
    </row>
    <row r="224" spans="12:45">
      <c r="L224" s="615"/>
      <c r="M224" s="615"/>
      <c r="AB224" s="615"/>
      <c r="AC224" s="615"/>
      <c r="AD224" s="615"/>
      <c r="AE224" s="615"/>
      <c r="AF224" s="615"/>
      <c r="AG224" s="615"/>
      <c r="AH224" s="615"/>
      <c r="AI224" s="615"/>
      <c r="AJ224" s="615"/>
      <c r="AK224" s="615"/>
      <c r="AL224" s="615"/>
      <c r="AM224" s="615"/>
      <c r="AN224" s="615"/>
      <c r="AO224" s="615"/>
      <c r="AP224" s="615"/>
      <c r="AQ224" s="615"/>
      <c r="AR224" s="615"/>
      <c r="AS224" s="615"/>
    </row>
    <row r="225" spans="12:45">
      <c r="L225" s="615"/>
      <c r="M225" s="615"/>
      <c r="AB225" s="615"/>
      <c r="AC225" s="615"/>
      <c r="AD225" s="615"/>
      <c r="AE225" s="615"/>
      <c r="AF225" s="615"/>
      <c r="AG225" s="615"/>
      <c r="AH225" s="615"/>
      <c r="AI225" s="615"/>
      <c r="AJ225" s="615"/>
      <c r="AK225" s="615"/>
      <c r="AL225" s="615"/>
      <c r="AM225" s="615"/>
      <c r="AN225" s="615"/>
      <c r="AO225" s="615"/>
      <c r="AP225" s="615"/>
      <c r="AQ225" s="615"/>
      <c r="AR225" s="615"/>
      <c r="AS225" s="615"/>
    </row>
    <row r="226" spans="12:45">
      <c r="L226" s="615"/>
      <c r="M226" s="615"/>
      <c r="AB226" s="615"/>
      <c r="AC226" s="615"/>
      <c r="AD226" s="615"/>
      <c r="AE226" s="615"/>
      <c r="AF226" s="615"/>
      <c r="AG226" s="615"/>
      <c r="AH226" s="615"/>
      <c r="AI226" s="615"/>
      <c r="AJ226" s="615"/>
      <c r="AK226" s="615"/>
      <c r="AL226" s="615"/>
      <c r="AM226" s="615"/>
      <c r="AN226" s="615"/>
      <c r="AO226" s="615"/>
      <c r="AP226" s="615"/>
      <c r="AQ226" s="615"/>
      <c r="AR226" s="615"/>
      <c r="AS226" s="615"/>
    </row>
    <row r="227" spans="12:45">
      <c r="L227" s="615"/>
      <c r="M227" s="615"/>
      <c r="AB227" s="615"/>
      <c r="AC227" s="615"/>
      <c r="AD227" s="615"/>
      <c r="AE227" s="615"/>
      <c r="AF227" s="615"/>
      <c r="AG227" s="615"/>
      <c r="AH227" s="615"/>
      <c r="AI227" s="615"/>
      <c r="AJ227" s="615"/>
      <c r="AK227" s="615"/>
      <c r="AL227" s="615"/>
      <c r="AM227" s="615"/>
      <c r="AN227" s="615"/>
      <c r="AO227" s="615"/>
      <c r="AP227" s="615"/>
      <c r="AQ227" s="615"/>
      <c r="AR227" s="615"/>
      <c r="AS227" s="615"/>
    </row>
    <row r="228" spans="12:45">
      <c r="L228" s="615"/>
      <c r="M228" s="615"/>
      <c r="AB228" s="615"/>
      <c r="AC228" s="615"/>
      <c r="AD228" s="615"/>
      <c r="AE228" s="615"/>
      <c r="AF228" s="615"/>
      <c r="AG228" s="615"/>
      <c r="AH228" s="615"/>
      <c r="AI228" s="615"/>
      <c r="AJ228" s="615"/>
      <c r="AK228" s="615"/>
      <c r="AL228" s="615"/>
      <c r="AM228" s="615"/>
      <c r="AN228" s="615"/>
      <c r="AO228" s="615"/>
      <c r="AP228" s="615"/>
      <c r="AQ228" s="615"/>
      <c r="AR228" s="615"/>
      <c r="AS228" s="615"/>
    </row>
    <row r="229" spans="12:45">
      <c r="L229" s="615"/>
      <c r="M229" s="615"/>
      <c r="AB229" s="615"/>
      <c r="AC229" s="615"/>
      <c r="AD229" s="615"/>
      <c r="AE229" s="615"/>
      <c r="AF229" s="615"/>
      <c r="AG229" s="615"/>
      <c r="AH229" s="615"/>
      <c r="AI229" s="615"/>
      <c r="AJ229" s="615"/>
      <c r="AK229" s="615"/>
      <c r="AL229" s="615"/>
      <c r="AM229" s="615"/>
      <c r="AN229" s="615"/>
      <c r="AO229" s="615"/>
      <c r="AP229" s="615"/>
      <c r="AQ229" s="615"/>
      <c r="AR229" s="615"/>
      <c r="AS229" s="615"/>
    </row>
    <row r="230" spans="12:45">
      <c r="L230" s="615"/>
      <c r="M230" s="615"/>
      <c r="AB230" s="615"/>
      <c r="AC230" s="615"/>
      <c r="AD230" s="615"/>
      <c r="AE230" s="615"/>
      <c r="AF230" s="615"/>
      <c r="AG230" s="615"/>
      <c r="AH230" s="615"/>
      <c r="AI230" s="615"/>
      <c r="AJ230" s="615"/>
      <c r="AK230" s="615"/>
      <c r="AL230" s="615"/>
      <c r="AM230" s="615"/>
      <c r="AN230" s="615"/>
      <c r="AO230" s="615"/>
      <c r="AP230" s="615"/>
      <c r="AQ230" s="615"/>
      <c r="AR230" s="615"/>
      <c r="AS230" s="615"/>
    </row>
    <row r="231" spans="12:45">
      <c r="L231" s="615"/>
      <c r="M231" s="615"/>
      <c r="AB231" s="615"/>
      <c r="AC231" s="615"/>
      <c r="AD231" s="615"/>
      <c r="AE231" s="615"/>
      <c r="AF231" s="615"/>
      <c r="AG231" s="615"/>
      <c r="AH231" s="615"/>
      <c r="AI231" s="615"/>
      <c r="AJ231" s="615"/>
      <c r="AK231" s="615"/>
      <c r="AL231" s="615"/>
      <c r="AM231" s="615"/>
      <c r="AN231" s="615"/>
      <c r="AO231" s="615"/>
      <c r="AP231" s="615"/>
      <c r="AQ231" s="615"/>
      <c r="AR231" s="615"/>
      <c r="AS231" s="615"/>
    </row>
    <row r="232" spans="12:45">
      <c r="L232" s="615"/>
      <c r="M232" s="615"/>
      <c r="AB232" s="615"/>
      <c r="AC232" s="615"/>
      <c r="AD232" s="615"/>
      <c r="AE232" s="615"/>
      <c r="AF232" s="615"/>
      <c r="AG232" s="615"/>
      <c r="AH232" s="615"/>
      <c r="AI232" s="615"/>
      <c r="AJ232" s="615"/>
      <c r="AK232" s="615"/>
      <c r="AL232" s="615"/>
      <c r="AM232" s="615"/>
      <c r="AN232" s="615"/>
      <c r="AO232" s="615"/>
      <c r="AP232" s="615"/>
      <c r="AQ232" s="615"/>
      <c r="AR232" s="615"/>
      <c r="AS232" s="615"/>
    </row>
    <row r="233" spans="12:45">
      <c r="L233" s="615"/>
      <c r="M233" s="615"/>
      <c r="AB233" s="615"/>
      <c r="AC233" s="615"/>
      <c r="AD233" s="615"/>
      <c r="AE233" s="615"/>
      <c r="AF233" s="615"/>
      <c r="AG233" s="615"/>
      <c r="AH233" s="615"/>
      <c r="AI233" s="615"/>
      <c r="AJ233" s="615"/>
      <c r="AK233" s="615"/>
      <c r="AL233" s="615"/>
      <c r="AM233" s="615"/>
      <c r="AN233" s="615"/>
      <c r="AO233" s="615"/>
      <c r="AP233" s="615"/>
      <c r="AQ233" s="615"/>
      <c r="AR233" s="615"/>
      <c r="AS233" s="615"/>
    </row>
    <row r="234" spans="12:45">
      <c r="L234" s="615"/>
      <c r="M234" s="615"/>
      <c r="AB234" s="615"/>
      <c r="AC234" s="615"/>
      <c r="AD234" s="615"/>
      <c r="AE234" s="615"/>
      <c r="AF234" s="615"/>
      <c r="AG234" s="615"/>
      <c r="AH234" s="615"/>
      <c r="AI234" s="615"/>
      <c r="AJ234" s="615"/>
      <c r="AK234" s="615"/>
      <c r="AL234" s="615"/>
      <c r="AM234" s="615"/>
      <c r="AN234" s="615"/>
      <c r="AO234" s="615"/>
      <c r="AP234" s="615"/>
      <c r="AQ234" s="615"/>
      <c r="AR234" s="615"/>
      <c r="AS234" s="615"/>
    </row>
    <row r="235" spans="12:45">
      <c r="L235" s="615"/>
      <c r="M235" s="615"/>
      <c r="AB235" s="615"/>
      <c r="AC235" s="615"/>
      <c r="AD235" s="615"/>
      <c r="AE235" s="615"/>
      <c r="AF235" s="615"/>
      <c r="AG235" s="615"/>
      <c r="AH235" s="615"/>
      <c r="AI235" s="615"/>
      <c r="AJ235" s="615"/>
      <c r="AK235" s="615"/>
      <c r="AL235" s="615"/>
      <c r="AM235" s="615"/>
      <c r="AN235" s="615"/>
      <c r="AO235" s="615"/>
      <c r="AP235" s="615"/>
      <c r="AQ235" s="615"/>
      <c r="AR235" s="615"/>
      <c r="AS235" s="615"/>
    </row>
    <row r="236" spans="12:45">
      <c r="L236" s="615"/>
      <c r="M236" s="615"/>
      <c r="AB236" s="615"/>
      <c r="AC236" s="615"/>
      <c r="AD236" s="615"/>
      <c r="AE236" s="615"/>
      <c r="AF236" s="615"/>
      <c r="AG236" s="615"/>
      <c r="AH236" s="615"/>
      <c r="AI236" s="615"/>
      <c r="AJ236" s="615"/>
      <c r="AK236" s="615"/>
      <c r="AL236" s="615"/>
      <c r="AM236" s="615"/>
      <c r="AN236" s="615"/>
      <c r="AO236" s="615"/>
      <c r="AP236" s="615"/>
      <c r="AQ236" s="615"/>
      <c r="AR236" s="615"/>
      <c r="AS236" s="615"/>
    </row>
    <row r="237" spans="12:45">
      <c r="L237" s="615"/>
      <c r="M237" s="615"/>
      <c r="AB237" s="615"/>
      <c r="AC237" s="615"/>
      <c r="AD237" s="615"/>
      <c r="AE237" s="615"/>
      <c r="AF237" s="615"/>
      <c r="AG237" s="615"/>
      <c r="AH237" s="615"/>
      <c r="AI237" s="615"/>
      <c r="AJ237" s="615"/>
      <c r="AK237" s="615"/>
      <c r="AL237" s="615"/>
      <c r="AM237" s="615"/>
      <c r="AN237" s="615"/>
      <c r="AO237" s="615"/>
      <c r="AP237" s="615"/>
      <c r="AQ237" s="615"/>
      <c r="AR237" s="615"/>
      <c r="AS237" s="615"/>
    </row>
    <row r="238" spans="12:45">
      <c r="L238" s="615"/>
      <c r="M238" s="615"/>
      <c r="AB238" s="615"/>
      <c r="AC238" s="615"/>
      <c r="AD238" s="615"/>
      <c r="AE238" s="615"/>
      <c r="AF238" s="615"/>
      <c r="AG238" s="615"/>
      <c r="AH238" s="615"/>
      <c r="AI238" s="615"/>
      <c r="AJ238" s="615"/>
      <c r="AK238" s="615"/>
      <c r="AL238" s="615"/>
      <c r="AM238" s="615"/>
      <c r="AN238" s="615"/>
      <c r="AO238" s="615"/>
      <c r="AP238" s="615"/>
      <c r="AQ238" s="615"/>
      <c r="AR238" s="615"/>
      <c r="AS238" s="615"/>
    </row>
    <row r="239" spans="12:45">
      <c r="L239" s="615"/>
      <c r="M239" s="615"/>
      <c r="AB239" s="615"/>
      <c r="AC239" s="615"/>
      <c r="AD239" s="615"/>
      <c r="AE239" s="615"/>
      <c r="AF239" s="615"/>
      <c r="AG239" s="615"/>
      <c r="AH239" s="615"/>
      <c r="AI239" s="615"/>
      <c r="AJ239" s="615"/>
      <c r="AK239" s="615"/>
      <c r="AL239" s="615"/>
      <c r="AM239" s="615"/>
      <c r="AN239" s="615"/>
      <c r="AO239" s="615"/>
      <c r="AP239" s="615"/>
      <c r="AQ239" s="615"/>
      <c r="AR239" s="615"/>
      <c r="AS239" s="615"/>
    </row>
    <row r="240" spans="12:45">
      <c r="L240" s="615"/>
      <c r="M240" s="615"/>
      <c r="AB240" s="615"/>
      <c r="AC240" s="615"/>
      <c r="AD240" s="615"/>
      <c r="AE240" s="615"/>
      <c r="AF240" s="615"/>
      <c r="AG240" s="615"/>
      <c r="AH240" s="615"/>
      <c r="AI240" s="615"/>
      <c r="AJ240" s="615"/>
      <c r="AK240" s="615"/>
      <c r="AL240" s="615"/>
      <c r="AM240" s="615"/>
      <c r="AN240" s="615"/>
      <c r="AO240" s="615"/>
      <c r="AP240" s="615"/>
      <c r="AQ240" s="615"/>
      <c r="AR240" s="615"/>
      <c r="AS240" s="615"/>
    </row>
    <row r="241" spans="12:45">
      <c r="L241" s="615"/>
      <c r="M241" s="615"/>
      <c r="AB241" s="615"/>
      <c r="AC241" s="615"/>
      <c r="AD241" s="615"/>
      <c r="AE241" s="615"/>
      <c r="AF241" s="615"/>
      <c r="AG241" s="615"/>
      <c r="AH241" s="615"/>
      <c r="AI241" s="615"/>
      <c r="AJ241" s="615"/>
      <c r="AK241" s="615"/>
      <c r="AL241" s="615"/>
      <c r="AM241" s="615"/>
      <c r="AN241" s="615"/>
      <c r="AO241" s="615"/>
      <c r="AP241" s="615"/>
      <c r="AQ241" s="615"/>
      <c r="AR241" s="615"/>
      <c r="AS241" s="615"/>
    </row>
    <row r="242" spans="12:45">
      <c r="L242" s="615"/>
      <c r="M242" s="615"/>
      <c r="AB242" s="615"/>
      <c r="AC242" s="615"/>
      <c r="AD242" s="615"/>
      <c r="AE242" s="615"/>
      <c r="AF242" s="615"/>
      <c r="AG242" s="615"/>
      <c r="AH242" s="615"/>
      <c r="AI242" s="615"/>
      <c r="AJ242" s="615"/>
      <c r="AK242" s="615"/>
      <c r="AL242" s="615"/>
      <c r="AM242" s="615"/>
      <c r="AN242" s="615"/>
      <c r="AO242" s="615"/>
      <c r="AP242" s="615"/>
      <c r="AQ242" s="615"/>
      <c r="AR242" s="615"/>
      <c r="AS242" s="615"/>
    </row>
    <row r="243" spans="12:45">
      <c r="L243" s="615"/>
      <c r="M243" s="615"/>
      <c r="AB243" s="615"/>
      <c r="AC243" s="615"/>
      <c r="AD243" s="615"/>
      <c r="AE243" s="615"/>
      <c r="AF243" s="615"/>
      <c r="AG243" s="615"/>
      <c r="AH243" s="615"/>
      <c r="AI243" s="615"/>
      <c r="AJ243" s="615"/>
      <c r="AK243" s="615"/>
      <c r="AL243" s="615"/>
      <c r="AM243" s="615"/>
      <c r="AN243" s="615"/>
      <c r="AO243" s="615"/>
      <c r="AP243" s="615"/>
      <c r="AQ243" s="615"/>
      <c r="AR243" s="615"/>
      <c r="AS243" s="615"/>
    </row>
    <row r="244" spans="12:45">
      <c r="L244" s="615"/>
      <c r="M244" s="615"/>
      <c r="AB244" s="615"/>
      <c r="AC244" s="615"/>
      <c r="AD244" s="615"/>
      <c r="AE244" s="615"/>
      <c r="AF244" s="615"/>
      <c r="AG244" s="615"/>
      <c r="AH244" s="615"/>
      <c r="AI244" s="615"/>
      <c r="AJ244" s="615"/>
      <c r="AK244" s="615"/>
      <c r="AL244" s="615"/>
      <c r="AM244" s="615"/>
      <c r="AN244" s="615"/>
      <c r="AO244" s="615"/>
      <c r="AP244" s="615"/>
      <c r="AQ244" s="615"/>
      <c r="AR244" s="615"/>
      <c r="AS244" s="615"/>
    </row>
    <row r="245" spans="12:45">
      <c r="L245" s="615"/>
      <c r="M245" s="615"/>
      <c r="AB245" s="615"/>
      <c r="AC245" s="615"/>
      <c r="AD245" s="615"/>
      <c r="AE245" s="615"/>
      <c r="AF245" s="615"/>
      <c r="AG245" s="615"/>
      <c r="AH245" s="615"/>
      <c r="AI245" s="615"/>
      <c r="AJ245" s="615"/>
      <c r="AK245" s="615"/>
      <c r="AL245" s="615"/>
      <c r="AM245" s="615"/>
      <c r="AN245" s="615"/>
      <c r="AO245" s="615"/>
      <c r="AP245" s="615"/>
      <c r="AQ245" s="615"/>
      <c r="AR245" s="615"/>
      <c r="AS245" s="615"/>
    </row>
    <row r="246" spans="12:45">
      <c r="L246" s="615"/>
      <c r="M246" s="615"/>
      <c r="AB246" s="615"/>
      <c r="AC246" s="615"/>
      <c r="AD246" s="615"/>
      <c r="AE246" s="615"/>
      <c r="AF246" s="615"/>
      <c r="AG246" s="615"/>
      <c r="AH246" s="615"/>
      <c r="AI246" s="615"/>
      <c r="AJ246" s="615"/>
      <c r="AK246" s="615"/>
      <c r="AL246" s="615"/>
      <c r="AM246" s="615"/>
      <c r="AN246" s="615"/>
      <c r="AO246" s="615"/>
      <c r="AP246" s="615"/>
      <c r="AQ246" s="615"/>
      <c r="AR246" s="615"/>
      <c r="AS246" s="615"/>
    </row>
    <row r="247" spans="12:45">
      <c r="L247" s="615"/>
      <c r="M247" s="615"/>
      <c r="AB247" s="615"/>
      <c r="AC247" s="615"/>
      <c r="AD247" s="615"/>
      <c r="AE247" s="615"/>
      <c r="AF247" s="615"/>
      <c r="AG247" s="615"/>
      <c r="AH247" s="615"/>
      <c r="AI247" s="615"/>
      <c r="AJ247" s="615"/>
      <c r="AK247" s="615"/>
      <c r="AL247" s="615"/>
      <c r="AM247" s="615"/>
      <c r="AN247" s="615"/>
      <c r="AO247" s="615"/>
      <c r="AP247" s="615"/>
      <c r="AQ247" s="615"/>
      <c r="AR247" s="615"/>
      <c r="AS247" s="615"/>
    </row>
    <row r="248" spans="12:45">
      <c r="L248" s="615"/>
      <c r="M248" s="615"/>
      <c r="AB248" s="615"/>
      <c r="AC248" s="615"/>
      <c r="AD248" s="615"/>
      <c r="AE248" s="615"/>
      <c r="AF248" s="615"/>
      <c r="AG248" s="615"/>
      <c r="AH248" s="615"/>
      <c r="AI248" s="615"/>
      <c r="AJ248" s="615"/>
      <c r="AK248" s="615"/>
      <c r="AL248" s="615"/>
      <c r="AM248" s="615"/>
      <c r="AN248" s="615"/>
      <c r="AO248" s="615"/>
      <c r="AP248" s="615"/>
      <c r="AQ248" s="615"/>
      <c r="AR248" s="615"/>
      <c r="AS248" s="615"/>
    </row>
    <row r="249" spans="12:45">
      <c r="L249" s="615"/>
      <c r="M249" s="615"/>
      <c r="AB249" s="615"/>
      <c r="AC249" s="615"/>
      <c r="AD249" s="615"/>
      <c r="AE249" s="615"/>
      <c r="AF249" s="615"/>
      <c r="AG249" s="615"/>
      <c r="AH249" s="615"/>
      <c r="AI249" s="615"/>
      <c r="AJ249" s="615"/>
      <c r="AK249" s="615"/>
      <c r="AL249" s="615"/>
      <c r="AM249" s="615"/>
      <c r="AN249" s="615"/>
      <c r="AO249" s="615"/>
      <c r="AP249" s="615"/>
      <c r="AQ249" s="615"/>
      <c r="AR249" s="615"/>
      <c r="AS249" s="615"/>
    </row>
    <row r="250" spans="12:45">
      <c r="L250" s="615"/>
      <c r="M250" s="615"/>
      <c r="AB250" s="615"/>
      <c r="AC250" s="615"/>
      <c r="AD250" s="615"/>
      <c r="AE250" s="615"/>
      <c r="AF250" s="615"/>
      <c r="AG250" s="615"/>
      <c r="AH250" s="615"/>
      <c r="AI250" s="615"/>
      <c r="AJ250" s="615"/>
      <c r="AK250" s="615"/>
      <c r="AL250" s="615"/>
      <c r="AM250" s="615"/>
      <c r="AN250" s="615"/>
      <c r="AO250" s="615"/>
      <c r="AP250" s="615"/>
      <c r="AQ250" s="615"/>
      <c r="AR250" s="615"/>
      <c r="AS250" s="615"/>
    </row>
    <row r="251" spans="12:45">
      <c r="L251" s="615"/>
      <c r="M251" s="615"/>
      <c r="AB251" s="615"/>
      <c r="AC251" s="615"/>
      <c r="AD251" s="615"/>
      <c r="AE251" s="615"/>
      <c r="AF251" s="615"/>
      <c r="AG251" s="615"/>
      <c r="AH251" s="615"/>
      <c r="AI251" s="615"/>
      <c r="AJ251" s="615"/>
      <c r="AK251" s="615"/>
      <c r="AL251" s="615"/>
      <c r="AM251" s="615"/>
      <c r="AN251" s="615"/>
      <c r="AO251" s="615"/>
      <c r="AP251" s="615"/>
      <c r="AQ251" s="615"/>
      <c r="AR251" s="615"/>
      <c r="AS251" s="615"/>
    </row>
    <row r="252" spans="12:45">
      <c r="L252" s="615"/>
      <c r="M252" s="615"/>
      <c r="AB252" s="615"/>
      <c r="AC252" s="615"/>
      <c r="AD252" s="615"/>
      <c r="AE252" s="615"/>
      <c r="AF252" s="615"/>
      <c r="AG252" s="615"/>
      <c r="AH252" s="615"/>
      <c r="AI252" s="615"/>
      <c r="AJ252" s="615"/>
      <c r="AK252" s="615"/>
      <c r="AL252" s="615"/>
      <c r="AM252" s="615"/>
      <c r="AN252" s="615"/>
      <c r="AO252" s="615"/>
      <c r="AP252" s="615"/>
      <c r="AQ252" s="615"/>
      <c r="AR252" s="615"/>
      <c r="AS252" s="615"/>
    </row>
    <row r="253" spans="12:45">
      <c r="L253" s="615"/>
      <c r="M253" s="615"/>
      <c r="AB253" s="615"/>
      <c r="AC253" s="615"/>
      <c r="AD253" s="615"/>
      <c r="AE253" s="615"/>
      <c r="AF253" s="615"/>
      <c r="AG253" s="615"/>
      <c r="AH253" s="615"/>
      <c r="AI253" s="615"/>
      <c r="AJ253" s="615"/>
      <c r="AK253" s="615"/>
      <c r="AL253" s="615"/>
      <c r="AM253" s="615"/>
      <c r="AN253" s="615"/>
      <c r="AO253" s="615"/>
      <c r="AP253" s="615"/>
      <c r="AQ253" s="615"/>
      <c r="AR253" s="615"/>
      <c r="AS253" s="615"/>
    </row>
    <row r="254" spans="12:45">
      <c r="L254" s="615"/>
      <c r="M254" s="615"/>
      <c r="AB254" s="615"/>
      <c r="AC254" s="615"/>
      <c r="AD254" s="615"/>
      <c r="AE254" s="615"/>
      <c r="AF254" s="615"/>
      <c r="AG254" s="615"/>
      <c r="AH254" s="615"/>
      <c r="AI254" s="615"/>
      <c r="AJ254" s="615"/>
      <c r="AK254" s="615"/>
      <c r="AL254" s="615"/>
      <c r="AM254" s="615"/>
      <c r="AN254" s="615"/>
      <c r="AO254" s="615"/>
      <c r="AP254" s="615"/>
      <c r="AQ254" s="615"/>
      <c r="AR254" s="615"/>
      <c r="AS254" s="615"/>
    </row>
    <row r="255" spans="12:45">
      <c r="L255" s="615"/>
      <c r="M255" s="615"/>
      <c r="AB255" s="615"/>
      <c r="AC255" s="615"/>
      <c r="AD255" s="615"/>
      <c r="AE255" s="615"/>
      <c r="AF255" s="615"/>
      <c r="AG255" s="615"/>
      <c r="AH255" s="615"/>
      <c r="AI255" s="615"/>
      <c r="AJ255" s="615"/>
      <c r="AK255" s="615"/>
      <c r="AL255" s="615"/>
      <c r="AM255" s="615"/>
      <c r="AN255" s="615"/>
      <c r="AO255" s="615"/>
      <c r="AP255" s="615"/>
      <c r="AQ255" s="615"/>
      <c r="AR255" s="615"/>
      <c r="AS255" s="615"/>
    </row>
    <row r="256" spans="12:45">
      <c r="L256" s="615"/>
      <c r="M256" s="615"/>
      <c r="AB256" s="615"/>
      <c r="AC256" s="615"/>
      <c r="AD256" s="615"/>
      <c r="AE256" s="615"/>
      <c r="AF256" s="615"/>
      <c r="AG256" s="615"/>
      <c r="AH256" s="615"/>
      <c r="AI256" s="615"/>
      <c r="AJ256" s="615"/>
      <c r="AK256" s="615"/>
      <c r="AL256" s="615"/>
      <c r="AM256" s="615"/>
      <c r="AN256" s="615"/>
      <c r="AO256" s="615"/>
      <c r="AP256" s="615"/>
      <c r="AQ256" s="615"/>
      <c r="AR256" s="615"/>
      <c r="AS256" s="615"/>
    </row>
    <row r="257" spans="12:45">
      <c r="L257" s="615"/>
      <c r="M257" s="615"/>
      <c r="AB257" s="615"/>
      <c r="AC257" s="615"/>
      <c r="AD257" s="615"/>
      <c r="AE257" s="615"/>
      <c r="AF257" s="615"/>
      <c r="AG257" s="615"/>
      <c r="AH257" s="615"/>
      <c r="AI257" s="615"/>
      <c r="AJ257" s="615"/>
      <c r="AK257" s="615"/>
      <c r="AL257" s="615"/>
      <c r="AM257" s="615"/>
      <c r="AN257" s="615"/>
      <c r="AO257" s="615"/>
      <c r="AP257" s="615"/>
      <c r="AQ257" s="615"/>
      <c r="AR257" s="615"/>
      <c r="AS257" s="615"/>
    </row>
    <row r="258" spans="12:45">
      <c r="L258" s="615"/>
      <c r="M258" s="615"/>
      <c r="AB258" s="615"/>
      <c r="AC258" s="615"/>
      <c r="AD258" s="615"/>
      <c r="AE258" s="615"/>
      <c r="AF258" s="615"/>
      <c r="AG258" s="615"/>
      <c r="AH258" s="615"/>
      <c r="AI258" s="615"/>
      <c r="AJ258" s="615"/>
      <c r="AK258" s="615"/>
      <c r="AL258" s="615"/>
      <c r="AM258" s="615"/>
      <c r="AN258" s="615"/>
      <c r="AO258" s="615"/>
      <c r="AP258" s="615"/>
      <c r="AQ258" s="615"/>
      <c r="AR258" s="615"/>
      <c r="AS258" s="615"/>
    </row>
    <row r="259" spans="12:45">
      <c r="L259" s="615"/>
      <c r="M259" s="615"/>
      <c r="AB259" s="615"/>
      <c r="AC259" s="615"/>
      <c r="AD259" s="615"/>
      <c r="AE259" s="615"/>
      <c r="AF259" s="615"/>
      <c r="AG259" s="615"/>
      <c r="AH259" s="615"/>
      <c r="AI259" s="615"/>
      <c r="AJ259" s="615"/>
      <c r="AK259" s="615"/>
      <c r="AL259" s="615"/>
      <c r="AM259" s="615"/>
      <c r="AN259" s="615"/>
      <c r="AO259" s="615"/>
      <c r="AP259" s="615"/>
      <c r="AQ259" s="615"/>
      <c r="AR259" s="615"/>
      <c r="AS259" s="615"/>
    </row>
    <row r="260" spans="12:45">
      <c r="L260" s="615"/>
      <c r="M260" s="615"/>
      <c r="AB260" s="615"/>
      <c r="AC260" s="615"/>
      <c r="AD260" s="615"/>
      <c r="AE260" s="615"/>
      <c r="AF260" s="615"/>
      <c r="AG260" s="615"/>
      <c r="AH260" s="615"/>
      <c r="AI260" s="615"/>
      <c r="AJ260" s="615"/>
      <c r="AK260" s="615"/>
      <c r="AL260" s="615"/>
      <c r="AM260" s="615"/>
      <c r="AN260" s="615"/>
      <c r="AO260" s="615"/>
      <c r="AP260" s="615"/>
      <c r="AQ260" s="615"/>
      <c r="AR260" s="615"/>
      <c r="AS260" s="615"/>
    </row>
    <row r="261" spans="12:45">
      <c r="L261" s="615"/>
      <c r="M261" s="615"/>
      <c r="AB261" s="615"/>
      <c r="AC261" s="615"/>
      <c r="AD261" s="615"/>
      <c r="AE261" s="615"/>
      <c r="AF261" s="615"/>
      <c r="AG261" s="615"/>
      <c r="AH261" s="615"/>
      <c r="AI261" s="615"/>
      <c r="AJ261" s="615"/>
      <c r="AK261" s="615"/>
      <c r="AL261" s="615"/>
      <c r="AM261" s="615"/>
      <c r="AN261" s="615"/>
      <c r="AO261" s="615"/>
      <c r="AP261" s="615"/>
      <c r="AQ261" s="615"/>
      <c r="AR261" s="615"/>
      <c r="AS261" s="615"/>
    </row>
    <row r="262" spans="12:45">
      <c r="L262" s="615"/>
      <c r="M262" s="615"/>
      <c r="AB262" s="615"/>
      <c r="AC262" s="615"/>
      <c r="AD262" s="615"/>
      <c r="AE262" s="615"/>
      <c r="AF262" s="615"/>
      <c r="AG262" s="615"/>
      <c r="AH262" s="615"/>
      <c r="AI262" s="615"/>
      <c r="AJ262" s="615"/>
      <c r="AK262" s="615"/>
      <c r="AL262" s="615"/>
      <c r="AM262" s="615"/>
      <c r="AN262" s="615"/>
      <c r="AO262" s="615"/>
      <c r="AP262" s="615"/>
      <c r="AQ262" s="615"/>
      <c r="AR262" s="615"/>
      <c r="AS262" s="615"/>
    </row>
    <row r="263" spans="12:45">
      <c r="L263" s="615"/>
      <c r="M263" s="615"/>
      <c r="AB263" s="615"/>
      <c r="AC263" s="615"/>
      <c r="AD263" s="615"/>
      <c r="AE263" s="615"/>
      <c r="AF263" s="615"/>
      <c r="AG263" s="615"/>
      <c r="AH263" s="615"/>
      <c r="AI263" s="615"/>
      <c r="AJ263" s="615"/>
      <c r="AK263" s="615"/>
      <c r="AL263" s="615"/>
      <c r="AM263" s="615"/>
      <c r="AN263" s="615"/>
      <c r="AO263" s="615"/>
      <c r="AP263" s="615"/>
      <c r="AQ263" s="615"/>
      <c r="AR263" s="615"/>
      <c r="AS263" s="615"/>
    </row>
    <row r="264" spans="12:45">
      <c r="L264" s="615"/>
      <c r="M264" s="615"/>
      <c r="AB264" s="615"/>
      <c r="AC264" s="615"/>
      <c r="AD264" s="615"/>
      <c r="AE264" s="615"/>
      <c r="AF264" s="615"/>
      <c r="AG264" s="615"/>
      <c r="AH264" s="615"/>
      <c r="AI264" s="615"/>
      <c r="AJ264" s="615"/>
      <c r="AK264" s="615"/>
      <c r="AL264" s="615"/>
      <c r="AM264" s="615"/>
      <c r="AN264" s="615"/>
      <c r="AO264" s="615"/>
      <c r="AP264" s="615"/>
      <c r="AQ264" s="615"/>
      <c r="AR264" s="615"/>
      <c r="AS264" s="615"/>
    </row>
    <row r="265" spans="12:45">
      <c r="L265" s="615"/>
      <c r="M265" s="615"/>
      <c r="AB265" s="615"/>
      <c r="AC265" s="615"/>
      <c r="AD265" s="615"/>
      <c r="AE265" s="615"/>
      <c r="AF265" s="615"/>
      <c r="AG265" s="615"/>
      <c r="AH265" s="615"/>
      <c r="AI265" s="615"/>
      <c r="AJ265" s="615"/>
      <c r="AK265" s="615"/>
      <c r="AL265" s="615"/>
      <c r="AM265" s="615"/>
      <c r="AN265" s="615"/>
      <c r="AO265" s="615"/>
      <c r="AP265" s="615"/>
      <c r="AQ265" s="615"/>
      <c r="AR265" s="615"/>
      <c r="AS265" s="615"/>
    </row>
    <row r="266" spans="12:45">
      <c r="L266" s="615"/>
      <c r="M266" s="615"/>
      <c r="AB266" s="615"/>
      <c r="AC266" s="615"/>
      <c r="AD266" s="615"/>
      <c r="AE266" s="615"/>
      <c r="AF266" s="615"/>
      <c r="AG266" s="615"/>
      <c r="AH266" s="615"/>
      <c r="AI266" s="615"/>
      <c r="AJ266" s="615"/>
      <c r="AK266" s="615"/>
      <c r="AL266" s="615"/>
      <c r="AM266" s="615"/>
      <c r="AN266" s="615"/>
      <c r="AO266" s="615"/>
      <c r="AP266" s="615"/>
      <c r="AQ266" s="615"/>
      <c r="AR266" s="615"/>
      <c r="AS266" s="615"/>
    </row>
    <row r="267" spans="12:45">
      <c r="L267" s="615"/>
      <c r="M267" s="615"/>
      <c r="AB267" s="615"/>
      <c r="AC267" s="615"/>
      <c r="AD267" s="615"/>
      <c r="AE267" s="615"/>
      <c r="AF267" s="615"/>
      <c r="AG267" s="615"/>
      <c r="AH267" s="615"/>
      <c r="AI267" s="615"/>
      <c r="AJ267" s="615"/>
      <c r="AK267" s="615"/>
      <c r="AL267" s="615"/>
      <c r="AM267" s="615"/>
      <c r="AN267" s="615"/>
      <c r="AO267" s="615"/>
      <c r="AP267" s="615"/>
      <c r="AQ267" s="615"/>
      <c r="AR267" s="615"/>
      <c r="AS267" s="615"/>
    </row>
    <row r="268" spans="12:45">
      <c r="L268" s="615"/>
      <c r="M268" s="615"/>
      <c r="AB268" s="615"/>
      <c r="AC268" s="615"/>
      <c r="AD268" s="615"/>
      <c r="AE268" s="615"/>
      <c r="AF268" s="615"/>
      <c r="AG268" s="615"/>
      <c r="AH268" s="615"/>
      <c r="AI268" s="615"/>
      <c r="AJ268" s="615"/>
      <c r="AK268" s="615"/>
      <c r="AL268" s="615"/>
      <c r="AM268" s="615"/>
      <c r="AN268" s="615"/>
      <c r="AO268" s="615"/>
      <c r="AP268" s="615"/>
      <c r="AQ268" s="615"/>
      <c r="AR268" s="615"/>
      <c r="AS268" s="615"/>
    </row>
    <row r="269" spans="12:45">
      <c r="L269" s="615"/>
      <c r="M269" s="615"/>
      <c r="AB269" s="615"/>
      <c r="AC269" s="615"/>
      <c r="AD269" s="615"/>
      <c r="AE269" s="615"/>
      <c r="AF269" s="615"/>
      <c r="AG269" s="615"/>
      <c r="AH269" s="615"/>
      <c r="AI269" s="615"/>
      <c r="AJ269" s="615"/>
      <c r="AK269" s="615"/>
      <c r="AL269" s="615"/>
      <c r="AM269" s="615"/>
      <c r="AN269" s="615"/>
      <c r="AO269" s="615"/>
      <c r="AP269" s="615"/>
      <c r="AQ269" s="615"/>
      <c r="AR269" s="615"/>
      <c r="AS269" s="615"/>
    </row>
    <row r="270" spans="12:45">
      <c r="L270" s="615"/>
      <c r="M270" s="615"/>
      <c r="AB270" s="615"/>
      <c r="AC270" s="615"/>
      <c r="AD270" s="615"/>
      <c r="AE270" s="615"/>
      <c r="AF270" s="615"/>
      <c r="AG270" s="615"/>
      <c r="AH270" s="615"/>
      <c r="AI270" s="615"/>
      <c r="AJ270" s="615"/>
      <c r="AK270" s="615"/>
      <c r="AL270" s="615"/>
      <c r="AM270" s="615"/>
      <c r="AN270" s="615"/>
      <c r="AO270" s="615"/>
      <c r="AP270" s="615"/>
      <c r="AQ270" s="615"/>
      <c r="AR270" s="615"/>
      <c r="AS270" s="615"/>
    </row>
    <row r="271" spans="12:45">
      <c r="L271" s="615"/>
      <c r="M271" s="615"/>
      <c r="AB271" s="615"/>
      <c r="AC271" s="615"/>
      <c r="AD271" s="615"/>
      <c r="AE271" s="615"/>
      <c r="AF271" s="615"/>
      <c r="AG271" s="615"/>
      <c r="AH271" s="615"/>
      <c r="AI271" s="615"/>
      <c r="AJ271" s="615"/>
      <c r="AK271" s="615"/>
      <c r="AL271" s="615"/>
      <c r="AM271" s="615"/>
      <c r="AN271" s="615"/>
      <c r="AO271" s="615"/>
      <c r="AP271" s="615"/>
      <c r="AQ271" s="615"/>
      <c r="AR271" s="615"/>
      <c r="AS271" s="615"/>
    </row>
    <row r="272" spans="12:45">
      <c r="L272" s="615"/>
      <c r="M272" s="615"/>
      <c r="AB272" s="615"/>
      <c r="AC272" s="615"/>
      <c r="AD272" s="615"/>
      <c r="AE272" s="615"/>
      <c r="AF272" s="615"/>
      <c r="AG272" s="615"/>
      <c r="AH272" s="615"/>
      <c r="AI272" s="615"/>
      <c r="AJ272" s="615"/>
      <c r="AK272" s="615"/>
      <c r="AL272" s="615"/>
      <c r="AM272" s="615"/>
      <c r="AN272" s="615"/>
      <c r="AO272" s="615"/>
      <c r="AP272" s="615"/>
      <c r="AQ272" s="615"/>
      <c r="AR272" s="615"/>
      <c r="AS272" s="615"/>
    </row>
    <row r="273" spans="12:45">
      <c r="L273" s="615"/>
      <c r="M273" s="615"/>
      <c r="AB273" s="615"/>
      <c r="AC273" s="615"/>
      <c r="AD273" s="615"/>
      <c r="AE273" s="615"/>
      <c r="AF273" s="615"/>
      <c r="AG273" s="615"/>
      <c r="AH273" s="615"/>
      <c r="AI273" s="615"/>
      <c r="AJ273" s="615"/>
      <c r="AK273" s="615"/>
      <c r="AL273" s="615"/>
      <c r="AM273" s="615"/>
      <c r="AN273" s="615"/>
      <c r="AO273" s="615"/>
      <c r="AP273" s="615"/>
      <c r="AQ273" s="615"/>
      <c r="AR273" s="615"/>
      <c r="AS273" s="615"/>
    </row>
    <row r="274" spans="12:45">
      <c r="L274" s="615"/>
      <c r="M274" s="615"/>
      <c r="AB274" s="615"/>
      <c r="AC274" s="615"/>
      <c r="AD274" s="615"/>
      <c r="AE274" s="615"/>
      <c r="AF274" s="615"/>
      <c r="AG274" s="615"/>
      <c r="AH274" s="615"/>
      <c r="AI274" s="615"/>
      <c r="AJ274" s="615"/>
      <c r="AK274" s="615"/>
      <c r="AL274" s="615"/>
      <c r="AM274" s="615"/>
      <c r="AN274" s="615"/>
      <c r="AO274" s="615"/>
      <c r="AP274" s="615"/>
      <c r="AQ274" s="615"/>
      <c r="AR274" s="615"/>
      <c r="AS274" s="615"/>
    </row>
    <row r="275" spans="12:45">
      <c r="L275" s="615"/>
      <c r="M275" s="615"/>
      <c r="AB275" s="615"/>
      <c r="AC275" s="615"/>
      <c r="AD275" s="615"/>
      <c r="AE275" s="615"/>
      <c r="AF275" s="615"/>
      <c r="AG275" s="615"/>
      <c r="AH275" s="615"/>
      <c r="AI275" s="615"/>
      <c r="AJ275" s="615"/>
      <c r="AK275" s="615"/>
      <c r="AL275" s="615"/>
      <c r="AM275" s="615"/>
      <c r="AN275" s="615"/>
      <c r="AO275" s="615"/>
      <c r="AP275" s="615"/>
      <c r="AQ275" s="615"/>
      <c r="AR275" s="615"/>
      <c r="AS275" s="615"/>
    </row>
    <row r="276" spans="12:45">
      <c r="L276" s="615"/>
      <c r="M276" s="615"/>
      <c r="AB276" s="615"/>
      <c r="AC276" s="615"/>
      <c r="AD276" s="615"/>
      <c r="AE276" s="615"/>
      <c r="AF276" s="615"/>
      <c r="AG276" s="615"/>
      <c r="AH276" s="615"/>
      <c r="AI276" s="615"/>
      <c r="AJ276" s="615"/>
      <c r="AK276" s="615"/>
      <c r="AL276" s="615"/>
      <c r="AM276" s="615"/>
      <c r="AN276" s="615"/>
      <c r="AO276" s="615"/>
      <c r="AP276" s="615"/>
      <c r="AQ276" s="615"/>
      <c r="AR276" s="615"/>
      <c r="AS276" s="615"/>
    </row>
    <row r="277" spans="12:45">
      <c r="L277" s="615"/>
      <c r="M277" s="615"/>
      <c r="AB277" s="615"/>
      <c r="AC277" s="615"/>
      <c r="AD277" s="615"/>
      <c r="AE277" s="615"/>
      <c r="AF277" s="615"/>
      <c r="AG277" s="615"/>
      <c r="AH277" s="615"/>
      <c r="AI277" s="615"/>
      <c r="AJ277" s="615"/>
      <c r="AK277" s="615"/>
      <c r="AL277" s="615"/>
      <c r="AM277" s="615"/>
      <c r="AN277" s="615"/>
      <c r="AO277" s="615"/>
      <c r="AP277" s="615"/>
      <c r="AQ277" s="615"/>
      <c r="AR277" s="615"/>
      <c r="AS277" s="615"/>
    </row>
    <row r="278" spans="12:45">
      <c r="L278" s="615"/>
      <c r="M278" s="615"/>
      <c r="AB278" s="615"/>
      <c r="AC278" s="615"/>
      <c r="AD278" s="615"/>
      <c r="AE278" s="615"/>
      <c r="AF278" s="615"/>
      <c r="AG278" s="615"/>
      <c r="AH278" s="615"/>
      <c r="AI278" s="615"/>
      <c r="AJ278" s="615"/>
      <c r="AK278" s="615"/>
      <c r="AL278" s="615"/>
      <c r="AM278" s="615"/>
      <c r="AN278" s="615"/>
      <c r="AO278" s="615"/>
      <c r="AP278" s="615"/>
      <c r="AQ278" s="615"/>
      <c r="AR278" s="615"/>
      <c r="AS278" s="615"/>
    </row>
    <row r="279" spans="12:45">
      <c r="L279" s="615"/>
      <c r="M279" s="615"/>
      <c r="AB279" s="615"/>
      <c r="AC279" s="615"/>
      <c r="AD279" s="615"/>
      <c r="AE279" s="615"/>
      <c r="AF279" s="615"/>
      <c r="AG279" s="615"/>
      <c r="AH279" s="615"/>
      <c r="AI279" s="615"/>
      <c r="AJ279" s="615"/>
      <c r="AK279" s="615"/>
      <c r="AL279" s="615"/>
      <c r="AM279" s="615"/>
      <c r="AN279" s="615"/>
      <c r="AO279" s="615"/>
      <c r="AP279" s="615"/>
      <c r="AQ279" s="615"/>
      <c r="AR279" s="615"/>
      <c r="AS279" s="615"/>
    </row>
    <row r="280" spans="12:45">
      <c r="L280" s="615"/>
      <c r="M280" s="615"/>
      <c r="AB280" s="615"/>
      <c r="AC280" s="615"/>
      <c r="AD280" s="615"/>
      <c r="AE280" s="615"/>
      <c r="AF280" s="615"/>
      <c r="AG280" s="615"/>
      <c r="AH280" s="615"/>
      <c r="AI280" s="615"/>
      <c r="AJ280" s="615"/>
      <c r="AK280" s="615"/>
      <c r="AL280" s="615"/>
      <c r="AM280" s="615"/>
      <c r="AN280" s="615"/>
      <c r="AO280" s="615"/>
      <c r="AP280" s="615"/>
      <c r="AQ280" s="615"/>
      <c r="AR280" s="615"/>
      <c r="AS280" s="615"/>
    </row>
    <row r="281" spans="12:45">
      <c r="L281" s="615"/>
      <c r="M281" s="615"/>
      <c r="AB281" s="615"/>
      <c r="AC281" s="615"/>
      <c r="AD281" s="615"/>
      <c r="AE281" s="615"/>
      <c r="AF281" s="615"/>
      <c r="AG281" s="615"/>
      <c r="AH281" s="615"/>
      <c r="AI281" s="615"/>
      <c r="AJ281" s="615"/>
      <c r="AK281" s="615"/>
      <c r="AL281" s="615"/>
      <c r="AM281" s="615"/>
      <c r="AN281" s="615"/>
      <c r="AO281" s="615"/>
      <c r="AP281" s="615"/>
      <c r="AQ281" s="615"/>
      <c r="AR281" s="615"/>
      <c r="AS281" s="615"/>
    </row>
    <row r="282" spans="12:45">
      <c r="L282" s="615"/>
      <c r="M282" s="615"/>
      <c r="AB282" s="615"/>
      <c r="AC282" s="615"/>
      <c r="AD282" s="615"/>
      <c r="AE282" s="615"/>
      <c r="AF282" s="615"/>
      <c r="AG282" s="615"/>
      <c r="AH282" s="615"/>
      <c r="AI282" s="615"/>
      <c r="AJ282" s="615"/>
      <c r="AK282" s="615"/>
      <c r="AL282" s="615"/>
      <c r="AM282" s="615"/>
      <c r="AN282" s="615"/>
      <c r="AO282" s="615"/>
      <c r="AP282" s="615"/>
      <c r="AQ282" s="615"/>
      <c r="AR282" s="615"/>
      <c r="AS282" s="615"/>
    </row>
    <row r="283" spans="12:45">
      <c r="L283" s="615"/>
      <c r="M283" s="615"/>
      <c r="AB283" s="615"/>
      <c r="AC283" s="615"/>
      <c r="AD283" s="615"/>
      <c r="AE283" s="615"/>
      <c r="AF283" s="615"/>
      <c r="AG283" s="615"/>
      <c r="AH283" s="615"/>
      <c r="AI283" s="615"/>
      <c r="AJ283" s="615"/>
      <c r="AK283" s="615"/>
      <c r="AL283" s="615"/>
      <c r="AM283" s="615"/>
      <c r="AN283" s="615"/>
      <c r="AO283" s="615"/>
      <c r="AP283" s="615"/>
      <c r="AQ283" s="615"/>
      <c r="AR283" s="615"/>
      <c r="AS283" s="615"/>
    </row>
    <row r="284" spans="12:45">
      <c r="L284" s="615"/>
      <c r="M284" s="615"/>
      <c r="AB284" s="615"/>
      <c r="AC284" s="615"/>
      <c r="AD284" s="615"/>
      <c r="AE284" s="615"/>
      <c r="AF284" s="615"/>
      <c r="AG284" s="615"/>
      <c r="AH284" s="615"/>
      <c r="AI284" s="615"/>
      <c r="AJ284" s="615"/>
      <c r="AK284" s="615"/>
      <c r="AL284" s="615"/>
      <c r="AM284" s="615"/>
      <c r="AN284" s="615"/>
      <c r="AO284" s="615"/>
      <c r="AP284" s="615"/>
      <c r="AQ284" s="615"/>
      <c r="AR284" s="615"/>
      <c r="AS284" s="615"/>
    </row>
    <row r="285" spans="12:45">
      <c r="L285" s="615"/>
      <c r="M285" s="615"/>
      <c r="AB285" s="615"/>
      <c r="AC285" s="615"/>
      <c r="AD285" s="615"/>
      <c r="AE285" s="615"/>
      <c r="AF285" s="615"/>
      <c r="AG285" s="615"/>
      <c r="AH285" s="615"/>
      <c r="AI285" s="615"/>
      <c r="AJ285" s="615"/>
      <c r="AK285" s="615"/>
      <c r="AL285" s="615"/>
      <c r="AM285" s="615"/>
      <c r="AN285" s="615"/>
      <c r="AO285" s="615"/>
      <c r="AP285" s="615"/>
      <c r="AQ285" s="615"/>
      <c r="AR285" s="615"/>
      <c r="AS285" s="615"/>
    </row>
    <row r="286" spans="12:45">
      <c r="L286" s="615"/>
      <c r="M286" s="615"/>
      <c r="AB286" s="615"/>
      <c r="AC286" s="615"/>
      <c r="AD286" s="615"/>
      <c r="AE286" s="615"/>
      <c r="AF286" s="615"/>
      <c r="AG286" s="615"/>
      <c r="AH286" s="615"/>
      <c r="AI286" s="615"/>
      <c r="AJ286" s="615"/>
      <c r="AK286" s="615"/>
      <c r="AL286" s="615"/>
      <c r="AM286" s="615"/>
      <c r="AN286" s="615"/>
      <c r="AO286" s="615"/>
      <c r="AP286" s="615"/>
      <c r="AQ286" s="615"/>
      <c r="AR286" s="615"/>
      <c r="AS286" s="615"/>
    </row>
    <row r="287" spans="12:45">
      <c r="L287" s="615"/>
      <c r="M287" s="615"/>
      <c r="AB287" s="615"/>
      <c r="AC287" s="615"/>
      <c r="AD287" s="615"/>
      <c r="AE287" s="615"/>
      <c r="AF287" s="615"/>
      <c r="AG287" s="615"/>
      <c r="AH287" s="615"/>
      <c r="AI287" s="615"/>
      <c r="AJ287" s="615"/>
      <c r="AK287" s="615"/>
      <c r="AL287" s="615"/>
      <c r="AM287" s="615"/>
      <c r="AN287" s="615"/>
      <c r="AO287" s="615"/>
      <c r="AP287" s="615"/>
      <c r="AQ287" s="615"/>
      <c r="AR287" s="615"/>
      <c r="AS287" s="615"/>
    </row>
    <row r="288" spans="12:45">
      <c r="L288" s="615"/>
      <c r="M288" s="615"/>
      <c r="AB288" s="615"/>
      <c r="AC288" s="615"/>
      <c r="AD288" s="615"/>
      <c r="AE288" s="615"/>
      <c r="AF288" s="615"/>
      <c r="AG288" s="615"/>
      <c r="AH288" s="615"/>
      <c r="AI288" s="615"/>
      <c r="AJ288" s="615"/>
      <c r="AK288" s="615"/>
      <c r="AL288" s="615"/>
      <c r="AM288" s="615"/>
      <c r="AN288" s="615"/>
      <c r="AO288" s="615"/>
      <c r="AP288" s="615"/>
      <c r="AQ288" s="615"/>
      <c r="AR288" s="615"/>
      <c r="AS288" s="615"/>
    </row>
    <row r="289" spans="12:45">
      <c r="L289" s="615"/>
      <c r="M289" s="615"/>
      <c r="AB289" s="615"/>
      <c r="AC289" s="615"/>
      <c r="AD289" s="615"/>
      <c r="AE289" s="615"/>
      <c r="AF289" s="615"/>
      <c r="AG289" s="615"/>
      <c r="AH289" s="615"/>
      <c r="AI289" s="615"/>
      <c r="AJ289" s="615"/>
      <c r="AK289" s="615"/>
      <c r="AL289" s="615"/>
      <c r="AM289" s="615"/>
      <c r="AN289" s="615"/>
      <c r="AO289" s="615"/>
      <c r="AP289" s="615"/>
      <c r="AQ289" s="615"/>
      <c r="AR289" s="615"/>
      <c r="AS289" s="615"/>
    </row>
    <row r="290" spans="12:45">
      <c r="L290" s="615"/>
      <c r="M290" s="615"/>
      <c r="AB290" s="615"/>
      <c r="AC290" s="615"/>
      <c r="AD290" s="615"/>
      <c r="AE290" s="615"/>
      <c r="AF290" s="615"/>
      <c r="AG290" s="615"/>
      <c r="AH290" s="615"/>
      <c r="AI290" s="615"/>
      <c r="AJ290" s="615"/>
      <c r="AK290" s="615"/>
      <c r="AL290" s="615"/>
      <c r="AM290" s="615"/>
      <c r="AN290" s="615"/>
      <c r="AO290" s="615"/>
      <c r="AP290" s="615"/>
      <c r="AQ290" s="615"/>
      <c r="AR290" s="615"/>
      <c r="AS290" s="615"/>
    </row>
    <row r="291" spans="12:45">
      <c r="L291" s="615"/>
      <c r="M291" s="615"/>
      <c r="AB291" s="615"/>
      <c r="AC291" s="615"/>
      <c r="AD291" s="615"/>
      <c r="AE291" s="615"/>
      <c r="AF291" s="615"/>
      <c r="AG291" s="615"/>
      <c r="AH291" s="615"/>
      <c r="AI291" s="615"/>
      <c r="AJ291" s="615"/>
      <c r="AK291" s="615"/>
      <c r="AL291" s="615"/>
      <c r="AM291" s="615"/>
      <c r="AN291" s="615"/>
      <c r="AO291" s="615"/>
      <c r="AP291" s="615"/>
      <c r="AQ291" s="615"/>
      <c r="AR291" s="615"/>
      <c r="AS291" s="615"/>
    </row>
    <row r="292" spans="12:45">
      <c r="L292" s="615"/>
      <c r="M292" s="615"/>
      <c r="AB292" s="615"/>
      <c r="AC292" s="615"/>
      <c r="AD292" s="615"/>
      <c r="AE292" s="615"/>
      <c r="AF292" s="615"/>
      <c r="AG292" s="615"/>
      <c r="AH292" s="615"/>
      <c r="AI292" s="615"/>
      <c r="AJ292" s="615"/>
      <c r="AK292" s="615"/>
      <c r="AL292" s="615"/>
      <c r="AM292" s="615"/>
      <c r="AN292" s="615"/>
      <c r="AO292" s="615"/>
      <c r="AP292" s="615"/>
      <c r="AQ292" s="615"/>
      <c r="AR292" s="615"/>
      <c r="AS292" s="615"/>
    </row>
    <row r="293" spans="12:45">
      <c r="L293" s="615"/>
      <c r="M293" s="615"/>
      <c r="AB293" s="615"/>
      <c r="AC293" s="615"/>
      <c r="AD293" s="615"/>
      <c r="AE293" s="615"/>
      <c r="AF293" s="615"/>
      <c r="AG293" s="615"/>
      <c r="AH293" s="615"/>
      <c r="AI293" s="615"/>
      <c r="AJ293" s="615"/>
      <c r="AK293" s="615"/>
      <c r="AL293" s="615"/>
      <c r="AM293" s="615"/>
      <c r="AN293" s="615"/>
      <c r="AO293" s="615"/>
      <c r="AP293" s="615"/>
      <c r="AQ293" s="615"/>
      <c r="AR293" s="615"/>
      <c r="AS293" s="615"/>
    </row>
    <row r="294" spans="12:45">
      <c r="L294" s="615"/>
      <c r="M294" s="615"/>
      <c r="AB294" s="615"/>
      <c r="AC294" s="615"/>
      <c r="AD294" s="615"/>
      <c r="AE294" s="615"/>
      <c r="AF294" s="615"/>
      <c r="AG294" s="615"/>
      <c r="AH294" s="615"/>
      <c r="AI294" s="615"/>
      <c r="AJ294" s="615"/>
      <c r="AK294" s="615"/>
      <c r="AL294" s="615"/>
      <c r="AM294" s="615"/>
      <c r="AN294" s="615"/>
      <c r="AO294" s="615"/>
      <c r="AP294" s="615"/>
      <c r="AQ294" s="615"/>
      <c r="AR294" s="615"/>
      <c r="AS294" s="615"/>
    </row>
    <row r="295" spans="12:45">
      <c r="L295" s="615"/>
      <c r="M295" s="615"/>
      <c r="AB295" s="615"/>
      <c r="AC295" s="615"/>
      <c r="AD295" s="615"/>
      <c r="AE295" s="615"/>
      <c r="AF295" s="615"/>
      <c r="AG295" s="615"/>
      <c r="AH295" s="615"/>
      <c r="AI295" s="615"/>
      <c r="AJ295" s="615"/>
      <c r="AK295" s="615"/>
      <c r="AL295" s="615"/>
      <c r="AM295" s="615"/>
      <c r="AN295" s="615"/>
      <c r="AO295" s="615"/>
      <c r="AP295" s="615"/>
      <c r="AQ295" s="615"/>
      <c r="AR295" s="615"/>
      <c r="AS295" s="615"/>
    </row>
    <row r="296" spans="12:45">
      <c r="L296" s="615"/>
      <c r="M296" s="615"/>
      <c r="AB296" s="615"/>
      <c r="AC296" s="615"/>
      <c r="AD296" s="615"/>
      <c r="AE296" s="615"/>
      <c r="AF296" s="615"/>
      <c r="AG296" s="615"/>
      <c r="AH296" s="615"/>
      <c r="AI296" s="615"/>
      <c r="AJ296" s="615"/>
      <c r="AK296" s="615"/>
      <c r="AL296" s="615"/>
      <c r="AM296" s="615"/>
      <c r="AN296" s="615"/>
      <c r="AO296" s="615"/>
      <c r="AP296" s="615"/>
      <c r="AQ296" s="615"/>
      <c r="AR296" s="615"/>
      <c r="AS296" s="615"/>
    </row>
    <row r="297" spans="12:45">
      <c r="L297" s="615"/>
      <c r="M297" s="615"/>
      <c r="AB297" s="615"/>
      <c r="AC297" s="615"/>
      <c r="AD297" s="615"/>
      <c r="AE297" s="615"/>
      <c r="AF297" s="615"/>
      <c r="AG297" s="615"/>
      <c r="AH297" s="615"/>
      <c r="AI297" s="615"/>
      <c r="AJ297" s="615"/>
      <c r="AK297" s="615"/>
      <c r="AL297" s="615"/>
      <c r="AM297" s="615"/>
      <c r="AN297" s="615"/>
      <c r="AO297" s="615"/>
      <c r="AP297" s="615"/>
      <c r="AQ297" s="615"/>
      <c r="AR297" s="615"/>
      <c r="AS297" s="615"/>
    </row>
    <row r="298" spans="12:45">
      <c r="L298" s="615"/>
      <c r="M298" s="615"/>
      <c r="AB298" s="615"/>
      <c r="AC298" s="615"/>
      <c r="AD298" s="615"/>
      <c r="AE298" s="615"/>
      <c r="AF298" s="615"/>
      <c r="AG298" s="615"/>
      <c r="AH298" s="615"/>
      <c r="AI298" s="615"/>
      <c r="AJ298" s="615"/>
      <c r="AK298" s="615"/>
      <c r="AL298" s="615"/>
      <c r="AM298" s="615"/>
      <c r="AN298" s="615"/>
      <c r="AO298" s="615"/>
      <c r="AP298" s="615"/>
      <c r="AQ298" s="615"/>
      <c r="AR298" s="615"/>
      <c r="AS298" s="615"/>
    </row>
    <row r="299" spans="12:45">
      <c r="L299" s="615"/>
      <c r="M299" s="615"/>
      <c r="AB299" s="615"/>
      <c r="AC299" s="615"/>
      <c r="AD299" s="615"/>
      <c r="AE299" s="615"/>
      <c r="AF299" s="615"/>
      <c r="AG299" s="615"/>
      <c r="AH299" s="615"/>
      <c r="AI299" s="615"/>
      <c r="AJ299" s="615"/>
      <c r="AK299" s="615"/>
      <c r="AL299" s="615"/>
      <c r="AM299" s="615"/>
      <c r="AN299" s="615"/>
      <c r="AO299" s="615"/>
      <c r="AP299" s="615"/>
      <c r="AQ299" s="615"/>
      <c r="AR299" s="615"/>
      <c r="AS299" s="615"/>
    </row>
    <row r="300" spans="12:45">
      <c r="L300" s="615"/>
      <c r="M300" s="615"/>
      <c r="AB300" s="615"/>
      <c r="AC300" s="615"/>
      <c r="AD300" s="615"/>
      <c r="AE300" s="615"/>
      <c r="AF300" s="615"/>
      <c r="AG300" s="615"/>
      <c r="AH300" s="615"/>
      <c r="AI300" s="615"/>
      <c r="AJ300" s="615"/>
      <c r="AK300" s="615"/>
      <c r="AL300" s="615"/>
      <c r="AM300" s="615"/>
      <c r="AN300" s="615"/>
      <c r="AO300" s="615"/>
      <c r="AP300" s="615"/>
      <c r="AQ300" s="615"/>
      <c r="AR300" s="615"/>
      <c r="AS300" s="615"/>
    </row>
    <row r="301" spans="12:45">
      <c r="L301" s="615"/>
      <c r="M301" s="615"/>
      <c r="AB301" s="615"/>
      <c r="AC301" s="615"/>
      <c r="AD301" s="615"/>
      <c r="AE301" s="615"/>
      <c r="AF301" s="615"/>
      <c r="AG301" s="615"/>
      <c r="AH301" s="615"/>
      <c r="AI301" s="615"/>
      <c r="AJ301" s="615"/>
      <c r="AK301" s="615"/>
      <c r="AL301" s="615"/>
      <c r="AM301" s="615"/>
      <c r="AN301" s="615"/>
      <c r="AO301" s="615"/>
      <c r="AP301" s="615"/>
      <c r="AQ301" s="615"/>
      <c r="AR301" s="615"/>
      <c r="AS301" s="615"/>
    </row>
    <row r="302" spans="12:45">
      <c r="L302" s="615"/>
      <c r="M302" s="615"/>
      <c r="AB302" s="615"/>
      <c r="AC302" s="615"/>
      <c r="AD302" s="615"/>
      <c r="AE302" s="615"/>
      <c r="AF302" s="615"/>
      <c r="AG302" s="615"/>
      <c r="AH302" s="615"/>
      <c r="AI302" s="615"/>
      <c r="AJ302" s="615"/>
      <c r="AK302" s="615"/>
      <c r="AL302" s="615"/>
      <c r="AM302" s="615"/>
      <c r="AN302" s="615"/>
      <c r="AO302" s="615"/>
      <c r="AP302" s="615"/>
      <c r="AQ302" s="615"/>
      <c r="AR302" s="615"/>
      <c r="AS302" s="615"/>
    </row>
    <row r="303" spans="12:45">
      <c r="L303" s="615"/>
      <c r="M303" s="615"/>
      <c r="AB303" s="615"/>
      <c r="AC303" s="615"/>
      <c r="AD303" s="615"/>
      <c r="AE303" s="615"/>
      <c r="AF303" s="615"/>
      <c r="AG303" s="615"/>
      <c r="AH303" s="615"/>
      <c r="AI303" s="615"/>
      <c r="AJ303" s="615"/>
      <c r="AK303" s="615"/>
      <c r="AL303" s="615"/>
      <c r="AM303" s="615"/>
      <c r="AN303" s="615"/>
      <c r="AO303" s="615"/>
      <c r="AP303" s="615"/>
      <c r="AQ303" s="615"/>
      <c r="AR303" s="615"/>
      <c r="AS303" s="615"/>
    </row>
    <row r="304" spans="12:45">
      <c r="L304" s="615"/>
      <c r="M304" s="615"/>
      <c r="AB304" s="615"/>
      <c r="AC304" s="615"/>
      <c r="AD304" s="615"/>
      <c r="AE304" s="615"/>
      <c r="AF304" s="615"/>
      <c r="AG304" s="615"/>
      <c r="AH304" s="615"/>
      <c r="AI304" s="615"/>
      <c r="AJ304" s="615"/>
      <c r="AK304" s="615"/>
      <c r="AL304" s="615"/>
      <c r="AM304" s="615"/>
      <c r="AN304" s="615"/>
      <c r="AO304" s="615"/>
      <c r="AP304" s="615"/>
      <c r="AQ304" s="615"/>
      <c r="AR304" s="615"/>
      <c r="AS304" s="615"/>
    </row>
    <row r="305" spans="12:45">
      <c r="L305" s="615"/>
      <c r="M305" s="615"/>
      <c r="AB305" s="615"/>
      <c r="AC305" s="615"/>
      <c r="AD305" s="615"/>
      <c r="AE305" s="615"/>
      <c r="AF305" s="615"/>
      <c r="AG305" s="615"/>
      <c r="AH305" s="615"/>
      <c r="AI305" s="615"/>
      <c r="AJ305" s="615"/>
      <c r="AK305" s="615"/>
      <c r="AL305" s="615"/>
      <c r="AM305" s="615"/>
      <c r="AN305" s="615"/>
      <c r="AO305" s="615"/>
      <c r="AP305" s="615"/>
      <c r="AQ305" s="615"/>
      <c r="AR305" s="615"/>
      <c r="AS305" s="615"/>
    </row>
    <row r="306" spans="12:45">
      <c r="L306" s="615"/>
      <c r="M306" s="615"/>
      <c r="AB306" s="615"/>
      <c r="AC306" s="615"/>
      <c r="AD306" s="615"/>
      <c r="AE306" s="615"/>
      <c r="AF306" s="615"/>
      <c r="AG306" s="615"/>
      <c r="AH306" s="615"/>
      <c r="AI306" s="615"/>
      <c r="AJ306" s="615"/>
      <c r="AK306" s="615"/>
      <c r="AL306" s="615"/>
      <c r="AM306" s="615"/>
      <c r="AN306" s="615"/>
      <c r="AO306" s="615"/>
      <c r="AP306" s="615"/>
      <c r="AQ306" s="615"/>
      <c r="AR306" s="615"/>
      <c r="AS306" s="615"/>
    </row>
    <row r="307" spans="12:45">
      <c r="L307" s="615"/>
      <c r="M307" s="615"/>
      <c r="AB307" s="615"/>
      <c r="AC307" s="615"/>
      <c r="AD307" s="615"/>
      <c r="AE307" s="615"/>
      <c r="AF307" s="615"/>
      <c r="AG307" s="615"/>
      <c r="AH307" s="615"/>
      <c r="AI307" s="615"/>
      <c r="AJ307" s="615"/>
      <c r="AK307" s="615"/>
      <c r="AL307" s="615"/>
      <c r="AM307" s="615"/>
      <c r="AN307" s="615"/>
      <c r="AO307" s="615"/>
      <c r="AP307" s="615"/>
      <c r="AQ307" s="615"/>
      <c r="AR307" s="615"/>
      <c r="AS307" s="615"/>
    </row>
    <row r="308" spans="12:45">
      <c r="L308" s="615"/>
      <c r="M308" s="615"/>
      <c r="AB308" s="615"/>
      <c r="AC308" s="615"/>
      <c r="AD308" s="615"/>
      <c r="AE308" s="615"/>
      <c r="AF308" s="615"/>
      <c r="AG308" s="615"/>
      <c r="AH308" s="615"/>
      <c r="AI308" s="615"/>
      <c r="AJ308" s="615"/>
      <c r="AK308" s="615"/>
      <c r="AL308" s="615"/>
      <c r="AM308" s="615"/>
      <c r="AN308" s="615"/>
      <c r="AO308" s="615"/>
      <c r="AP308" s="615"/>
      <c r="AQ308" s="615"/>
      <c r="AR308" s="615"/>
      <c r="AS308" s="615"/>
    </row>
    <row r="309" spans="12:45">
      <c r="L309" s="615"/>
      <c r="M309" s="615"/>
      <c r="AB309" s="615"/>
      <c r="AC309" s="615"/>
      <c r="AD309" s="615"/>
      <c r="AE309" s="615"/>
      <c r="AF309" s="615"/>
      <c r="AG309" s="615"/>
      <c r="AH309" s="615"/>
      <c r="AI309" s="615"/>
      <c r="AJ309" s="615"/>
      <c r="AK309" s="615"/>
      <c r="AL309" s="615"/>
      <c r="AM309" s="615"/>
      <c r="AN309" s="615"/>
      <c r="AO309" s="615"/>
      <c r="AP309" s="615"/>
      <c r="AQ309" s="615"/>
      <c r="AR309" s="615"/>
      <c r="AS309" s="615"/>
    </row>
    <row r="310" spans="12:45">
      <c r="L310" s="615"/>
      <c r="M310" s="615"/>
      <c r="AB310" s="615"/>
      <c r="AC310" s="615"/>
      <c r="AD310" s="615"/>
      <c r="AE310" s="615"/>
      <c r="AF310" s="615"/>
      <c r="AG310" s="615"/>
      <c r="AH310" s="615"/>
      <c r="AI310" s="615"/>
      <c r="AJ310" s="615"/>
      <c r="AK310" s="615"/>
      <c r="AL310" s="615"/>
      <c r="AM310" s="615"/>
      <c r="AN310" s="615"/>
      <c r="AO310" s="615"/>
      <c r="AP310" s="615"/>
      <c r="AQ310" s="615"/>
      <c r="AR310" s="615"/>
      <c r="AS310" s="615"/>
    </row>
    <row r="311" spans="12:45">
      <c r="L311" s="615"/>
      <c r="M311" s="615"/>
      <c r="AB311" s="615"/>
      <c r="AC311" s="615"/>
      <c r="AD311" s="615"/>
      <c r="AE311" s="615"/>
      <c r="AF311" s="615"/>
      <c r="AG311" s="615"/>
      <c r="AH311" s="615"/>
      <c r="AI311" s="615"/>
      <c r="AJ311" s="615"/>
      <c r="AK311" s="615"/>
      <c r="AL311" s="615"/>
      <c r="AM311" s="615"/>
      <c r="AN311" s="615"/>
      <c r="AO311" s="615"/>
      <c r="AP311" s="615"/>
      <c r="AQ311" s="615"/>
      <c r="AR311" s="615"/>
      <c r="AS311" s="615"/>
    </row>
    <row r="312" spans="12:45">
      <c r="L312" s="615"/>
      <c r="M312" s="615"/>
      <c r="AB312" s="615"/>
      <c r="AC312" s="615"/>
      <c r="AD312" s="615"/>
      <c r="AE312" s="615"/>
      <c r="AF312" s="615"/>
      <c r="AG312" s="615"/>
      <c r="AH312" s="615"/>
      <c r="AI312" s="615"/>
      <c r="AJ312" s="615"/>
      <c r="AK312" s="615"/>
      <c r="AL312" s="615"/>
      <c r="AM312" s="615"/>
      <c r="AN312" s="615"/>
      <c r="AO312" s="615"/>
      <c r="AP312" s="615"/>
      <c r="AQ312" s="615"/>
      <c r="AR312" s="615"/>
      <c r="AS312" s="615"/>
    </row>
    <row r="313" spans="12:45">
      <c r="L313" s="615"/>
      <c r="M313" s="615"/>
      <c r="AD313" s="615"/>
      <c r="AE313" s="615"/>
      <c r="AF313" s="615"/>
      <c r="AG313" s="615"/>
      <c r="AH313" s="615"/>
      <c r="AI313" s="615"/>
      <c r="AJ313" s="615"/>
      <c r="AK313" s="615"/>
      <c r="AL313" s="615"/>
      <c r="AM313" s="615"/>
      <c r="AN313" s="615"/>
      <c r="AO313" s="615"/>
      <c r="AP313" s="615"/>
      <c r="AQ313" s="615"/>
      <c r="AR313" s="615"/>
      <c r="AS313" s="615"/>
    </row>
    <row r="314" spans="12:45">
      <c r="L314" s="615"/>
      <c r="M314" s="615"/>
      <c r="AD314" s="615"/>
      <c r="AE314" s="615"/>
      <c r="AF314" s="615"/>
      <c r="AG314" s="615"/>
      <c r="AH314" s="615"/>
      <c r="AI314" s="615"/>
      <c r="AJ314" s="615"/>
      <c r="AK314" s="615"/>
      <c r="AL314" s="615"/>
      <c r="AM314" s="615"/>
      <c r="AN314" s="615"/>
      <c r="AO314" s="615"/>
      <c r="AP314" s="615"/>
      <c r="AQ314" s="615"/>
      <c r="AR314" s="615"/>
      <c r="AS314" s="615"/>
    </row>
  </sheetData>
  <sheetProtection sheet="1" objects="1" scenarios="1"/>
  <mergeCells count="132">
    <mergeCell ref="O34:Q34"/>
    <mergeCell ref="S30:AA31"/>
    <mergeCell ref="A31:C31"/>
    <mergeCell ref="E31:H31"/>
    <mergeCell ref="L31:M31"/>
    <mergeCell ref="O32:Q32"/>
    <mergeCell ref="S32:AA33"/>
    <mergeCell ref="O33:Q33"/>
    <mergeCell ref="A29:M29"/>
    <mergeCell ref="O29:Q29"/>
    <mergeCell ref="A30:C30"/>
    <mergeCell ref="E30:H30"/>
    <mergeCell ref="L30:M30"/>
    <mergeCell ref="O30:Q30"/>
    <mergeCell ref="L22:M23"/>
    <mergeCell ref="O22:Q22"/>
    <mergeCell ref="O23:Q24"/>
    <mergeCell ref="A27:C27"/>
    <mergeCell ref="E27:H27"/>
    <mergeCell ref="L27:M27"/>
    <mergeCell ref="Q27:Q28"/>
    <mergeCell ref="S27:Y28"/>
    <mergeCell ref="A28:C28"/>
    <mergeCell ref="E28:H28"/>
    <mergeCell ref="L28:M28"/>
    <mergeCell ref="S23:AA25"/>
    <mergeCell ref="A24:A25"/>
    <mergeCell ref="B24:M25"/>
    <mergeCell ref="O25:Q25"/>
    <mergeCell ref="O26:Q26"/>
    <mergeCell ref="S26:AA26"/>
    <mergeCell ref="O17:Q17"/>
    <mergeCell ref="S17:AA19"/>
    <mergeCell ref="O18:Q18"/>
    <mergeCell ref="O19:Q19"/>
    <mergeCell ref="A20:A21"/>
    <mergeCell ref="B20:B21"/>
    <mergeCell ref="C20:C21"/>
    <mergeCell ref="J20:J21"/>
    <mergeCell ref="K20:K21"/>
    <mergeCell ref="L20:M21"/>
    <mergeCell ref="O20:Q20"/>
    <mergeCell ref="A18:A19"/>
    <mergeCell ref="B18:B19"/>
    <mergeCell ref="C18:C19"/>
    <mergeCell ref="J18:J19"/>
    <mergeCell ref="K18:K19"/>
    <mergeCell ref="L18:M19"/>
    <mergeCell ref="S20:AA22"/>
    <mergeCell ref="O21:Q21"/>
    <mergeCell ref="A22:A23"/>
    <mergeCell ref="B22:B23"/>
    <mergeCell ref="C22:C23"/>
    <mergeCell ref="J22:J23"/>
    <mergeCell ref="K22:K23"/>
    <mergeCell ref="O13:R13"/>
    <mergeCell ref="S13:U13"/>
    <mergeCell ref="W13:AA13"/>
    <mergeCell ref="A14:A15"/>
    <mergeCell ref="B14:B15"/>
    <mergeCell ref="C14:C15"/>
    <mergeCell ref="J14:J15"/>
    <mergeCell ref="K14:K15"/>
    <mergeCell ref="L14:M15"/>
    <mergeCell ref="O15:Q15"/>
    <mergeCell ref="A12:A13"/>
    <mergeCell ref="B12:B13"/>
    <mergeCell ref="C12:C13"/>
    <mergeCell ref="J12:J13"/>
    <mergeCell ref="K12:K13"/>
    <mergeCell ref="L12:M13"/>
    <mergeCell ref="S15:AA16"/>
    <mergeCell ref="A16:A17"/>
    <mergeCell ref="B16:B17"/>
    <mergeCell ref="C16:C17"/>
    <mergeCell ref="J16:J17"/>
    <mergeCell ref="K16:K17"/>
    <mergeCell ref="L16:M17"/>
    <mergeCell ref="O16:Q16"/>
    <mergeCell ref="O10:R10"/>
    <mergeCell ref="S10:U10"/>
    <mergeCell ref="W10:AA10"/>
    <mergeCell ref="O11:R11"/>
    <mergeCell ref="S11:U12"/>
    <mergeCell ref="W11:AA12"/>
    <mergeCell ref="O12:R12"/>
    <mergeCell ref="A10:A11"/>
    <mergeCell ref="B10:B11"/>
    <mergeCell ref="C10:C11"/>
    <mergeCell ref="J10:J11"/>
    <mergeCell ref="K10:K11"/>
    <mergeCell ref="L10:M11"/>
    <mergeCell ref="I8:I9"/>
    <mergeCell ref="J8:M8"/>
    <mergeCell ref="O8:R8"/>
    <mergeCell ref="S8:U8"/>
    <mergeCell ref="W8:AA8"/>
    <mergeCell ref="L9:M9"/>
    <mergeCell ref="O9:R9"/>
    <mergeCell ref="S9:U9"/>
    <mergeCell ref="W9:AA9"/>
    <mergeCell ref="A8:A9"/>
    <mergeCell ref="B8:B9"/>
    <mergeCell ref="C8:C9"/>
    <mergeCell ref="D8:E9"/>
    <mergeCell ref="F8:G9"/>
    <mergeCell ref="H8:H9"/>
    <mergeCell ref="A6:D6"/>
    <mergeCell ref="E6:F6"/>
    <mergeCell ref="G6:H6"/>
    <mergeCell ref="O2:T2"/>
    <mergeCell ref="A4:B4"/>
    <mergeCell ref="C4:E4"/>
    <mergeCell ref="I4:J4"/>
    <mergeCell ref="K4:L4"/>
    <mergeCell ref="B5:D5"/>
    <mergeCell ref="E5:G5"/>
    <mergeCell ref="H5:I5"/>
    <mergeCell ref="J5:L5"/>
    <mergeCell ref="C1:H1"/>
    <mergeCell ref="J1:K1"/>
    <mergeCell ref="L1:M1"/>
    <mergeCell ref="B2:G2"/>
    <mergeCell ref="H2:I2"/>
    <mergeCell ref="J2:M2"/>
    <mergeCell ref="I6:J6"/>
    <mergeCell ref="K6:L6"/>
    <mergeCell ref="A7:C7"/>
    <mergeCell ref="D7:E7"/>
    <mergeCell ref="F7:G7"/>
    <mergeCell ref="H7:J7"/>
    <mergeCell ref="K7:L7"/>
  </mergeCells>
  <dataValidations count="15">
    <dataValidation type="whole" errorStyle="information" allowBlank="1" showInputMessage="1" showErrorMessage="1" error="Enter Number not Range._x000a__x000a_If &gt;50% Rock Considered Bedrock - Zero Treatment Credit" promptTitle="Rock Fragment Percentage" prompt="Enter percentage number not a range._x000a_Reminder:_x000a_0-35% Rock = 100% Credit_x000a_35-50% Rock in Sand = 50% Credit_x000a_50+% Rock = 0% Credit" sqref="C10:C23" xr:uid="{B798F2FB-BFFD-4941-8E7A-514AF20DE66A}">
      <formula1>0</formula1>
      <formula2>50</formula2>
    </dataValidation>
    <dataValidation allowBlank="1" showInputMessage="1" showErrorMessage="1" prompt="Location of observation" sqref="H7:J7" xr:uid="{A1C10BCA-D2CD-473A-96BB-8FF4965763BC}"/>
    <dataValidation allowBlank="1" showInputMessage="1" showErrorMessage="1" prompt="Observation #" sqref="D7:E7" xr:uid="{CE691F29-ECE8-4785-9A8B-EDEDF3A1705E}"/>
    <dataValidation allowBlank="1" showInputMessage="1" showErrorMessage="1" prompt="From Prelim Page" sqref="B2:G2 J2:M2 H5:I5" xr:uid="{7E0E8E2E-D82D-4D6E-918A-18DD7B116FC1}"/>
    <dataValidation type="list" allowBlank="1" showInputMessage="1" showErrorMessage="1" sqref="M4" xr:uid="{146AC29D-DC73-42BF-8EF7-825106A72394}">
      <formula1>YN</formula1>
    </dataValidation>
    <dataValidation type="list" allowBlank="1" sqref="D10:D23" xr:uid="{5A18A809-E468-4E16-BD58-D9997704BAA4}">
      <formula1>Hue</formula1>
    </dataValidation>
    <dataValidation type="list" allowBlank="1" sqref="G10:G23 E10:E23" xr:uid="{26C8B0E2-942E-4383-A5A1-976951C8DC5C}">
      <formula1>ValueChroma</formula1>
    </dataValidation>
    <dataValidation type="list" allowBlank="1" sqref="J22 J18 J10 J12 J14 J16 J20" xr:uid="{8E6FEC84-4205-4750-9E91-8015F5F66188}">
      <formula1>StructureShape</formula1>
    </dataValidation>
    <dataValidation type="list" allowBlank="1" sqref="K22 K18 K10 K12 K14 K16 K20" xr:uid="{87803D09-A099-4AA2-945D-374084604117}">
      <formula1>StructureGrade</formula1>
    </dataValidation>
    <dataValidation type="list" allowBlank="1" sqref="L22 L20 L12 L14 L16 L18 L10:M11" xr:uid="{816A3869-C455-4388-A261-835F75A2E44E}">
      <formula1>StructureConsistence</formula1>
    </dataValidation>
    <dataValidation type="list" allowBlank="1" showInputMessage="1" prompt="Choose from the list or add your own description with texture" sqref="B22 B18 B10 B12 B14 B16 B20" xr:uid="{CCCC0CB0-5655-44A5-A187-AB2CA35EF848}">
      <formula1>SoilTexture7080</formula1>
    </dataValidation>
    <dataValidation type="list" allowBlank="1" sqref="I4" xr:uid="{0C7146EA-8C1A-4208-9DEE-749C6B793580}">
      <formula1>SlopeShape</formula1>
    </dataValidation>
    <dataValidation type="decimal" errorStyle="information" showDropDown="1" showInputMessage="1" showErrorMessage="1" errorTitle="Slope" error="Check slope value" prompt="Land Slope" sqref="G4" xr:uid="{70E14029-9317-4993-BFD0-CC41A9A3EF36}">
      <formula1>0</formula1>
      <formula2>25</formula2>
    </dataValidation>
    <dataValidation errorStyle="information" allowBlank="1" showInputMessage="1" showErrorMessage="1" error="Check type before proceeding" prompt="Depth of standing water if encountered" sqref="M7" xr:uid="{132855DD-8501-443D-AF99-04CF28DE8F1A}"/>
    <dataValidation type="list" allowBlank="1" showInputMessage="1" prompt="If Mottle Color is entered, Redox Kind(s) needs to be completed." sqref="F10:F23" xr:uid="{44ED9E5C-AA36-46F0-8B26-811514021080}">
      <formula1>Hue</formula1>
    </dataValidation>
  </dataValidations>
  <printOptions horizontalCentered="1" verticalCentered="1"/>
  <pageMargins left="0.25" right="0.25" top="0.25" bottom="0.25" header="0" footer="0"/>
  <pageSetup fitToHeight="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554177" r:id="rId4" name="Check Box 1">
              <controlPr defaultSize="0" autoFill="0" autoLine="0" autoPict="0">
                <anchor moveWithCells="1" sizeWithCells="1">
                  <from>
                    <xdr:col>4</xdr:col>
                    <xdr:colOff>123825</xdr:colOff>
                    <xdr:row>2</xdr:row>
                    <xdr:rowOff>28575</xdr:rowOff>
                  </from>
                  <to>
                    <xdr:col>6</xdr:col>
                    <xdr:colOff>114300</xdr:colOff>
                    <xdr:row>2</xdr:row>
                    <xdr:rowOff>238125</xdr:rowOff>
                  </to>
                </anchor>
              </controlPr>
            </control>
          </mc:Choice>
        </mc:AlternateContent>
        <mc:AlternateContent xmlns:mc="http://schemas.openxmlformats.org/markup-compatibility/2006">
          <mc:Choice Requires="x14">
            <control shapeId="5554178" r:id="rId5" name="Check Box 2">
              <controlPr defaultSize="0" autoFill="0" autoLine="0" autoPict="0">
                <anchor moveWithCells="1" sizeWithCells="1">
                  <from>
                    <xdr:col>5</xdr:col>
                    <xdr:colOff>266700</xdr:colOff>
                    <xdr:row>2</xdr:row>
                    <xdr:rowOff>28575</xdr:rowOff>
                  </from>
                  <to>
                    <xdr:col>7</xdr:col>
                    <xdr:colOff>257175</xdr:colOff>
                    <xdr:row>2</xdr:row>
                    <xdr:rowOff>238125</xdr:rowOff>
                  </to>
                </anchor>
              </controlPr>
            </control>
          </mc:Choice>
        </mc:AlternateContent>
        <mc:AlternateContent xmlns:mc="http://schemas.openxmlformats.org/markup-compatibility/2006">
          <mc:Choice Requires="x14">
            <control shapeId="5554179" r:id="rId6" name="Check Box 3">
              <controlPr defaultSize="0" autoFill="0" autoLine="0" autoPict="0">
                <anchor moveWithCells="1" sizeWithCells="1">
                  <from>
                    <xdr:col>6</xdr:col>
                    <xdr:colOff>447675</xdr:colOff>
                    <xdr:row>2</xdr:row>
                    <xdr:rowOff>28575</xdr:rowOff>
                  </from>
                  <to>
                    <xdr:col>7</xdr:col>
                    <xdr:colOff>952500</xdr:colOff>
                    <xdr:row>2</xdr:row>
                    <xdr:rowOff>238125</xdr:rowOff>
                  </to>
                </anchor>
              </controlPr>
            </control>
          </mc:Choice>
        </mc:AlternateContent>
        <mc:AlternateContent xmlns:mc="http://schemas.openxmlformats.org/markup-compatibility/2006">
          <mc:Choice Requires="x14">
            <control shapeId="5554180" r:id="rId7" name="Check Box 4">
              <controlPr defaultSize="0" autoFill="0" autoLine="0" autoPict="0">
                <anchor moveWithCells="1" sizeWithCells="1">
                  <from>
                    <xdr:col>7</xdr:col>
                    <xdr:colOff>428625</xdr:colOff>
                    <xdr:row>2</xdr:row>
                    <xdr:rowOff>28575</xdr:rowOff>
                  </from>
                  <to>
                    <xdr:col>8</xdr:col>
                    <xdr:colOff>485775</xdr:colOff>
                    <xdr:row>2</xdr:row>
                    <xdr:rowOff>238125</xdr:rowOff>
                  </to>
                </anchor>
              </controlPr>
            </control>
          </mc:Choice>
        </mc:AlternateContent>
        <mc:AlternateContent xmlns:mc="http://schemas.openxmlformats.org/markup-compatibility/2006">
          <mc:Choice Requires="x14">
            <control shapeId="5554181" r:id="rId8" name="Check Box 5">
              <controlPr defaultSize="0" autoFill="0" autoLine="0" autoPict="0">
                <anchor moveWithCells="1" sizeWithCells="1">
                  <from>
                    <xdr:col>7</xdr:col>
                    <xdr:colOff>819150</xdr:colOff>
                    <xdr:row>2</xdr:row>
                    <xdr:rowOff>28575</xdr:rowOff>
                  </from>
                  <to>
                    <xdr:col>9</xdr:col>
                    <xdr:colOff>114300</xdr:colOff>
                    <xdr:row>2</xdr:row>
                    <xdr:rowOff>238125</xdr:rowOff>
                  </to>
                </anchor>
              </controlPr>
            </control>
          </mc:Choice>
        </mc:AlternateContent>
        <mc:AlternateContent xmlns:mc="http://schemas.openxmlformats.org/markup-compatibility/2006">
          <mc:Choice Requires="x14">
            <control shapeId="5554182" r:id="rId9" name="Check Box 6">
              <controlPr defaultSize="0" autoFill="0" autoLine="0" autoPict="0">
                <anchor moveWithCells="1" sizeWithCells="1">
                  <from>
                    <xdr:col>8</xdr:col>
                    <xdr:colOff>485775</xdr:colOff>
                    <xdr:row>2</xdr:row>
                    <xdr:rowOff>28575</xdr:rowOff>
                  </from>
                  <to>
                    <xdr:col>9</xdr:col>
                    <xdr:colOff>733425</xdr:colOff>
                    <xdr:row>2</xdr:row>
                    <xdr:rowOff>238125</xdr:rowOff>
                  </to>
                </anchor>
              </controlPr>
            </control>
          </mc:Choice>
        </mc:AlternateContent>
        <mc:AlternateContent xmlns:mc="http://schemas.openxmlformats.org/markup-compatibility/2006">
          <mc:Choice Requires="x14">
            <control shapeId="5554183" r:id="rId10" name="Check Box 7">
              <controlPr defaultSize="0" autoFill="0" autoLine="0" autoPict="0">
                <anchor moveWithCells="1" sizeWithCells="1">
                  <from>
                    <xdr:col>9</xdr:col>
                    <xdr:colOff>352425</xdr:colOff>
                    <xdr:row>2</xdr:row>
                    <xdr:rowOff>28575</xdr:rowOff>
                  </from>
                  <to>
                    <xdr:col>10</xdr:col>
                    <xdr:colOff>600075</xdr:colOff>
                    <xdr:row>2</xdr:row>
                    <xdr:rowOff>238125</xdr:rowOff>
                  </to>
                </anchor>
              </controlPr>
            </control>
          </mc:Choice>
        </mc:AlternateContent>
        <mc:AlternateContent xmlns:mc="http://schemas.openxmlformats.org/markup-compatibility/2006">
          <mc:Choice Requires="x14">
            <control shapeId="5554184" r:id="rId11" name="Check Box 8">
              <controlPr defaultSize="0" autoFill="0" autoLine="0" autoPict="0">
                <anchor moveWithCells="1">
                  <from>
                    <xdr:col>10</xdr:col>
                    <xdr:colOff>523875</xdr:colOff>
                    <xdr:row>2</xdr:row>
                    <xdr:rowOff>28575</xdr:rowOff>
                  </from>
                  <to>
                    <xdr:col>11</xdr:col>
                    <xdr:colOff>400050</xdr:colOff>
                    <xdr:row>2</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prompt="Observation Type" xr:uid="{5A4FF3EA-118A-410D-84D6-91B312D302C6}">
          <x14:formula1>
            <xm:f>'Drop-Down Lists'!$V$2:$V$5</xm:f>
          </x14:formula1>
          <xm:sqref>F7:G7</xm:sqref>
        </x14:dataValidation>
        <x14:dataValidation type="list" allowBlank="1" showInputMessage="1" prompt="Choose from the list or add your own description" xr:uid="{4B0A2E73-DFDD-4550-9764-E0E04C265AD9}">
          <x14:formula1>
            <xm:f>'Drop-Down Lists'!$T$2:$T$10</xm:f>
          </x14:formula1>
          <xm:sqref>C4:E4</xm:sqref>
        </x14:dataValidation>
        <x14:dataValidation type="list" allowBlank="1" showInputMessage="1" prompt="Choose from the list or add your own description" xr:uid="{438FC753-ECA6-4B45-AC0D-63F774B6DF96}">
          <x14:formula1>
            <xm:f>'Drop-Down Lists'!$U$2:$U$9</xm:f>
          </x14:formula1>
          <xm:sqref>B5:D5</xm:sqref>
        </x14:dataValidation>
        <x14:dataValidation type="list" allowBlank="1" showInputMessage="1" prompt="Indicator definitions are found on soil chart." xr:uid="{A385ADAC-36DA-47EE-A3BD-0E4AAFD9496A}">
          <x14:formula1>
            <xm:f>'Drop-Down Lists'!$M$2:$M$34</xm:f>
          </x14:formula1>
          <xm:sqref>I10:I23</xm:sqref>
        </x14:dataValidation>
        <x14:dataValidation type="list" allowBlank="1" showInputMessage="1" prompt="If Redox Kind(s) are entered, Type of Indicator needs to be completed" xr:uid="{382A56C9-EA17-4DB3-9FF8-20BCCC37E7B8}">
          <x14:formula1>
            <xm:f>'Drop-Down Lists'!$L$2:$L$5</xm:f>
          </x14:formula1>
          <xm:sqref>H10:H23</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9066-99CF-46D0-8B2E-9AE928B7DD4B}">
  <sheetPr>
    <tabColor rgb="FFFF6600"/>
    <pageSetUpPr fitToPage="1"/>
  </sheetPr>
  <dimension ref="A1:AS314"/>
  <sheetViews>
    <sheetView view="pageBreakPreview" zoomScaleNormal="100" zoomScaleSheetLayoutView="100" workbookViewId="0">
      <selection activeCell="C4" sqref="C4:E4"/>
    </sheetView>
  </sheetViews>
  <sheetFormatPr defaultColWidth="9.140625" defaultRowHeight="15"/>
  <cols>
    <col min="1" max="1" width="10.42578125" style="613" customWidth="1"/>
    <col min="2" max="2" width="11.42578125" style="613" customWidth="1"/>
    <col min="3" max="3" width="7.85546875" style="613" customWidth="1"/>
    <col min="4" max="7" width="7.42578125" style="613" customWidth="1"/>
    <col min="8" max="8" width="14" style="613" customWidth="1"/>
    <col min="9" max="9" width="11.140625" style="613" customWidth="1"/>
    <col min="10" max="10" width="11.42578125" style="613" customWidth="1"/>
    <col min="11" max="11" width="14.7109375" style="613" customWidth="1"/>
    <col min="12" max="12" width="12.7109375" style="613" customWidth="1"/>
    <col min="13" max="13" width="9.140625" style="613"/>
    <col min="14" max="14" width="13.140625" style="614" customWidth="1"/>
    <col min="15" max="15" width="7.85546875" style="614" customWidth="1"/>
    <col min="16" max="27" width="9.140625" style="614"/>
    <col min="28" max="16384" width="9.140625" style="613"/>
  </cols>
  <sheetData>
    <row r="1" spans="1:45" ht="45.75" customHeight="1" thickBot="1">
      <c r="B1" s="1623"/>
      <c r="C1" s="2503" t="s">
        <v>682</v>
      </c>
      <c r="D1" s="2503"/>
      <c r="E1" s="2503"/>
      <c r="F1" s="2503"/>
      <c r="G1" s="2503"/>
      <c r="H1" s="2503"/>
      <c r="I1" s="1139" t="s">
        <v>551</v>
      </c>
      <c r="J1" s="2504" t="str">
        <f>IF(ISBLANK(Prelim!S5)," ",Prelim!S5)</f>
        <v xml:space="preserve"> </v>
      </c>
      <c r="K1" s="2504"/>
      <c r="L1" s="2504" t="str">
        <f>'Drop-Down Lists'!A2</f>
        <v>v 05.01.2026</v>
      </c>
      <c r="M1" s="2504"/>
      <c r="AB1" s="615"/>
      <c r="AC1" s="615"/>
      <c r="AD1" s="615"/>
      <c r="AE1" s="615"/>
      <c r="AF1" s="615"/>
      <c r="AG1" s="615"/>
      <c r="AH1" s="615"/>
      <c r="AI1" s="615"/>
      <c r="AJ1" s="615"/>
      <c r="AK1" s="615"/>
      <c r="AL1" s="615"/>
      <c r="AM1" s="615"/>
      <c r="AN1" s="615"/>
      <c r="AO1" s="615"/>
      <c r="AP1" s="615"/>
      <c r="AQ1" s="615"/>
      <c r="AR1" s="615"/>
      <c r="AS1" s="615"/>
    </row>
    <row r="2" spans="1:45" ht="18" customHeight="1">
      <c r="A2" s="1188" t="s">
        <v>683</v>
      </c>
      <c r="B2" s="2617" t="str">
        <f>IF(ISBLANK(Prelim!G3),"  ", Prelim!G3)</f>
        <v xml:space="preserve">  </v>
      </c>
      <c r="C2" s="2617"/>
      <c r="D2" s="2617"/>
      <c r="E2" s="2617"/>
      <c r="F2" s="2617"/>
      <c r="G2" s="2617"/>
      <c r="H2" s="2506" t="s">
        <v>684</v>
      </c>
      <c r="I2" s="2507"/>
      <c r="J2" s="2618" t="str">
        <f>IF(ISBLANK(Prelim!G5), " ", Prelim!G5)</f>
        <v xml:space="preserve"> </v>
      </c>
      <c r="K2" s="2618"/>
      <c r="L2" s="2618"/>
      <c r="M2" s="2619"/>
      <c r="O2" s="2556" t="s">
        <v>707</v>
      </c>
      <c r="P2" s="2557"/>
      <c r="Q2" s="2557"/>
      <c r="R2" s="2557"/>
      <c r="S2" s="2557"/>
      <c r="T2" s="2557"/>
      <c r="U2" s="1471"/>
      <c r="V2" s="1471"/>
      <c r="W2" s="1472"/>
      <c r="AB2" s="615"/>
      <c r="AC2" s="615"/>
      <c r="AD2" s="615"/>
      <c r="AE2" s="615"/>
      <c r="AF2" s="615"/>
      <c r="AG2" s="615"/>
      <c r="AH2" s="615"/>
      <c r="AI2" s="615"/>
      <c r="AJ2" s="615"/>
      <c r="AK2" s="615"/>
      <c r="AL2" s="615"/>
      <c r="AM2" s="615"/>
      <c r="AN2" s="615"/>
      <c r="AO2" s="615"/>
      <c r="AP2" s="615"/>
      <c r="AQ2" s="615"/>
      <c r="AR2" s="615"/>
      <c r="AS2" s="615"/>
    </row>
    <row r="3" spans="1:45" ht="20.100000000000001" customHeight="1">
      <c r="A3" s="1140" t="s">
        <v>685</v>
      </c>
      <c r="M3" s="1141"/>
      <c r="O3" s="627" t="s">
        <v>708</v>
      </c>
      <c r="P3" s="1226"/>
      <c r="Q3" s="1226"/>
      <c r="R3" s="1238"/>
      <c r="S3" s="1238"/>
      <c r="T3" s="1238"/>
      <c r="W3" s="1473"/>
      <c r="AB3" s="615"/>
      <c r="AC3" s="615"/>
      <c r="AD3" s="615"/>
      <c r="AE3" s="615"/>
      <c r="AF3" s="615"/>
      <c r="AG3" s="615"/>
      <c r="AH3" s="615"/>
      <c r="AI3" s="615"/>
      <c r="AJ3" s="615"/>
      <c r="AK3" s="615"/>
      <c r="AL3" s="615"/>
      <c r="AM3" s="615"/>
      <c r="AN3" s="615"/>
      <c r="AO3" s="615"/>
      <c r="AP3" s="615"/>
      <c r="AQ3" s="615"/>
      <c r="AR3" s="615"/>
      <c r="AS3" s="615"/>
    </row>
    <row r="4" spans="1:45" ht="19.5" customHeight="1">
      <c r="A4" s="2517" t="s">
        <v>686</v>
      </c>
      <c r="B4" s="2518"/>
      <c r="C4" s="2519"/>
      <c r="D4" s="2519"/>
      <c r="E4" s="2520"/>
      <c r="F4" s="1142" t="s">
        <v>687</v>
      </c>
      <c r="G4" s="1143"/>
      <c r="H4" s="1624" t="s">
        <v>650</v>
      </c>
      <c r="I4" s="2510"/>
      <c r="J4" s="2511"/>
      <c r="K4" s="2612" t="s">
        <v>688</v>
      </c>
      <c r="L4" s="2612"/>
      <c r="M4" s="1219"/>
      <c r="O4" s="627" t="s">
        <v>709</v>
      </c>
      <c r="P4" s="1226"/>
      <c r="Q4" s="1226"/>
      <c r="R4" s="1238"/>
      <c r="S4" s="1238"/>
      <c r="T4" s="1238"/>
      <c r="W4" s="1473"/>
      <c r="AB4" s="615"/>
      <c r="AC4" s="615"/>
      <c r="AD4" s="615"/>
      <c r="AE4" s="615"/>
      <c r="AF4" s="615"/>
      <c r="AG4" s="615"/>
      <c r="AH4" s="615"/>
      <c r="AI4" s="615"/>
      <c r="AJ4" s="615"/>
      <c r="AK4" s="615"/>
      <c r="AL4" s="615"/>
      <c r="AM4" s="615"/>
      <c r="AN4" s="615"/>
      <c r="AO4" s="615"/>
      <c r="AP4" s="615"/>
      <c r="AQ4" s="615"/>
      <c r="AR4" s="615"/>
      <c r="AS4" s="615"/>
    </row>
    <row r="5" spans="1:45" ht="19.5" customHeight="1">
      <c r="A5" s="1218" t="s">
        <v>689</v>
      </c>
      <c r="B5" s="2510"/>
      <c r="C5" s="2510"/>
      <c r="D5" s="2511"/>
      <c r="E5" s="2512" t="s">
        <v>690</v>
      </c>
      <c r="F5" s="2513"/>
      <c r="G5" s="2513"/>
      <c r="H5" s="2615" t="str">
        <f>IF(ISBLANK(Prelim!G84)," ",Prelim!G84)</f>
        <v xml:space="preserve"> </v>
      </c>
      <c r="I5" s="2616"/>
      <c r="J5" s="2613" t="s">
        <v>691</v>
      </c>
      <c r="K5" s="2614"/>
      <c r="L5" s="2614"/>
      <c r="M5" s="2210"/>
      <c r="O5" s="627" t="s">
        <v>710</v>
      </c>
      <c r="P5" s="1226"/>
      <c r="Q5" s="1226"/>
      <c r="R5" s="1238"/>
      <c r="S5" s="1238"/>
      <c r="T5" s="1238"/>
      <c r="W5" s="1473"/>
      <c r="Y5" s="615"/>
      <c r="Z5" s="615"/>
      <c r="AA5" s="615"/>
      <c r="AB5" s="615"/>
      <c r="AC5" s="615"/>
      <c r="AD5" s="615"/>
      <c r="AE5" s="615"/>
      <c r="AF5" s="615"/>
      <c r="AG5" s="615"/>
      <c r="AH5" s="615"/>
      <c r="AI5" s="615"/>
      <c r="AJ5" s="615"/>
      <c r="AK5" s="615"/>
      <c r="AL5" s="615"/>
      <c r="AM5" s="615"/>
      <c r="AN5" s="615"/>
      <c r="AO5" s="615"/>
      <c r="AP5" s="615"/>
      <c r="AQ5" s="615"/>
      <c r="AR5" s="615"/>
      <c r="AS5" s="615"/>
    </row>
    <row r="6" spans="1:45" ht="19.5" customHeight="1">
      <c r="A6" s="2517" t="s">
        <v>692</v>
      </c>
      <c r="B6" s="2518"/>
      <c r="C6" s="2518"/>
      <c r="D6" s="2529"/>
      <c r="E6" s="2621"/>
      <c r="F6" s="2511"/>
      <c r="G6" s="2622"/>
      <c r="H6" s="2511"/>
      <c r="I6" s="2530"/>
      <c r="J6" s="2511"/>
      <c r="K6" s="2620" t="s">
        <v>693</v>
      </c>
      <c r="L6" s="2612"/>
      <c r="M6" s="2211"/>
      <c r="O6" s="1630" t="s">
        <v>711</v>
      </c>
      <c r="P6" s="1226"/>
      <c r="Q6" s="1226"/>
      <c r="R6" s="1238"/>
      <c r="S6" s="629"/>
      <c r="T6" s="629"/>
      <c r="U6" s="1474"/>
      <c r="V6" s="1474"/>
      <c r="W6" s="1475"/>
      <c r="AB6" s="615"/>
      <c r="AC6" s="615"/>
      <c r="AD6" s="615"/>
      <c r="AE6" s="615"/>
      <c r="AF6" s="615"/>
      <c r="AG6" s="615"/>
      <c r="AH6" s="615"/>
      <c r="AI6" s="615"/>
      <c r="AJ6" s="615"/>
      <c r="AK6" s="615"/>
      <c r="AL6" s="615"/>
      <c r="AM6" s="615"/>
      <c r="AN6" s="615"/>
      <c r="AO6" s="615"/>
      <c r="AP6" s="615"/>
      <c r="AQ6" s="615"/>
      <c r="AR6" s="615"/>
      <c r="AS6" s="615"/>
    </row>
    <row r="7" spans="1:45" ht="19.5" customHeight="1" thickBot="1">
      <c r="A7" s="2610" t="s">
        <v>725</v>
      </c>
      <c r="B7" s="2611"/>
      <c r="C7" s="2611"/>
      <c r="D7" s="2623"/>
      <c r="E7" s="2624"/>
      <c r="F7" s="2623"/>
      <c r="G7" s="2624"/>
      <c r="H7" s="2575"/>
      <c r="I7" s="2575"/>
      <c r="J7" s="2575"/>
      <c r="K7" s="2609" t="s">
        <v>726</v>
      </c>
      <c r="L7" s="2609"/>
      <c r="M7" s="2306"/>
      <c r="O7" s="1632" t="s">
        <v>712</v>
      </c>
      <c r="P7" s="1626"/>
      <c r="Q7" s="1626"/>
      <c r="R7" s="1631"/>
      <c r="S7" s="1633" t="s">
        <v>727</v>
      </c>
      <c r="T7" s="1628"/>
      <c r="U7" s="1628"/>
      <c r="V7" s="1232"/>
      <c r="W7" s="1232"/>
      <c r="X7" s="1232"/>
      <c r="Y7" s="624"/>
      <c r="Z7" s="624"/>
      <c r="AA7" s="1231"/>
      <c r="AB7" s="615"/>
      <c r="AC7" s="615"/>
      <c r="AD7" s="615"/>
      <c r="AE7" s="615"/>
      <c r="AF7" s="615"/>
      <c r="AG7" s="615"/>
      <c r="AH7" s="615"/>
      <c r="AI7" s="615"/>
      <c r="AJ7" s="615"/>
      <c r="AK7" s="615"/>
      <c r="AL7" s="615"/>
      <c r="AM7" s="615"/>
      <c r="AN7" s="615"/>
      <c r="AO7" s="615"/>
    </row>
    <row r="8" spans="1:45" ht="14.1" customHeight="1">
      <c r="A8" s="2545" t="s">
        <v>696</v>
      </c>
      <c r="B8" s="2531" t="s">
        <v>697</v>
      </c>
      <c r="C8" s="2547" t="s">
        <v>698</v>
      </c>
      <c r="D8" s="2549" t="s">
        <v>699</v>
      </c>
      <c r="E8" s="2550"/>
      <c r="F8" s="2549" t="s">
        <v>700</v>
      </c>
      <c r="G8" s="2553"/>
      <c r="H8" s="2625" t="s">
        <v>701</v>
      </c>
      <c r="I8" s="2625" t="s">
        <v>702</v>
      </c>
      <c r="J8" s="2626" t="s">
        <v>703</v>
      </c>
      <c r="K8" s="2533"/>
      <c r="L8" s="2533"/>
      <c r="M8" s="2534"/>
      <c r="O8" s="2564" t="s">
        <v>713</v>
      </c>
      <c r="P8" s="2565"/>
      <c r="Q8" s="2565"/>
      <c r="R8" s="2566"/>
      <c r="S8" s="2591" t="s">
        <v>96</v>
      </c>
      <c r="T8" s="2591"/>
      <c r="U8" s="2591"/>
      <c r="V8" s="1230"/>
      <c r="W8" s="2565" t="s">
        <v>728</v>
      </c>
      <c r="X8" s="2565"/>
      <c r="Y8" s="2565"/>
      <c r="Z8" s="2565"/>
      <c r="AA8" s="2566"/>
      <c r="AB8" s="615"/>
      <c r="AC8" s="615"/>
      <c r="AD8" s="615"/>
      <c r="AE8" s="615"/>
      <c r="AF8" s="615"/>
      <c r="AG8" s="615"/>
      <c r="AH8" s="615"/>
      <c r="AI8" s="615"/>
      <c r="AJ8" s="615"/>
      <c r="AK8" s="615"/>
      <c r="AL8" s="615"/>
      <c r="AM8" s="615"/>
      <c r="AN8" s="615"/>
      <c r="AO8" s="615"/>
      <c r="AP8" s="615"/>
      <c r="AQ8" s="615"/>
      <c r="AR8" s="615"/>
    </row>
    <row r="9" spans="1:45" ht="14.1" customHeight="1" thickBot="1">
      <c r="A9" s="2546"/>
      <c r="B9" s="2532"/>
      <c r="C9" s="2548"/>
      <c r="D9" s="2551"/>
      <c r="E9" s="2552"/>
      <c r="F9" s="2554"/>
      <c r="G9" s="2555"/>
      <c r="H9" s="2532"/>
      <c r="I9" s="2532"/>
      <c r="J9" s="1217" t="s">
        <v>704</v>
      </c>
      <c r="K9" s="1217" t="s">
        <v>705</v>
      </c>
      <c r="L9" s="2627" t="s">
        <v>706</v>
      </c>
      <c r="M9" s="2628"/>
      <c r="O9" s="2564" t="s">
        <v>714</v>
      </c>
      <c r="P9" s="2565"/>
      <c r="Q9" s="2565"/>
      <c r="R9" s="2566"/>
      <c r="S9" s="2591" t="s">
        <v>152</v>
      </c>
      <c r="T9" s="2591"/>
      <c r="U9" s="2591"/>
      <c r="V9" s="1230"/>
      <c r="W9" s="2565" t="s">
        <v>729</v>
      </c>
      <c r="X9" s="2565"/>
      <c r="Y9" s="2565"/>
      <c r="Z9" s="2565"/>
      <c r="AA9" s="2566"/>
      <c r="AB9" s="615"/>
      <c r="AC9" s="615"/>
      <c r="AD9" s="615"/>
      <c r="AE9" s="615"/>
      <c r="AF9" s="615"/>
      <c r="AG9" s="615"/>
      <c r="AH9" s="615"/>
      <c r="AI9" s="615"/>
      <c r="AJ9" s="615"/>
      <c r="AK9" s="615"/>
      <c r="AL9" s="615"/>
      <c r="AM9" s="615"/>
      <c r="AN9" s="615"/>
      <c r="AO9" s="615"/>
      <c r="AP9" s="615"/>
      <c r="AQ9" s="615"/>
      <c r="AR9" s="615"/>
    </row>
    <row r="10" spans="1:45" ht="18" customHeight="1" thickTop="1">
      <c r="A10" s="2536"/>
      <c r="B10" s="2538"/>
      <c r="C10" s="2538"/>
      <c r="D10" s="1403"/>
      <c r="E10" s="1404"/>
      <c r="F10" s="1403"/>
      <c r="G10" s="1404"/>
      <c r="H10" s="2267"/>
      <c r="I10" s="1400"/>
      <c r="J10" s="2541"/>
      <c r="K10" s="2541"/>
      <c r="L10" s="2541"/>
      <c r="M10" s="2543"/>
      <c r="N10" s="617"/>
      <c r="O10" s="2564" t="s">
        <v>715</v>
      </c>
      <c r="P10" s="2565"/>
      <c r="Q10" s="2565"/>
      <c r="R10" s="2566"/>
      <c r="S10" s="2591" t="s">
        <v>208</v>
      </c>
      <c r="T10" s="2591"/>
      <c r="U10" s="2591"/>
      <c r="V10" s="1230"/>
      <c r="W10" s="2565" t="s">
        <v>730</v>
      </c>
      <c r="X10" s="2565"/>
      <c r="Y10" s="2565"/>
      <c r="Z10" s="2565"/>
      <c r="AA10" s="2566"/>
      <c r="AB10" s="615"/>
      <c r="AC10" s="615"/>
      <c r="AD10" s="615"/>
      <c r="AE10" s="615"/>
      <c r="AF10" s="615"/>
      <c r="AG10" s="615"/>
      <c r="AH10" s="615"/>
      <c r="AI10" s="615"/>
      <c r="AJ10" s="615"/>
      <c r="AK10" s="615"/>
      <c r="AL10" s="615"/>
      <c r="AM10" s="615"/>
      <c r="AN10" s="615"/>
      <c r="AO10" s="615"/>
      <c r="AP10" s="615"/>
      <c r="AQ10" s="615"/>
      <c r="AR10" s="615"/>
    </row>
    <row r="11" spans="1:45" ht="18" customHeight="1">
      <c r="A11" s="2537"/>
      <c r="B11" s="2539"/>
      <c r="C11" s="2540"/>
      <c r="D11" s="1401"/>
      <c r="E11" s="1402"/>
      <c r="F11" s="1403"/>
      <c r="G11" s="1402"/>
      <c r="H11" s="1400"/>
      <c r="I11" s="1400"/>
      <c r="J11" s="2542"/>
      <c r="K11" s="2542"/>
      <c r="L11" s="2542"/>
      <c r="M11" s="2544"/>
      <c r="N11" s="617"/>
      <c r="O11" s="2564" t="s">
        <v>716</v>
      </c>
      <c r="P11" s="2565"/>
      <c r="Q11" s="2565"/>
      <c r="R11" s="2566"/>
      <c r="S11" s="2629" t="s">
        <v>249</v>
      </c>
      <c r="T11" s="2629"/>
      <c r="U11" s="2629"/>
      <c r="V11" s="1230"/>
      <c r="W11" s="2593" t="s">
        <v>731</v>
      </c>
      <c r="X11" s="2593"/>
      <c r="Y11" s="2593"/>
      <c r="Z11" s="2593"/>
      <c r="AA11" s="2594"/>
      <c r="AB11" s="615"/>
      <c r="AC11" s="615"/>
      <c r="AD11" s="615"/>
      <c r="AE11" s="615"/>
      <c r="AF11" s="615"/>
      <c r="AG11" s="615"/>
      <c r="AH11" s="615"/>
      <c r="AI11" s="615"/>
      <c r="AJ11" s="615"/>
      <c r="AK11" s="615"/>
      <c r="AL11" s="615"/>
      <c r="AM11" s="615"/>
      <c r="AN11" s="615"/>
      <c r="AO11" s="615"/>
      <c r="AP11" s="615"/>
      <c r="AQ11" s="615"/>
      <c r="AR11" s="615"/>
    </row>
    <row r="12" spans="1:45" ht="18" customHeight="1">
      <c r="A12" s="2537"/>
      <c r="B12" s="2539"/>
      <c r="C12" s="2538"/>
      <c r="D12" s="1401"/>
      <c r="E12" s="1402"/>
      <c r="F12" s="1403"/>
      <c r="G12" s="1402"/>
      <c r="H12" s="1400"/>
      <c r="I12" s="1400"/>
      <c r="J12" s="2542"/>
      <c r="K12" s="2542"/>
      <c r="L12" s="2542"/>
      <c r="M12" s="2544"/>
      <c r="N12" s="617"/>
      <c r="O12" s="2564" t="s">
        <v>717</v>
      </c>
      <c r="P12" s="2565"/>
      <c r="Q12" s="2565"/>
      <c r="R12" s="2566"/>
      <c r="S12" s="2629"/>
      <c r="T12" s="2629"/>
      <c r="U12" s="2629"/>
      <c r="V12" s="1230"/>
      <c r="W12" s="2593"/>
      <c r="X12" s="2593"/>
      <c r="Y12" s="2593"/>
      <c r="Z12" s="2593"/>
      <c r="AA12" s="2594"/>
      <c r="AB12" s="615"/>
      <c r="AC12" s="615"/>
      <c r="AD12" s="615"/>
      <c r="AE12" s="615"/>
      <c r="AF12" s="615"/>
      <c r="AG12" s="615"/>
      <c r="AH12" s="615"/>
      <c r="AI12" s="615"/>
      <c r="AJ12" s="615"/>
      <c r="AK12" s="615"/>
      <c r="AL12" s="615"/>
      <c r="AM12" s="615"/>
      <c r="AN12" s="615"/>
      <c r="AO12" s="615"/>
      <c r="AP12" s="615"/>
      <c r="AQ12" s="615"/>
      <c r="AR12" s="615"/>
    </row>
    <row r="13" spans="1:45" ht="18" customHeight="1">
      <c r="A13" s="2537"/>
      <c r="B13" s="2539"/>
      <c r="C13" s="2540"/>
      <c r="D13" s="1401"/>
      <c r="E13" s="1402"/>
      <c r="F13" s="1403"/>
      <c r="G13" s="1402"/>
      <c r="H13" s="1400"/>
      <c r="I13" s="1400"/>
      <c r="J13" s="2542"/>
      <c r="K13" s="2542"/>
      <c r="L13" s="2542"/>
      <c r="M13" s="2544"/>
      <c r="N13" s="617"/>
      <c r="O13" s="2567" t="s">
        <v>718</v>
      </c>
      <c r="P13" s="2568"/>
      <c r="Q13" s="2568"/>
      <c r="R13" s="2569"/>
      <c r="S13" s="2596" t="s">
        <v>277</v>
      </c>
      <c r="T13" s="2596"/>
      <c r="U13" s="2596"/>
      <c r="V13" s="1229"/>
      <c r="W13" s="2597" t="s">
        <v>732</v>
      </c>
      <c r="X13" s="2597"/>
      <c r="Y13" s="2597"/>
      <c r="Z13" s="2597"/>
      <c r="AA13" s="2598"/>
      <c r="AC13" s="615"/>
      <c r="AD13" s="615"/>
      <c r="AE13" s="615"/>
      <c r="AF13" s="615"/>
      <c r="AG13" s="615"/>
      <c r="AH13" s="615"/>
      <c r="AI13" s="615"/>
      <c r="AJ13" s="615"/>
      <c r="AK13" s="615"/>
      <c r="AL13" s="615"/>
      <c r="AM13" s="615"/>
      <c r="AN13" s="615"/>
      <c r="AO13" s="615"/>
      <c r="AP13" s="615"/>
      <c r="AQ13" s="615"/>
      <c r="AR13" s="615"/>
    </row>
    <row r="14" spans="1:45" ht="18" customHeight="1">
      <c r="A14" s="2537"/>
      <c r="B14" s="2539"/>
      <c r="C14" s="2538"/>
      <c r="D14" s="1401"/>
      <c r="E14" s="1402"/>
      <c r="F14" s="1403"/>
      <c r="G14" s="1402"/>
      <c r="H14" s="1400"/>
      <c r="I14" s="1400"/>
      <c r="J14" s="2542"/>
      <c r="K14" s="2542"/>
      <c r="L14" s="2542"/>
      <c r="M14" s="2544"/>
      <c r="N14" s="617"/>
      <c r="O14" s="1627" t="s">
        <v>733</v>
      </c>
      <c r="P14" s="1628"/>
      <c r="Q14" s="1628"/>
      <c r="R14" s="1232"/>
      <c r="S14" s="1241"/>
      <c r="T14" s="1241"/>
      <c r="U14" s="632"/>
      <c r="V14" s="632"/>
      <c r="W14" s="632"/>
      <c r="X14" s="632"/>
      <c r="Y14" s="632"/>
      <c r="Z14" s="632"/>
      <c r="AA14" s="623"/>
      <c r="AD14" s="615"/>
      <c r="AE14" s="615"/>
      <c r="AF14" s="615"/>
      <c r="AG14" s="615"/>
      <c r="AH14" s="615"/>
      <c r="AI14" s="615"/>
      <c r="AJ14" s="615"/>
      <c r="AK14" s="615"/>
      <c r="AL14" s="615"/>
      <c r="AM14" s="615"/>
      <c r="AN14" s="615"/>
      <c r="AO14" s="615"/>
      <c r="AP14" s="615"/>
      <c r="AQ14" s="615"/>
      <c r="AR14" s="615"/>
      <c r="AS14" s="615"/>
    </row>
    <row r="15" spans="1:45" ht="18" customHeight="1">
      <c r="A15" s="2537"/>
      <c r="B15" s="2539"/>
      <c r="C15" s="2540"/>
      <c r="D15" s="1401"/>
      <c r="E15" s="1402"/>
      <c r="F15" s="1403"/>
      <c r="G15" s="1402"/>
      <c r="H15" s="1400"/>
      <c r="I15" s="1400"/>
      <c r="J15" s="2542"/>
      <c r="K15" s="2542"/>
      <c r="L15" s="2542"/>
      <c r="M15" s="2544"/>
      <c r="N15" s="617"/>
      <c r="O15" s="2592" t="s">
        <v>150</v>
      </c>
      <c r="P15" s="2591"/>
      <c r="Q15" s="2591"/>
      <c r="R15" s="1230"/>
      <c r="S15" s="2605" t="s">
        <v>734</v>
      </c>
      <c r="T15" s="2605"/>
      <c r="U15" s="2605"/>
      <c r="V15" s="2605"/>
      <c r="W15" s="2605"/>
      <c r="X15" s="2605"/>
      <c r="Y15" s="2605"/>
      <c r="Z15" s="2605"/>
      <c r="AA15" s="2606"/>
      <c r="AF15" s="615"/>
      <c r="AG15" s="615"/>
      <c r="AH15" s="615"/>
      <c r="AI15" s="615"/>
      <c r="AJ15" s="615"/>
      <c r="AK15" s="615"/>
      <c r="AL15" s="615"/>
      <c r="AM15" s="615"/>
      <c r="AN15" s="615"/>
      <c r="AO15" s="615"/>
      <c r="AP15" s="615"/>
      <c r="AQ15" s="615"/>
      <c r="AR15" s="615"/>
      <c r="AS15" s="615"/>
    </row>
    <row r="16" spans="1:45" ht="18" customHeight="1">
      <c r="A16" s="2537"/>
      <c r="B16" s="2539"/>
      <c r="C16" s="2538"/>
      <c r="D16" s="1401"/>
      <c r="E16" s="1402"/>
      <c r="F16" s="1403"/>
      <c r="G16" s="1402"/>
      <c r="H16" s="1400"/>
      <c r="I16" s="1400"/>
      <c r="J16" s="2542"/>
      <c r="K16" s="2542"/>
      <c r="L16" s="2542"/>
      <c r="M16" s="2544"/>
      <c r="N16" s="617"/>
      <c r="O16" s="2592"/>
      <c r="P16" s="2591"/>
      <c r="Q16" s="2591"/>
      <c r="R16" s="1230"/>
      <c r="S16" s="2605"/>
      <c r="T16" s="2605"/>
      <c r="U16" s="2605"/>
      <c r="V16" s="2605"/>
      <c r="W16" s="2605"/>
      <c r="X16" s="2605"/>
      <c r="Y16" s="2605"/>
      <c r="Z16" s="2605"/>
      <c r="AA16" s="2606"/>
      <c r="AF16" s="615"/>
      <c r="AG16" s="615"/>
      <c r="AH16" s="615"/>
      <c r="AI16" s="615"/>
      <c r="AJ16" s="615"/>
      <c r="AK16" s="615"/>
      <c r="AL16" s="615"/>
      <c r="AM16" s="615"/>
      <c r="AN16" s="615"/>
      <c r="AO16" s="615"/>
      <c r="AP16" s="615"/>
      <c r="AQ16" s="615"/>
      <c r="AR16" s="615"/>
      <c r="AS16" s="615"/>
    </row>
    <row r="17" spans="1:45" ht="18" customHeight="1">
      <c r="A17" s="2537"/>
      <c r="B17" s="2539"/>
      <c r="C17" s="2540"/>
      <c r="D17" s="1401"/>
      <c r="E17" s="1402"/>
      <c r="F17" s="1403"/>
      <c r="G17" s="1402"/>
      <c r="H17" s="1400"/>
      <c r="I17" s="1400"/>
      <c r="J17" s="2542"/>
      <c r="K17" s="2542"/>
      <c r="L17" s="2542"/>
      <c r="M17" s="2544"/>
      <c r="N17" s="617"/>
      <c r="O17" s="2592" t="s">
        <v>206</v>
      </c>
      <c r="P17" s="2591"/>
      <c r="Q17" s="2591"/>
      <c r="R17" s="1230"/>
      <c r="S17" s="2605" t="s">
        <v>735</v>
      </c>
      <c r="T17" s="2605"/>
      <c r="U17" s="2605"/>
      <c r="V17" s="2605"/>
      <c r="W17" s="2605"/>
      <c r="X17" s="2605"/>
      <c r="Y17" s="2605"/>
      <c r="Z17" s="2605"/>
      <c r="AA17" s="2606"/>
      <c r="AF17" s="615"/>
      <c r="AG17" s="615"/>
      <c r="AH17" s="615"/>
      <c r="AI17" s="615"/>
      <c r="AJ17" s="615"/>
      <c r="AK17" s="615"/>
      <c r="AL17" s="615"/>
      <c r="AM17" s="615"/>
      <c r="AN17" s="615"/>
      <c r="AO17" s="615"/>
      <c r="AP17" s="615"/>
      <c r="AQ17" s="615"/>
      <c r="AR17" s="615"/>
      <c r="AS17" s="615"/>
    </row>
    <row r="18" spans="1:45" ht="18" customHeight="1">
      <c r="A18" s="2537"/>
      <c r="B18" s="2539"/>
      <c r="C18" s="2538"/>
      <c r="D18" s="1401"/>
      <c r="E18" s="1402"/>
      <c r="F18" s="1403"/>
      <c r="G18" s="1402"/>
      <c r="H18" s="1400"/>
      <c r="I18" s="1400"/>
      <c r="J18" s="2542"/>
      <c r="K18" s="2542"/>
      <c r="L18" s="2542"/>
      <c r="M18" s="2544"/>
      <c r="N18" s="617"/>
      <c r="O18" s="2592"/>
      <c r="P18" s="2591"/>
      <c r="Q18" s="2591"/>
      <c r="R18" s="1230"/>
      <c r="S18" s="2605"/>
      <c r="T18" s="2605"/>
      <c r="U18" s="2605"/>
      <c r="V18" s="2605"/>
      <c r="W18" s="2605"/>
      <c r="X18" s="2605"/>
      <c r="Y18" s="2605"/>
      <c r="Z18" s="2605"/>
      <c r="AA18" s="2606"/>
      <c r="AF18" s="615"/>
      <c r="AG18" s="615"/>
      <c r="AH18" s="615"/>
      <c r="AI18" s="615"/>
      <c r="AJ18" s="615"/>
      <c r="AK18" s="615"/>
      <c r="AL18" s="615"/>
      <c r="AM18" s="615"/>
      <c r="AN18" s="615"/>
      <c r="AO18" s="615"/>
      <c r="AP18" s="615"/>
      <c r="AQ18" s="615"/>
      <c r="AR18" s="615"/>
      <c r="AS18" s="615"/>
    </row>
    <row r="19" spans="1:45" ht="18" customHeight="1">
      <c r="A19" s="2537"/>
      <c r="B19" s="2539"/>
      <c r="C19" s="2540"/>
      <c r="D19" s="1401"/>
      <c r="E19" s="1402"/>
      <c r="F19" s="1403"/>
      <c r="G19" s="1402"/>
      <c r="H19" s="1400"/>
      <c r="I19" s="1400"/>
      <c r="J19" s="2542"/>
      <c r="K19" s="2542"/>
      <c r="L19" s="2542"/>
      <c r="M19" s="2544"/>
      <c r="N19" s="617"/>
      <c r="O19" s="2592"/>
      <c r="P19" s="2591"/>
      <c r="Q19" s="2591"/>
      <c r="R19" s="1230"/>
      <c r="S19" s="2605"/>
      <c r="T19" s="2605"/>
      <c r="U19" s="2605"/>
      <c r="V19" s="2605"/>
      <c r="W19" s="2605"/>
      <c r="X19" s="2605"/>
      <c r="Y19" s="2605"/>
      <c r="Z19" s="2605"/>
      <c r="AA19" s="2606"/>
      <c r="AF19" s="615"/>
      <c r="AG19" s="615"/>
      <c r="AH19" s="615"/>
      <c r="AI19" s="615"/>
      <c r="AJ19" s="615"/>
      <c r="AK19" s="615"/>
      <c r="AL19" s="615"/>
      <c r="AM19" s="615"/>
      <c r="AN19" s="615"/>
      <c r="AO19" s="615"/>
      <c r="AP19" s="615"/>
      <c r="AQ19" s="615"/>
      <c r="AR19" s="615"/>
      <c r="AS19" s="615"/>
    </row>
    <row r="20" spans="1:45" ht="18" customHeight="1">
      <c r="A20" s="2537"/>
      <c r="B20" s="2539"/>
      <c r="C20" s="2538"/>
      <c r="D20" s="1401"/>
      <c r="E20" s="1402"/>
      <c r="F20" s="1403"/>
      <c r="G20" s="1402"/>
      <c r="H20" s="1400"/>
      <c r="I20" s="1400"/>
      <c r="J20" s="2542"/>
      <c r="K20" s="2542"/>
      <c r="L20" s="2542"/>
      <c r="M20" s="2544"/>
      <c r="N20" s="617"/>
      <c r="O20" s="2592" t="s">
        <v>247</v>
      </c>
      <c r="P20" s="2591"/>
      <c r="Q20" s="2591"/>
      <c r="R20" s="1230"/>
      <c r="S20" s="2605" t="s">
        <v>736</v>
      </c>
      <c r="T20" s="2605"/>
      <c r="U20" s="2605"/>
      <c r="V20" s="2605"/>
      <c r="W20" s="2605"/>
      <c r="X20" s="2605"/>
      <c r="Y20" s="2605"/>
      <c r="Z20" s="2605"/>
      <c r="AA20" s="2606"/>
      <c r="AF20" s="615"/>
      <c r="AG20" s="615"/>
      <c r="AH20" s="615"/>
      <c r="AI20" s="615"/>
      <c r="AJ20" s="615"/>
      <c r="AK20" s="615"/>
      <c r="AL20" s="615"/>
      <c r="AM20" s="615"/>
      <c r="AN20" s="615"/>
      <c r="AO20" s="615"/>
      <c r="AP20" s="615"/>
      <c r="AQ20" s="615"/>
      <c r="AR20" s="615"/>
      <c r="AS20" s="615"/>
    </row>
    <row r="21" spans="1:45" ht="18" customHeight="1">
      <c r="A21" s="2537"/>
      <c r="B21" s="2539"/>
      <c r="C21" s="2540"/>
      <c r="D21" s="1401"/>
      <c r="E21" s="1402"/>
      <c r="F21" s="1403"/>
      <c r="G21" s="1402"/>
      <c r="H21" s="1400"/>
      <c r="I21" s="1400"/>
      <c r="J21" s="2542"/>
      <c r="K21" s="2542"/>
      <c r="L21" s="2542"/>
      <c r="M21" s="2544"/>
      <c r="N21" s="617"/>
      <c r="O21" s="2592"/>
      <c r="P21" s="2591"/>
      <c r="Q21" s="2591"/>
      <c r="R21" s="1230"/>
      <c r="S21" s="2605"/>
      <c r="T21" s="2605"/>
      <c r="U21" s="2605"/>
      <c r="V21" s="2605"/>
      <c r="W21" s="2605"/>
      <c r="X21" s="2605"/>
      <c r="Y21" s="2605"/>
      <c r="Z21" s="2605"/>
      <c r="AA21" s="2606"/>
      <c r="AF21" s="615"/>
      <c r="AG21" s="615"/>
      <c r="AH21" s="615"/>
      <c r="AI21" s="615"/>
      <c r="AJ21" s="615"/>
      <c r="AK21" s="615"/>
      <c r="AL21" s="615"/>
      <c r="AM21" s="615"/>
      <c r="AN21" s="615"/>
      <c r="AO21" s="615"/>
      <c r="AP21" s="615"/>
      <c r="AQ21" s="615"/>
      <c r="AR21" s="615"/>
      <c r="AS21" s="615"/>
    </row>
    <row r="22" spans="1:45" ht="18" customHeight="1">
      <c r="A22" s="2537"/>
      <c r="B22" s="2539"/>
      <c r="C22" s="2538"/>
      <c r="D22" s="1401"/>
      <c r="E22" s="1402"/>
      <c r="F22" s="1403"/>
      <c r="G22" s="1402"/>
      <c r="H22" s="1400"/>
      <c r="I22" s="1400"/>
      <c r="J22" s="2542"/>
      <c r="K22" s="2542"/>
      <c r="L22" s="2542"/>
      <c r="M22" s="2544"/>
      <c r="N22" s="617"/>
      <c r="O22" s="2592"/>
      <c r="P22" s="2591"/>
      <c r="Q22" s="2591"/>
      <c r="R22" s="1230"/>
      <c r="S22" s="2605"/>
      <c r="T22" s="2605"/>
      <c r="U22" s="2605"/>
      <c r="V22" s="2605"/>
      <c r="W22" s="2605"/>
      <c r="X22" s="2605"/>
      <c r="Y22" s="2605"/>
      <c r="Z22" s="2605"/>
      <c r="AA22" s="2606"/>
      <c r="AB22" s="621"/>
      <c r="AC22" s="621"/>
      <c r="AF22" s="615"/>
      <c r="AG22" s="615"/>
      <c r="AH22" s="615"/>
      <c r="AI22" s="615"/>
      <c r="AJ22" s="615"/>
      <c r="AK22" s="615"/>
      <c r="AL22" s="615"/>
      <c r="AM22" s="615"/>
      <c r="AN22" s="615"/>
      <c r="AO22" s="615"/>
      <c r="AP22" s="615"/>
      <c r="AQ22" s="615"/>
      <c r="AR22" s="615"/>
      <c r="AS22" s="615"/>
    </row>
    <row r="23" spans="1:45" ht="18" customHeight="1" thickBot="1">
      <c r="A23" s="2574"/>
      <c r="B23" s="2575"/>
      <c r="C23" s="2540"/>
      <c r="D23" s="1405"/>
      <c r="E23" s="1402"/>
      <c r="F23" s="1403"/>
      <c r="G23" s="1406"/>
      <c r="H23" s="1400"/>
      <c r="I23" s="1400"/>
      <c r="J23" s="2576"/>
      <c r="K23" s="2576"/>
      <c r="L23" s="2576"/>
      <c r="M23" s="2577"/>
      <c r="N23" s="617"/>
      <c r="O23" s="2592" t="s">
        <v>275</v>
      </c>
      <c r="P23" s="2591"/>
      <c r="Q23" s="2591"/>
      <c r="R23" s="1230"/>
      <c r="S23" s="2605" t="s">
        <v>737</v>
      </c>
      <c r="T23" s="2605"/>
      <c r="U23" s="2605"/>
      <c r="V23" s="2605"/>
      <c r="W23" s="2605"/>
      <c r="X23" s="2605"/>
      <c r="Y23" s="2605"/>
      <c r="Z23" s="2605"/>
      <c r="AA23" s="2606"/>
      <c r="AF23" s="615"/>
      <c r="AG23" s="615"/>
      <c r="AH23" s="615"/>
      <c r="AI23" s="615"/>
      <c r="AJ23" s="615"/>
      <c r="AK23" s="615"/>
      <c r="AL23" s="615"/>
      <c r="AM23" s="615"/>
      <c r="AN23" s="615"/>
      <c r="AO23" s="615"/>
      <c r="AP23" s="615"/>
      <c r="AQ23" s="615"/>
      <c r="AR23" s="615"/>
      <c r="AS23" s="615"/>
    </row>
    <row r="24" spans="1:45" s="621" customFormat="1" ht="6" customHeight="1">
      <c r="A24" s="2578" t="s">
        <v>719</v>
      </c>
      <c r="B24" s="2580"/>
      <c r="C24" s="2580"/>
      <c r="D24" s="2580"/>
      <c r="E24" s="2580"/>
      <c r="F24" s="2580"/>
      <c r="G24" s="2580"/>
      <c r="H24" s="2580"/>
      <c r="I24" s="2580"/>
      <c r="J24" s="2580"/>
      <c r="K24" s="2580"/>
      <c r="L24" s="2580"/>
      <c r="M24" s="2581"/>
      <c r="N24" s="618"/>
      <c r="O24" s="2592"/>
      <c r="P24" s="2591"/>
      <c r="Q24" s="2591"/>
      <c r="R24" s="1230"/>
      <c r="S24" s="2605"/>
      <c r="T24" s="2605"/>
      <c r="U24" s="2605"/>
      <c r="V24" s="2605"/>
      <c r="W24" s="2605"/>
      <c r="X24" s="2605"/>
      <c r="Y24" s="2605"/>
      <c r="Z24" s="2605"/>
      <c r="AA24" s="2606"/>
      <c r="AB24" s="608"/>
      <c r="AC24" s="608"/>
      <c r="AF24" s="620"/>
      <c r="AG24" s="620"/>
      <c r="AH24" s="620"/>
      <c r="AI24" s="620"/>
      <c r="AJ24" s="620"/>
      <c r="AK24" s="620"/>
      <c r="AL24" s="620"/>
      <c r="AM24" s="620"/>
      <c r="AN24" s="620"/>
      <c r="AO24" s="620"/>
      <c r="AP24" s="620"/>
      <c r="AQ24" s="620"/>
      <c r="AR24" s="620"/>
      <c r="AS24" s="620"/>
    </row>
    <row r="25" spans="1:45" ht="21.95" customHeight="1" thickBot="1">
      <c r="A25" s="2579"/>
      <c r="B25" s="2582"/>
      <c r="C25" s="2582"/>
      <c r="D25" s="2582"/>
      <c r="E25" s="2582"/>
      <c r="F25" s="2582"/>
      <c r="G25" s="2582"/>
      <c r="H25" s="2582"/>
      <c r="I25" s="2582"/>
      <c r="J25" s="2582"/>
      <c r="K25" s="2582"/>
      <c r="L25" s="2582"/>
      <c r="M25" s="2583"/>
      <c r="N25" s="617"/>
      <c r="O25" s="2592"/>
      <c r="P25" s="2591"/>
      <c r="Q25" s="2591"/>
      <c r="R25" s="1230"/>
      <c r="S25" s="2605"/>
      <c r="T25" s="2605"/>
      <c r="U25" s="2605"/>
      <c r="V25" s="2605"/>
      <c r="W25" s="2605"/>
      <c r="X25" s="2605"/>
      <c r="Y25" s="2605"/>
      <c r="Z25" s="2605"/>
      <c r="AA25" s="2606"/>
      <c r="AB25" s="608"/>
      <c r="AC25" s="608"/>
      <c r="AF25" s="615"/>
      <c r="AG25" s="615"/>
      <c r="AH25" s="615"/>
      <c r="AI25" s="615"/>
      <c r="AJ25" s="615"/>
      <c r="AK25" s="615"/>
      <c r="AL25" s="615"/>
      <c r="AM25" s="615"/>
      <c r="AN25" s="615"/>
      <c r="AO25" s="615"/>
      <c r="AP25" s="615"/>
      <c r="AQ25" s="615"/>
      <c r="AR25" s="615"/>
      <c r="AS25" s="615"/>
    </row>
    <row r="26" spans="1:45" s="608" customFormat="1" ht="14.1" customHeight="1">
      <c r="A26" s="1407" t="s">
        <v>720</v>
      </c>
      <c r="B26" s="1408"/>
      <c r="D26" s="1116"/>
      <c r="E26" s="1116"/>
      <c r="F26" s="1116"/>
      <c r="G26" s="1116"/>
      <c r="H26" s="1116"/>
      <c r="I26" s="1116"/>
      <c r="J26" s="1116"/>
      <c r="K26" s="1116"/>
      <c r="L26" s="1116"/>
      <c r="M26" s="1409"/>
      <c r="N26" s="1116"/>
      <c r="O26" s="2601" t="s">
        <v>738</v>
      </c>
      <c r="P26" s="2602"/>
      <c r="Q26" s="2602"/>
      <c r="R26" s="1229"/>
      <c r="S26" s="2603" t="s">
        <v>739</v>
      </c>
      <c r="T26" s="2603"/>
      <c r="U26" s="2603"/>
      <c r="V26" s="2603"/>
      <c r="W26" s="2603"/>
      <c r="X26" s="2603"/>
      <c r="Y26" s="2603"/>
      <c r="Z26" s="2603"/>
      <c r="AA26" s="2604"/>
    </row>
    <row r="27" spans="1:45" s="608" customFormat="1" ht="21.95" customHeight="1" thickBot="1">
      <c r="A27" s="2584"/>
      <c r="B27" s="2585"/>
      <c r="C27" s="2585"/>
      <c r="D27" s="610"/>
      <c r="E27" s="2586"/>
      <c r="F27" s="2586"/>
      <c r="G27" s="2586"/>
      <c r="H27" s="2586"/>
      <c r="J27" s="1564"/>
      <c r="L27" s="2634"/>
      <c r="M27" s="2588"/>
      <c r="N27" s="622"/>
      <c r="O27" s="1635" t="s">
        <v>740</v>
      </c>
      <c r="P27" s="1628"/>
      <c r="Q27" s="2607" t="s">
        <v>96</v>
      </c>
      <c r="R27" s="1232"/>
      <c r="S27" s="2589" t="s">
        <v>741</v>
      </c>
      <c r="T27" s="2589"/>
      <c r="U27" s="2589"/>
      <c r="V27" s="2589"/>
      <c r="W27" s="2589"/>
      <c r="X27" s="2589"/>
      <c r="Y27" s="2589"/>
      <c r="Z27" s="632"/>
      <c r="AA27" s="623"/>
    </row>
    <row r="28" spans="1:45" s="608" customFormat="1" ht="12" customHeight="1">
      <c r="A28" s="2570" t="s">
        <v>721</v>
      </c>
      <c r="B28" s="2571"/>
      <c r="C28" s="2571"/>
      <c r="D28" s="611"/>
      <c r="E28" s="2571" t="s">
        <v>722</v>
      </c>
      <c r="F28" s="2571"/>
      <c r="G28" s="2571"/>
      <c r="H28" s="2572"/>
      <c r="J28" s="1491" t="s">
        <v>723</v>
      </c>
      <c r="L28" s="2465" t="s">
        <v>724</v>
      </c>
      <c r="M28" s="2573"/>
      <c r="N28" s="622"/>
      <c r="O28" s="1634"/>
      <c r="P28" s="1629"/>
      <c r="Q28" s="2608"/>
      <c r="R28" s="1230"/>
      <c r="S28" s="2590"/>
      <c r="T28" s="2590"/>
      <c r="U28" s="2590"/>
      <c r="V28" s="2590"/>
      <c r="W28" s="2590"/>
      <c r="X28" s="2590"/>
      <c r="Y28" s="2590"/>
      <c r="Z28" s="1226"/>
      <c r="AA28" s="1240"/>
    </row>
    <row r="29" spans="1:45" s="608" customFormat="1" ht="27" customHeight="1">
      <c r="A29" s="2639" t="s">
        <v>2661</v>
      </c>
      <c r="B29" s="2640"/>
      <c r="C29" s="2640"/>
      <c r="D29" s="2640"/>
      <c r="E29" s="2640"/>
      <c r="F29" s="2640"/>
      <c r="G29" s="2640"/>
      <c r="H29" s="2640"/>
      <c r="I29" s="2640"/>
      <c r="J29" s="2640"/>
      <c r="K29" s="2640"/>
      <c r="L29" s="2640"/>
      <c r="M29" s="2641"/>
      <c r="N29" s="622"/>
      <c r="O29" s="2592" t="s">
        <v>151</v>
      </c>
      <c r="P29" s="2591"/>
      <c r="Q29" s="2591"/>
      <c r="R29" s="1230"/>
      <c r="S29" s="1239" t="s">
        <v>742</v>
      </c>
      <c r="T29" s="1239"/>
      <c r="U29" s="1239"/>
      <c r="V29" s="1239"/>
      <c r="W29" s="1239"/>
      <c r="X29" s="1239"/>
      <c r="Y29" s="1239"/>
      <c r="Z29" s="1238"/>
      <c r="AA29" s="626"/>
    </row>
    <row r="30" spans="1:45" s="608" customFormat="1" ht="21.95" customHeight="1" thickBot="1">
      <c r="A30" s="2635"/>
      <c r="B30" s="2636"/>
      <c r="C30" s="2636"/>
      <c r="D30" s="610"/>
      <c r="E30" s="2637"/>
      <c r="F30" s="2637"/>
      <c r="G30" s="2637"/>
      <c r="H30" s="2637"/>
      <c r="J30" s="1259"/>
      <c r="L30" s="2634"/>
      <c r="M30" s="2638"/>
      <c r="N30" s="622"/>
      <c r="O30" s="2592" t="s">
        <v>207</v>
      </c>
      <c r="P30" s="2591"/>
      <c r="Q30" s="2591"/>
      <c r="R30" s="1230"/>
      <c r="S30" s="2599" t="s">
        <v>743</v>
      </c>
      <c r="T30" s="2599"/>
      <c r="U30" s="2599"/>
      <c r="V30" s="2599"/>
      <c r="W30" s="2599"/>
      <c r="X30" s="2599"/>
      <c r="Y30" s="2599"/>
      <c r="Z30" s="2599"/>
      <c r="AA30" s="2600"/>
      <c r="AB30" s="613"/>
      <c r="AC30" s="613"/>
    </row>
    <row r="31" spans="1:45" s="608" customFormat="1" ht="14.1" customHeight="1" thickBot="1">
      <c r="A31" s="2630" t="s">
        <v>744</v>
      </c>
      <c r="B31" s="2631"/>
      <c r="C31" s="2631"/>
      <c r="D31" s="894"/>
      <c r="E31" s="2631" t="s">
        <v>722</v>
      </c>
      <c r="F31" s="2631"/>
      <c r="G31" s="2631"/>
      <c r="H31" s="2632"/>
      <c r="I31" s="612"/>
      <c r="J31" s="894" t="s">
        <v>745</v>
      </c>
      <c r="K31" s="612"/>
      <c r="L31" s="2631" t="s">
        <v>724</v>
      </c>
      <c r="M31" s="2633"/>
      <c r="O31" s="1237"/>
      <c r="P31" s="1236"/>
      <c r="Q31" s="1236"/>
      <c r="R31" s="1230"/>
      <c r="S31" s="2599"/>
      <c r="T31" s="2599"/>
      <c r="U31" s="2599"/>
      <c r="V31" s="2599"/>
      <c r="W31" s="2599"/>
      <c r="X31" s="2599"/>
      <c r="Y31" s="2599"/>
      <c r="Z31" s="2599"/>
      <c r="AA31" s="2600"/>
      <c r="AB31" s="613"/>
      <c r="AC31" s="613"/>
    </row>
    <row r="32" spans="1:45">
      <c r="L32" s="615"/>
      <c r="M32" s="615"/>
      <c r="O32" s="2592" t="s">
        <v>248</v>
      </c>
      <c r="P32" s="2591"/>
      <c r="Q32" s="2591"/>
      <c r="R32" s="1230"/>
      <c r="S32" s="2593" t="s">
        <v>746</v>
      </c>
      <c r="T32" s="2593"/>
      <c r="U32" s="2593"/>
      <c r="V32" s="2593"/>
      <c r="W32" s="2593"/>
      <c r="X32" s="2593"/>
      <c r="Y32" s="2593"/>
      <c r="Z32" s="2593"/>
      <c r="AA32" s="2594"/>
      <c r="AF32" s="615"/>
      <c r="AG32" s="615"/>
      <c r="AH32" s="615"/>
      <c r="AI32" s="615"/>
      <c r="AJ32" s="615"/>
      <c r="AK32" s="615"/>
      <c r="AL32" s="615"/>
      <c r="AM32" s="615"/>
      <c r="AN32" s="615"/>
      <c r="AO32" s="615"/>
      <c r="AP32" s="615"/>
      <c r="AQ32" s="615"/>
      <c r="AR32" s="615"/>
      <c r="AS32" s="615"/>
    </row>
    <row r="33" spans="12:45">
      <c r="L33" s="615"/>
      <c r="M33" s="615"/>
      <c r="O33" s="2592"/>
      <c r="P33" s="2591"/>
      <c r="Q33" s="2591"/>
      <c r="R33" s="1230"/>
      <c r="S33" s="2593"/>
      <c r="T33" s="2593"/>
      <c r="U33" s="2593"/>
      <c r="V33" s="2593"/>
      <c r="W33" s="2593"/>
      <c r="X33" s="2593"/>
      <c r="Y33" s="2593"/>
      <c r="Z33" s="2593"/>
      <c r="AA33" s="2594"/>
      <c r="AF33" s="615"/>
      <c r="AG33" s="615"/>
      <c r="AH33" s="615"/>
      <c r="AI33" s="615"/>
      <c r="AJ33" s="615"/>
      <c r="AK33" s="615"/>
      <c r="AL33" s="615"/>
      <c r="AM33" s="615"/>
      <c r="AN33" s="615"/>
      <c r="AO33" s="615"/>
      <c r="AP33" s="615"/>
      <c r="AQ33" s="615"/>
      <c r="AR33" s="615"/>
      <c r="AS33" s="615"/>
    </row>
    <row r="34" spans="12:45">
      <c r="L34" s="615"/>
      <c r="M34" s="615"/>
      <c r="O34" s="2595" t="s">
        <v>276</v>
      </c>
      <c r="P34" s="2596"/>
      <c r="Q34" s="2596"/>
      <c r="R34" s="1229"/>
      <c r="S34" s="631" t="s">
        <v>747</v>
      </c>
      <c r="T34" s="631"/>
      <c r="U34" s="631"/>
      <c r="V34" s="631"/>
      <c r="W34" s="631"/>
      <c r="X34" s="631"/>
      <c r="Y34" s="631"/>
      <c r="Z34" s="629"/>
      <c r="AA34" s="630"/>
      <c r="AF34" s="615"/>
      <c r="AG34" s="615"/>
      <c r="AH34" s="615"/>
      <c r="AI34" s="615"/>
      <c r="AJ34" s="615"/>
      <c r="AK34" s="615"/>
      <c r="AL34" s="615"/>
      <c r="AM34" s="615"/>
      <c r="AN34" s="615"/>
      <c r="AO34" s="615"/>
      <c r="AP34" s="615"/>
      <c r="AQ34" s="615"/>
      <c r="AR34" s="615"/>
      <c r="AS34" s="615"/>
    </row>
    <row r="35" spans="12:45">
      <c r="L35" s="615"/>
      <c r="M35" s="615"/>
      <c r="AF35" s="615"/>
      <c r="AG35" s="615"/>
      <c r="AH35" s="615"/>
      <c r="AI35" s="615"/>
      <c r="AJ35" s="615"/>
      <c r="AK35" s="615"/>
      <c r="AL35" s="615"/>
      <c r="AM35" s="615"/>
      <c r="AN35" s="615"/>
      <c r="AO35" s="615"/>
      <c r="AP35" s="615"/>
      <c r="AQ35" s="615"/>
      <c r="AR35" s="615"/>
      <c r="AS35" s="615"/>
    </row>
    <row r="36" spans="12:45">
      <c r="L36" s="615"/>
      <c r="M36" s="615"/>
      <c r="AF36" s="615"/>
      <c r="AG36" s="615"/>
      <c r="AH36" s="615"/>
      <c r="AI36" s="615"/>
      <c r="AJ36" s="615"/>
      <c r="AK36" s="615"/>
      <c r="AL36" s="615"/>
      <c r="AM36" s="615"/>
      <c r="AN36" s="615"/>
      <c r="AO36" s="615"/>
      <c r="AP36" s="615"/>
      <c r="AQ36" s="615"/>
      <c r="AR36" s="615"/>
      <c r="AS36" s="615"/>
    </row>
    <row r="37" spans="12:45">
      <c r="L37" s="615"/>
      <c r="AF37" s="615"/>
      <c r="AG37" s="615"/>
      <c r="AH37" s="615"/>
      <c r="AI37" s="615"/>
      <c r="AJ37" s="615"/>
      <c r="AK37" s="615"/>
      <c r="AL37" s="615"/>
      <c r="AM37" s="615"/>
      <c r="AN37" s="615"/>
      <c r="AO37" s="615"/>
      <c r="AP37" s="615"/>
      <c r="AQ37" s="615"/>
      <c r="AR37" s="615"/>
      <c r="AS37" s="615"/>
    </row>
    <row r="38" spans="12:45">
      <c r="L38" s="615"/>
      <c r="AF38" s="615"/>
      <c r="AG38" s="615"/>
      <c r="AH38" s="615"/>
      <c r="AI38" s="615"/>
      <c r="AJ38" s="615"/>
      <c r="AK38" s="615"/>
      <c r="AL38" s="615"/>
      <c r="AM38" s="615"/>
      <c r="AN38" s="615"/>
      <c r="AO38" s="615"/>
      <c r="AP38" s="615"/>
      <c r="AQ38" s="615"/>
      <c r="AR38" s="615"/>
      <c r="AS38" s="615"/>
    </row>
    <row r="39" spans="12:45">
      <c r="L39" s="615"/>
      <c r="M39" s="615"/>
      <c r="AF39" s="615"/>
      <c r="AG39" s="615"/>
      <c r="AH39" s="615"/>
      <c r="AI39" s="615"/>
      <c r="AJ39" s="615"/>
      <c r="AK39" s="615"/>
      <c r="AL39" s="615"/>
      <c r="AM39" s="615"/>
      <c r="AN39" s="615"/>
      <c r="AO39" s="615"/>
      <c r="AP39" s="615"/>
      <c r="AQ39" s="615"/>
      <c r="AR39" s="615"/>
      <c r="AS39" s="615"/>
    </row>
    <row r="40" spans="12:45">
      <c r="L40" s="615"/>
      <c r="M40" s="615"/>
      <c r="AB40" s="615"/>
      <c r="AC40" s="615"/>
      <c r="AF40" s="615"/>
      <c r="AG40" s="615"/>
      <c r="AH40" s="615"/>
      <c r="AI40" s="615"/>
      <c r="AJ40" s="615"/>
      <c r="AK40" s="615"/>
      <c r="AL40" s="615"/>
      <c r="AM40" s="615"/>
      <c r="AN40" s="615"/>
      <c r="AO40" s="615"/>
      <c r="AP40" s="615"/>
      <c r="AQ40" s="615"/>
      <c r="AR40" s="615"/>
      <c r="AS40" s="615"/>
    </row>
    <row r="41" spans="12:45">
      <c r="L41" s="615"/>
      <c r="M41" s="615"/>
      <c r="AB41" s="615"/>
      <c r="AC41" s="615"/>
      <c r="AF41" s="615"/>
      <c r="AG41" s="615"/>
      <c r="AH41" s="615"/>
      <c r="AI41" s="615"/>
      <c r="AJ41" s="615"/>
      <c r="AK41" s="615"/>
      <c r="AL41" s="615"/>
      <c r="AM41" s="615"/>
      <c r="AN41" s="615"/>
      <c r="AO41" s="615"/>
      <c r="AP41" s="615"/>
      <c r="AQ41" s="615"/>
      <c r="AR41" s="615"/>
      <c r="AS41" s="615"/>
    </row>
    <row r="42" spans="12:45">
      <c r="L42" s="615"/>
      <c r="M42" s="615"/>
      <c r="AB42" s="615"/>
      <c r="AC42" s="615"/>
      <c r="AD42" s="615"/>
      <c r="AE42" s="615"/>
      <c r="AF42" s="615"/>
      <c r="AG42" s="615"/>
      <c r="AH42" s="615"/>
      <c r="AI42" s="615"/>
      <c r="AJ42" s="615"/>
      <c r="AK42" s="615"/>
      <c r="AL42" s="615"/>
      <c r="AM42" s="615"/>
      <c r="AN42" s="615"/>
      <c r="AO42" s="615"/>
      <c r="AP42" s="615"/>
      <c r="AQ42" s="615"/>
      <c r="AR42" s="615"/>
      <c r="AS42" s="615"/>
    </row>
    <row r="43" spans="12:45">
      <c r="L43" s="615"/>
      <c r="M43" s="615"/>
      <c r="AB43" s="615"/>
      <c r="AC43" s="615"/>
      <c r="AD43" s="615"/>
      <c r="AE43" s="615"/>
      <c r="AF43" s="615"/>
      <c r="AG43" s="615"/>
      <c r="AH43" s="615"/>
      <c r="AI43" s="615"/>
      <c r="AJ43" s="615"/>
      <c r="AK43" s="615"/>
      <c r="AL43" s="615"/>
      <c r="AM43" s="615"/>
      <c r="AN43" s="615"/>
      <c r="AO43" s="615"/>
      <c r="AP43" s="615"/>
      <c r="AQ43" s="615"/>
      <c r="AR43" s="615"/>
      <c r="AS43" s="615"/>
    </row>
    <row r="44" spans="12:45">
      <c r="L44" s="615"/>
      <c r="M44" s="615"/>
      <c r="AB44" s="615"/>
      <c r="AC44" s="615"/>
      <c r="AD44" s="615"/>
      <c r="AE44" s="615"/>
      <c r="AF44" s="615"/>
      <c r="AG44" s="615"/>
      <c r="AH44" s="615"/>
      <c r="AI44" s="615"/>
      <c r="AJ44" s="615"/>
      <c r="AK44" s="615"/>
      <c r="AL44" s="615"/>
      <c r="AM44" s="615"/>
      <c r="AN44" s="615"/>
      <c r="AO44" s="615"/>
      <c r="AP44" s="615"/>
      <c r="AQ44" s="615"/>
      <c r="AR44" s="615"/>
      <c r="AS44" s="615"/>
    </row>
    <row r="45" spans="12:45">
      <c r="L45" s="615"/>
      <c r="M45" s="615"/>
      <c r="AB45" s="615"/>
      <c r="AC45" s="615"/>
      <c r="AD45" s="615"/>
      <c r="AE45" s="615"/>
      <c r="AF45" s="615"/>
      <c r="AG45" s="615"/>
      <c r="AH45" s="615"/>
      <c r="AI45" s="615"/>
      <c r="AJ45" s="615"/>
      <c r="AK45" s="615"/>
      <c r="AL45" s="615"/>
      <c r="AM45" s="615"/>
      <c r="AN45" s="615"/>
      <c r="AO45" s="615"/>
      <c r="AP45" s="615"/>
      <c r="AQ45" s="615"/>
      <c r="AR45" s="615"/>
      <c r="AS45" s="615"/>
    </row>
    <row r="46" spans="12:45">
      <c r="L46" s="615"/>
      <c r="M46" s="615"/>
      <c r="AB46" s="615"/>
      <c r="AC46" s="615"/>
      <c r="AD46" s="615"/>
      <c r="AE46" s="615"/>
      <c r="AF46" s="615"/>
      <c r="AG46" s="615"/>
      <c r="AH46" s="615"/>
      <c r="AI46" s="615"/>
      <c r="AJ46" s="615"/>
      <c r="AK46" s="615"/>
      <c r="AL46" s="615"/>
      <c r="AM46" s="615"/>
      <c r="AN46" s="615"/>
      <c r="AO46" s="615"/>
      <c r="AP46" s="615"/>
      <c r="AQ46" s="615"/>
      <c r="AR46" s="615"/>
      <c r="AS46" s="615"/>
    </row>
    <row r="47" spans="12:45">
      <c r="L47" s="615"/>
      <c r="M47" s="615"/>
      <c r="AB47" s="615"/>
      <c r="AC47" s="615"/>
      <c r="AD47" s="615"/>
      <c r="AE47" s="615"/>
      <c r="AF47" s="615"/>
      <c r="AG47" s="615"/>
      <c r="AH47" s="615"/>
      <c r="AI47" s="615"/>
      <c r="AJ47" s="615"/>
      <c r="AK47" s="615"/>
      <c r="AL47" s="615"/>
      <c r="AM47" s="615"/>
      <c r="AN47" s="615"/>
      <c r="AO47" s="615"/>
      <c r="AP47" s="615"/>
      <c r="AQ47" s="615"/>
      <c r="AR47" s="615"/>
      <c r="AS47" s="615"/>
    </row>
    <row r="48" spans="12:45">
      <c r="L48" s="615"/>
      <c r="M48" s="615"/>
      <c r="AB48" s="615"/>
      <c r="AC48" s="615"/>
      <c r="AD48" s="615"/>
      <c r="AE48" s="615"/>
      <c r="AF48" s="615"/>
      <c r="AG48" s="615"/>
      <c r="AH48" s="615"/>
      <c r="AI48" s="615"/>
      <c r="AJ48" s="615"/>
      <c r="AK48" s="615"/>
      <c r="AL48" s="615"/>
      <c r="AM48" s="615"/>
      <c r="AN48" s="615"/>
      <c r="AO48" s="615"/>
      <c r="AP48" s="615"/>
      <c r="AQ48" s="615"/>
      <c r="AR48" s="615"/>
      <c r="AS48" s="615"/>
    </row>
    <row r="49" spans="12:45">
      <c r="L49" s="615"/>
      <c r="M49" s="615"/>
      <c r="AB49" s="615"/>
      <c r="AC49" s="615"/>
      <c r="AD49" s="615"/>
      <c r="AE49" s="615"/>
      <c r="AF49" s="615"/>
      <c r="AG49" s="615"/>
      <c r="AH49" s="615"/>
      <c r="AI49" s="615"/>
      <c r="AJ49" s="615"/>
      <c r="AK49" s="615"/>
      <c r="AL49" s="615"/>
      <c r="AM49" s="615"/>
      <c r="AN49" s="615"/>
      <c r="AO49" s="615"/>
      <c r="AP49" s="615"/>
      <c r="AQ49" s="615"/>
      <c r="AR49" s="615"/>
      <c r="AS49" s="615"/>
    </row>
    <row r="50" spans="12:45">
      <c r="L50" s="615"/>
      <c r="M50" s="615"/>
      <c r="AB50" s="615"/>
      <c r="AC50" s="615"/>
      <c r="AD50" s="615"/>
      <c r="AE50" s="615"/>
      <c r="AF50" s="615"/>
      <c r="AG50" s="615"/>
      <c r="AH50" s="615"/>
      <c r="AI50" s="615"/>
      <c r="AJ50" s="615"/>
      <c r="AK50" s="615"/>
      <c r="AL50" s="615"/>
      <c r="AM50" s="615"/>
      <c r="AN50" s="615"/>
      <c r="AO50" s="615"/>
      <c r="AP50" s="615"/>
      <c r="AQ50" s="615"/>
      <c r="AR50" s="615"/>
      <c r="AS50" s="615"/>
    </row>
    <row r="51" spans="12:45">
      <c r="L51" s="615"/>
      <c r="M51" s="615"/>
      <c r="AB51" s="615"/>
      <c r="AC51" s="615"/>
      <c r="AD51" s="615"/>
      <c r="AE51" s="615"/>
      <c r="AF51" s="615"/>
      <c r="AG51" s="615"/>
      <c r="AH51" s="615"/>
      <c r="AI51" s="615"/>
      <c r="AJ51" s="615"/>
      <c r="AK51" s="615"/>
      <c r="AL51" s="615"/>
      <c r="AM51" s="615"/>
      <c r="AN51" s="615"/>
      <c r="AO51" s="615"/>
      <c r="AP51" s="615"/>
      <c r="AQ51" s="615"/>
      <c r="AR51" s="615"/>
      <c r="AS51" s="615"/>
    </row>
    <row r="52" spans="12:45">
      <c r="L52" s="615"/>
      <c r="M52" s="615"/>
      <c r="AB52" s="615"/>
      <c r="AC52" s="615"/>
      <c r="AD52" s="615"/>
      <c r="AE52" s="615"/>
      <c r="AF52" s="615"/>
      <c r="AG52" s="615"/>
      <c r="AH52" s="615"/>
      <c r="AI52" s="615"/>
      <c r="AJ52" s="615"/>
      <c r="AK52" s="615"/>
      <c r="AL52" s="615"/>
      <c r="AM52" s="615"/>
      <c r="AN52" s="615"/>
      <c r="AO52" s="615"/>
      <c r="AP52" s="615"/>
      <c r="AQ52" s="615"/>
      <c r="AR52" s="615"/>
      <c r="AS52" s="615"/>
    </row>
    <row r="53" spans="12:45">
      <c r="L53" s="615"/>
      <c r="M53" s="615"/>
      <c r="AB53" s="615"/>
      <c r="AC53" s="615"/>
      <c r="AD53" s="615"/>
      <c r="AE53" s="615"/>
      <c r="AF53" s="615"/>
      <c r="AG53" s="615"/>
      <c r="AH53" s="615"/>
      <c r="AI53" s="615"/>
      <c r="AJ53" s="615"/>
      <c r="AK53" s="615"/>
      <c r="AL53" s="615"/>
      <c r="AM53" s="615"/>
      <c r="AN53" s="615"/>
      <c r="AO53" s="615"/>
      <c r="AP53" s="615"/>
      <c r="AQ53" s="615"/>
      <c r="AR53" s="615"/>
      <c r="AS53" s="615"/>
    </row>
    <row r="54" spans="12:45">
      <c r="L54" s="615"/>
      <c r="M54" s="615"/>
      <c r="AB54" s="615"/>
      <c r="AC54" s="615"/>
      <c r="AD54" s="615"/>
      <c r="AE54" s="615"/>
      <c r="AF54" s="615"/>
      <c r="AG54" s="615"/>
      <c r="AH54" s="615"/>
      <c r="AI54" s="615"/>
      <c r="AJ54" s="615"/>
      <c r="AK54" s="615"/>
      <c r="AL54" s="615"/>
      <c r="AM54" s="615"/>
      <c r="AN54" s="615"/>
      <c r="AO54" s="615"/>
      <c r="AP54" s="615"/>
      <c r="AQ54" s="615"/>
      <c r="AR54" s="615"/>
      <c r="AS54" s="615"/>
    </row>
    <row r="55" spans="12:45">
      <c r="L55" s="615"/>
      <c r="M55" s="615"/>
      <c r="AB55" s="615"/>
      <c r="AC55" s="615"/>
      <c r="AD55" s="615"/>
      <c r="AE55" s="615"/>
      <c r="AF55" s="615"/>
      <c r="AG55" s="615"/>
      <c r="AH55" s="615"/>
      <c r="AI55" s="615"/>
      <c r="AJ55" s="615"/>
      <c r="AK55" s="615"/>
      <c r="AL55" s="615"/>
      <c r="AM55" s="615"/>
      <c r="AN55" s="615"/>
      <c r="AO55" s="615"/>
      <c r="AP55" s="615"/>
      <c r="AQ55" s="615"/>
      <c r="AR55" s="615"/>
      <c r="AS55" s="615"/>
    </row>
    <row r="56" spans="12:45">
      <c r="L56" s="615"/>
      <c r="M56" s="615"/>
      <c r="AB56" s="615"/>
      <c r="AC56" s="615"/>
      <c r="AD56" s="615"/>
      <c r="AE56" s="615"/>
      <c r="AF56" s="615"/>
      <c r="AG56" s="615"/>
      <c r="AH56" s="615"/>
      <c r="AI56" s="615"/>
      <c r="AJ56" s="615"/>
      <c r="AK56" s="615"/>
      <c r="AL56" s="615"/>
      <c r="AM56" s="615"/>
      <c r="AN56" s="615"/>
      <c r="AO56" s="615"/>
      <c r="AP56" s="615"/>
      <c r="AQ56" s="615"/>
      <c r="AR56" s="615"/>
      <c r="AS56" s="615"/>
    </row>
    <row r="57" spans="12:45">
      <c r="L57" s="615"/>
      <c r="M57" s="615"/>
      <c r="AB57" s="615"/>
      <c r="AC57" s="615"/>
      <c r="AD57" s="615"/>
      <c r="AE57" s="615"/>
      <c r="AF57" s="615"/>
      <c r="AG57" s="615"/>
      <c r="AH57" s="615"/>
      <c r="AI57" s="615"/>
      <c r="AJ57" s="615"/>
      <c r="AK57" s="615"/>
      <c r="AL57" s="615"/>
      <c r="AM57" s="615"/>
      <c r="AN57" s="615"/>
      <c r="AO57" s="615"/>
      <c r="AP57" s="615"/>
      <c r="AQ57" s="615"/>
      <c r="AR57" s="615"/>
      <c r="AS57" s="615"/>
    </row>
    <row r="58" spans="12:45">
      <c r="L58" s="615"/>
      <c r="M58" s="615"/>
      <c r="AB58" s="615"/>
      <c r="AC58" s="615"/>
      <c r="AD58" s="615"/>
      <c r="AE58" s="615"/>
      <c r="AF58" s="615"/>
      <c r="AG58" s="615"/>
      <c r="AH58" s="615"/>
      <c r="AI58" s="615"/>
      <c r="AJ58" s="615"/>
      <c r="AK58" s="615"/>
      <c r="AL58" s="615"/>
      <c r="AM58" s="615"/>
      <c r="AN58" s="615"/>
      <c r="AO58" s="615"/>
      <c r="AP58" s="615"/>
      <c r="AQ58" s="615"/>
      <c r="AR58" s="615"/>
      <c r="AS58" s="615"/>
    </row>
    <row r="59" spans="12:45">
      <c r="L59" s="615"/>
      <c r="M59" s="615"/>
      <c r="AB59" s="615"/>
      <c r="AC59" s="615"/>
      <c r="AD59" s="615"/>
      <c r="AE59" s="615"/>
      <c r="AF59" s="615"/>
      <c r="AG59" s="615"/>
      <c r="AH59" s="615"/>
      <c r="AI59" s="615"/>
      <c r="AJ59" s="615"/>
      <c r="AK59" s="615"/>
      <c r="AL59" s="615"/>
      <c r="AM59" s="615"/>
      <c r="AN59" s="615"/>
      <c r="AO59" s="615"/>
      <c r="AP59" s="615"/>
      <c r="AQ59" s="615"/>
      <c r="AR59" s="615"/>
      <c r="AS59" s="615"/>
    </row>
    <row r="60" spans="12:45">
      <c r="L60" s="615"/>
      <c r="M60" s="615"/>
      <c r="AB60" s="615"/>
      <c r="AC60" s="615"/>
      <c r="AD60" s="615"/>
      <c r="AE60" s="615"/>
      <c r="AF60" s="615"/>
      <c r="AG60" s="615"/>
      <c r="AH60" s="615"/>
      <c r="AI60" s="615"/>
      <c r="AJ60" s="615"/>
      <c r="AK60" s="615"/>
      <c r="AL60" s="615"/>
      <c r="AM60" s="615"/>
      <c r="AN60" s="615"/>
      <c r="AO60" s="615"/>
      <c r="AP60" s="615"/>
      <c r="AQ60" s="615"/>
      <c r="AR60" s="615"/>
      <c r="AS60" s="615"/>
    </row>
    <row r="61" spans="12:45">
      <c r="L61" s="615"/>
      <c r="M61" s="615"/>
      <c r="AB61" s="615"/>
      <c r="AC61" s="615"/>
      <c r="AD61" s="615"/>
      <c r="AE61" s="615"/>
      <c r="AF61" s="615"/>
      <c r="AG61" s="615"/>
      <c r="AH61" s="615"/>
      <c r="AI61" s="615"/>
      <c r="AJ61" s="615"/>
      <c r="AK61" s="615"/>
      <c r="AL61" s="615"/>
      <c r="AM61" s="615"/>
      <c r="AN61" s="615"/>
      <c r="AO61" s="615"/>
      <c r="AP61" s="615"/>
      <c r="AQ61" s="615"/>
      <c r="AR61" s="615"/>
      <c r="AS61" s="615"/>
    </row>
    <row r="62" spans="12:45">
      <c r="L62" s="615"/>
      <c r="M62" s="615"/>
      <c r="AB62" s="615"/>
      <c r="AC62" s="615"/>
      <c r="AD62" s="615"/>
      <c r="AE62" s="615"/>
      <c r="AF62" s="615"/>
      <c r="AG62" s="615"/>
      <c r="AH62" s="615"/>
      <c r="AI62" s="615"/>
      <c r="AJ62" s="615"/>
      <c r="AK62" s="615"/>
      <c r="AL62" s="615"/>
      <c r="AM62" s="615"/>
      <c r="AN62" s="615"/>
      <c r="AO62" s="615"/>
      <c r="AP62" s="615"/>
      <c r="AQ62" s="615"/>
      <c r="AR62" s="615"/>
      <c r="AS62" s="615"/>
    </row>
    <row r="63" spans="12:45">
      <c r="L63" s="615"/>
      <c r="M63" s="615"/>
      <c r="AB63" s="615"/>
      <c r="AC63" s="615"/>
      <c r="AD63" s="615"/>
      <c r="AE63" s="615"/>
      <c r="AF63" s="615"/>
      <c r="AG63" s="615"/>
      <c r="AH63" s="615"/>
      <c r="AI63" s="615"/>
      <c r="AJ63" s="615"/>
      <c r="AK63" s="615"/>
      <c r="AL63" s="615"/>
      <c r="AM63" s="615"/>
      <c r="AN63" s="615"/>
      <c r="AO63" s="615"/>
      <c r="AP63" s="615"/>
      <c r="AQ63" s="615"/>
      <c r="AR63" s="615"/>
      <c r="AS63" s="615"/>
    </row>
    <row r="64" spans="12:45">
      <c r="L64" s="615"/>
      <c r="M64" s="615"/>
      <c r="AB64" s="615"/>
      <c r="AC64" s="615"/>
      <c r="AD64" s="615"/>
      <c r="AE64" s="615"/>
      <c r="AF64" s="615"/>
      <c r="AG64" s="615"/>
      <c r="AH64" s="615"/>
      <c r="AI64" s="615"/>
      <c r="AJ64" s="615"/>
      <c r="AK64" s="615"/>
      <c r="AL64" s="615"/>
      <c r="AM64" s="615"/>
      <c r="AN64" s="615"/>
      <c r="AO64" s="615"/>
      <c r="AP64" s="615"/>
      <c r="AQ64" s="615"/>
      <c r="AR64" s="615"/>
      <c r="AS64" s="615"/>
    </row>
    <row r="65" spans="12:45">
      <c r="L65" s="615"/>
      <c r="M65" s="615"/>
      <c r="AB65" s="615"/>
      <c r="AC65" s="615"/>
      <c r="AD65" s="615"/>
      <c r="AE65" s="615"/>
      <c r="AF65" s="615"/>
      <c r="AG65" s="615"/>
      <c r="AH65" s="615"/>
      <c r="AI65" s="615"/>
      <c r="AJ65" s="615"/>
      <c r="AK65" s="615"/>
      <c r="AL65" s="615"/>
      <c r="AM65" s="615"/>
      <c r="AN65" s="615"/>
      <c r="AO65" s="615"/>
      <c r="AP65" s="615"/>
      <c r="AQ65" s="615"/>
      <c r="AR65" s="615"/>
      <c r="AS65" s="615"/>
    </row>
    <row r="66" spans="12:45">
      <c r="L66" s="615"/>
      <c r="M66" s="615"/>
      <c r="AB66" s="615"/>
      <c r="AC66" s="615"/>
      <c r="AD66" s="615"/>
      <c r="AE66" s="615"/>
      <c r="AF66" s="615"/>
      <c r="AG66" s="615"/>
      <c r="AH66" s="615"/>
      <c r="AI66" s="615"/>
      <c r="AJ66" s="615"/>
      <c r="AK66" s="615"/>
      <c r="AL66" s="615"/>
      <c r="AM66" s="615"/>
      <c r="AN66" s="615"/>
      <c r="AO66" s="615"/>
      <c r="AP66" s="615"/>
      <c r="AQ66" s="615"/>
      <c r="AR66" s="615"/>
      <c r="AS66" s="615"/>
    </row>
    <row r="67" spans="12:45">
      <c r="L67" s="615"/>
      <c r="M67" s="615"/>
      <c r="AB67" s="615"/>
      <c r="AC67" s="615"/>
      <c r="AD67" s="615"/>
      <c r="AE67" s="615"/>
      <c r="AF67" s="615"/>
      <c r="AG67" s="615"/>
      <c r="AH67" s="615"/>
      <c r="AI67" s="615"/>
      <c r="AJ67" s="615"/>
      <c r="AK67" s="615"/>
      <c r="AL67" s="615"/>
      <c r="AM67" s="615"/>
      <c r="AN67" s="615"/>
      <c r="AO67" s="615"/>
      <c r="AP67" s="615"/>
      <c r="AQ67" s="615"/>
      <c r="AR67" s="615"/>
      <c r="AS67" s="615"/>
    </row>
    <row r="68" spans="12:45">
      <c r="L68" s="615"/>
      <c r="M68" s="615"/>
      <c r="AB68" s="615"/>
      <c r="AC68" s="615"/>
      <c r="AD68" s="615"/>
      <c r="AE68" s="615"/>
      <c r="AF68" s="615"/>
      <c r="AG68" s="615"/>
      <c r="AH68" s="615"/>
      <c r="AI68" s="615"/>
      <c r="AJ68" s="615"/>
      <c r="AK68" s="615"/>
      <c r="AL68" s="615"/>
      <c r="AM68" s="615"/>
      <c r="AN68" s="615"/>
      <c r="AO68" s="615"/>
      <c r="AP68" s="615"/>
      <c r="AQ68" s="615"/>
      <c r="AR68" s="615"/>
      <c r="AS68" s="615"/>
    </row>
    <row r="69" spans="12:45">
      <c r="L69" s="615"/>
      <c r="M69" s="615"/>
      <c r="AB69" s="615"/>
      <c r="AC69" s="615"/>
      <c r="AD69" s="615"/>
      <c r="AE69" s="615"/>
      <c r="AF69" s="615"/>
      <c r="AG69" s="615"/>
      <c r="AH69" s="615"/>
      <c r="AI69" s="615"/>
      <c r="AJ69" s="615"/>
      <c r="AK69" s="615"/>
      <c r="AL69" s="615"/>
      <c r="AM69" s="615"/>
      <c r="AN69" s="615"/>
      <c r="AO69" s="615"/>
      <c r="AP69" s="615"/>
      <c r="AQ69" s="615"/>
      <c r="AR69" s="615"/>
      <c r="AS69" s="615"/>
    </row>
    <row r="70" spans="12:45">
      <c r="L70" s="615"/>
      <c r="M70" s="615"/>
      <c r="AB70" s="615"/>
      <c r="AC70" s="615"/>
      <c r="AD70" s="615"/>
      <c r="AE70" s="615"/>
      <c r="AF70" s="615"/>
      <c r="AG70" s="615"/>
      <c r="AH70" s="615"/>
      <c r="AI70" s="615"/>
      <c r="AJ70" s="615"/>
      <c r="AK70" s="615"/>
      <c r="AL70" s="615"/>
      <c r="AM70" s="615"/>
      <c r="AN70" s="615"/>
      <c r="AO70" s="615"/>
      <c r="AP70" s="615"/>
      <c r="AQ70" s="615"/>
      <c r="AR70" s="615"/>
      <c r="AS70" s="615"/>
    </row>
    <row r="71" spans="12:45">
      <c r="L71" s="615"/>
      <c r="M71" s="615"/>
      <c r="AB71" s="615"/>
      <c r="AC71" s="615"/>
      <c r="AD71" s="615"/>
      <c r="AE71" s="615"/>
      <c r="AF71" s="615"/>
      <c r="AG71" s="615"/>
      <c r="AH71" s="615"/>
      <c r="AI71" s="615"/>
      <c r="AJ71" s="615"/>
      <c r="AK71" s="615"/>
      <c r="AL71" s="615"/>
      <c r="AM71" s="615"/>
      <c r="AN71" s="615"/>
      <c r="AO71" s="615"/>
      <c r="AP71" s="615"/>
      <c r="AQ71" s="615"/>
      <c r="AR71" s="615"/>
      <c r="AS71" s="615"/>
    </row>
    <row r="72" spans="12:45">
      <c r="L72" s="615"/>
      <c r="M72" s="615"/>
      <c r="AB72" s="615"/>
      <c r="AC72" s="615"/>
      <c r="AD72" s="615"/>
      <c r="AE72" s="615"/>
      <c r="AF72" s="615"/>
      <c r="AG72" s="615"/>
      <c r="AH72" s="615"/>
      <c r="AI72" s="615"/>
      <c r="AJ72" s="615"/>
      <c r="AK72" s="615"/>
      <c r="AL72" s="615"/>
      <c r="AM72" s="615"/>
      <c r="AN72" s="615"/>
      <c r="AO72" s="615"/>
      <c r="AP72" s="615"/>
      <c r="AQ72" s="615"/>
      <c r="AR72" s="615"/>
      <c r="AS72" s="615"/>
    </row>
    <row r="73" spans="12:45">
      <c r="L73" s="615"/>
      <c r="M73" s="615"/>
      <c r="AB73" s="615"/>
      <c r="AC73" s="615"/>
      <c r="AD73" s="615"/>
      <c r="AE73" s="615"/>
      <c r="AF73" s="615"/>
      <c r="AG73" s="615"/>
      <c r="AH73" s="615"/>
      <c r="AI73" s="615"/>
      <c r="AJ73" s="615"/>
      <c r="AK73" s="615"/>
      <c r="AL73" s="615"/>
      <c r="AM73" s="615"/>
      <c r="AN73" s="615"/>
      <c r="AO73" s="615"/>
      <c r="AP73" s="615"/>
      <c r="AQ73" s="615"/>
      <c r="AR73" s="615"/>
      <c r="AS73" s="615"/>
    </row>
    <row r="74" spans="12:45">
      <c r="L74" s="615"/>
      <c r="M74" s="615"/>
      <c r="AB74" s="615"/>
      <c r="AC74" s="615"/>
      <c r="AD74" s="615"/>
      <c r="AE74" s="615"/>
      <c r="AF74" s="615"/>
      <c r="AG74" s="615"/>
      <c r="AH74" s="615"/>
      <c r="AI74" s="615"/>
      <c r="AJ74" s="615"/>
      <c r="AK74" s="615"/>
      <c r="AL74" s="615"/>
      <c r="AM74" s="615"/>
      <c r="AN74" s="615"/>
      <c r="AO74" s="615"/>
      <c r="AP74" s="615"/>
      <c r="AQ74" s="615"/>
      <c r="AR74" s="615"/>
      <c r="AS74" s="615"/>
    </row>
    <row r="75" spans="12:45">
      <c r="L75" s="615"/>
      <c r="M75" s="615"/>
      <c r="AB75" s="615"/>
      <c r="AC75" s="615"/>
      <c r="AD75" s="615"/>
      <c r="AE75" s="615"/>
      <c r="AF75" s="615"/>
      <c r="AG75" s="615"/>
      <c r="AH75" s="615"/>
      <c r="AI75" s="615"/>
      <c r="AJ75" s="615"/>
      <c r="AK75" s="615"/>
      <c r="AL75" s="615"/>
      <c r="AM75" s="615"/>
      <c r="AN75" s="615"/>
      <c r="AO75" s="615"/>
      <c r="AP75" s="615"/>
      <c r="AQ75" s="615"/>
      <c r="AR75" s="615"/>
      <c r="AS75" s="615"/>
    </row>
    <row r="76" spans="12:45">
      <c r="L76" s="615"/>
      <c r="M76" s="615"/>
      <c r="AB76" s="615"/>
      <c r="AC76" s="615"/>
      <c r="AD76" s="615"/>
      <c r="AE76" s="615"/>
      <c r="AF76" s="615"/>
      <c r="AG76" s="615"/>
      <c r="AH76" s="615"/>
      <c r="AI76" s="615"/>
      <c r="AJ76" s="615"/>
      <c r="AK76" s="615"/>
      <c r="AL76" s="615"/>
      <c r="AM76" s="615"/>
      <c r="AN76" s="615"/>
      <c r="AO76" s="615"/>
      <c r="AP76" s="615"/>
      <c r="AQ76" s="615"/>
      <c r="AR76" s="615"/>
      <c r="AS76" s="615"/>
    </row>
    <row r="77" spans="12:45">
      <c r="L77" s="615"/>
      <c r="M77" s="615"/>
      <c r="AB77" s="615"/>
      <c r="AC77" s="615"/>
      <c r="AD77" s="615"/>
      <c r="AE77" s="615"/>
      <c r="AF77" s="615"/>
      <c r="AG77" s="615"/>
      <c r="AH77" s="615"/>
      <c r="AI77" s="615"/>
      <c r="AJ77" s="615"/>
      <c r="AK77" s="615"/>
      <c r="AL77" s="615"/>
      <c r="AM77" s="615"/>
      <c r="AN77" s="615"/>
      <c r="AO77" s="615"/>
      <c r="AP77" s="615"/>
      <c r="AQ77" s="615"/>
      <c r="AR77" s="615"/>
      <c r="AS77" s="615"/>
    </row>
    <row r="78" spans="12:45">
      <c r="L78" s="615"/>
      <c r="M78" s="615"/>
      <c r="AB78" s="615"/>
      <c r="AC78" s="615"/>
      <c r="AD78" s="615"/>
      <c r="AE78" s="615"/>
      <c r="AF78" s="615"/>
      <c r="AG78" s="615"/>
      <c r="AH78" s="615"/>
      <c r="AI78" s="615"/>
      <c r="AJ78" s="615"/>
      <c r="AK78" s="615"/>
      <c r="AL78" s="615"/>
      <c r="AM78" s="615"/>
      <c r="AN78" s="615"/>
      <c r="AO78" s="615"/>
      <c r="AP78" s="615"/>
      <c r="AQ78" s="615"/>
      <c r="AR78" s="615"/>
      <c r="AS78" s="615"/>
    </row>
    <row r="79" spans="12:45">
      <c r="L79" s="615"/>
      <c r="M79" s="615"/>
      <c r="AB79" s="615"/>
      <c r="AC79" s="615"/>
      <c r="AD79" s="615"/>
      <c r="AE79" s="615"/>
      <c r="AF79" s="615"/>
      <c r="AG79" s="615"/>
      <c r="AH79" s="615"/>
      <c r="AI79" s="615"/>
      <c r="AJ79" s="615"/>
      <c r="AK79" s="615"/>
      <c r="AL79" s="615"/>
      <c r="AM79" s="615"/>
      <c r="AN79" s="615"/>
      <c r="AO79" s="615"/>
      <c r="AP79" s="615"/>
      <c r="AQ79" s="615"/>
      <c r="AR79" s="615"/>
      <c r="AS79" s="615"/>
    </row>
    <row r="80" spans="12:45">
      <c r="L80" s="615"/>
      <c r="M80" s="615"/>
      <c r="AB80" s="615"/>
      <c r="AC80" s="615"/>
      <c r="AD80" s="615"/>
      <c r="AE80" s="615"/>
      <c r="AF80" s="615"/>
      <c r="AG80" s="615"/>
      <c r="AH80" s="615"/>
      <c r="AI80" s="615"/>
      <c r="AJ80" s="615"/>
      <c r="AK80" s="615"/>
      <c r="AL80" s="615"/>
      <c r="AM80" s="615"/>
      <c r="AN80" s="615"/>
      <c r="AO80" s="615"/>
      <c r="AP80" s="615"/>
      <c r="AQ80" s="615"/>
      <c r="AR80" s="615"/>
      <c r="AS80" s="615"/>
    </row>
    <row r="81" spans="12:45">
      <c r="L81" s="615"/>
      <c r="M81" s="615"/>
      <c r="AB81" s="615"/>
      <c r="AC81" s="615"/>
      <c r="AD81" s="615"/>
      <c r="AE81" s="615"/>
      <c r="AF81" s="615"/>
      <c r="AG81" s="615"/>
      <c r="AH81" s="615"/>
      <c r="AI81" s="615"/>
      <c r="AJ81" s="615"/>
      <c r="AK81" s="615"/>
      <c r="AL81" s="615"/>
      <c r="AM81" s="615"/>
      <c r="AN81" s="615"/>
      <c r="AO81" s="615"/>
      <c r="AP81" s="615"/>
      <c r="AQ81" s="615"/>
      <c r="AR81" s="615"/>
      <c r="AS81" s="615"/>
    </row>
    <row r="82" spans="12:45">
      <c r="L82" s="615"/>
      <c r="M82" s="615"/>
      <c r="AB82" s="615"/>
      <c r="AC82" s="615"/>
      <c r="AD82" s="615"/>
      <c r="AE82" s="615"/>
      <c r="AF82" s="615"/>
      <c r="AG82" s="615"/>
      <c r="AH82" s="615"/>
      <c r="AI82" s="615"/>
      <c r="AJ82" s="615"/>
      <c r="AK82" s="615"/>
      <c r="AL82" s="615"/>
      <c r="AM82" s="615"/>
      <c r="AN82" s="615"/>
      <c r="AO82" s="615"/>
      <c r="AP82" s="615"/>
      <c r="AQ82" s="615"/>
      <c r="AR82" s="615"/>
      <c r="AS82" s="615"/>
    </row>
    <row r="83" spans="12:45">
      <c r="L83" s="615"/>
      <c r="M83" s="615"/>
      <c r="AB83" s="615"/>
      <c r="AC83" s="615"/>
      <c r="AD83" s="615"/>
      <c r="AE83" s="615"/>
      <c r="AF83" s="615"/>
      <c r="AG83" s="615"/>
      <c r="AH83" s="615"/>
      <c r="AI83" s="615"/>
      <c r="AJ83" s="615"/>
      <c r="AK83" s="615"/>
      <c r="AL83" s="615"/>
      <c r="AM83" s="615"/>
      <c r="AN83" s="615"/>
      <c r="AO83" s="615"/>
      <c r="AP83" s="615"/>
      <c r="AQ83" s="615"/>
      <c r="AR83" s="615"/>
      <c r="AS83" s="615"/>
    </row>
    <row r="84" spans="12:45">
      <c r="L84" s="615"/>
      <c r="M84" s="615"/>
      <c r="AB84" s="615"/>
      <c r="AC84" s="615"/>
      <c r="AD84" s="615"/>
      <c r="AE84" s="615"/>
      <c r="AF84" s="615"/>
      <c r="AG84" s="615"/>
      <c r="AH84" s="615"/>
      <c r="AI84" s="615"/>
      <c r="AJ84" s="615"/>
      <c r="AK84" s="615"/>
      <c r="AL84" s="615"/>
      <c r="AM84" s="615"/>
      <c r="AN84" s="615"/>
      <c r="AO84" s="615"/>
      <c r="AP84" s="615"/>
      <c r="AQ84" s="615"/>
      <c r="AR84" s="615"/>
      <c r="AS84" s="615"/>
    </row>
    <row r="85" spans="12:45">
      <c r="L85" s="615"/>
      <c r="M85" s="615"/>
      <c r="AB85" s="615"/>
      <c r="AC85" s="615"/>
      <c r="AD85" s="615"/>
      <c r="AE85" s="615"/>
      <c r="AF85" s="615"/>
      <c r="AG85" s="615"/>
      <c r="AH85" s="615"/>
      <c r="AI85" s="615"/>
      <c r="AJ85" s="615"/>
      <c r="AK85" s="615"/>
      <c r="AL85" s="615"/>
      <c r="AM85" s="615"/>
      <c r="AN85" s="615"/>
      <c r="AO85" s="615"/>
      <c r="AP85" s="615"/>
      <c r="AQ85" s="615"/>
      <c r="AR85" s="615"/>
      <c r="AS85" s="615"/>
    </row>
    <row r="86" spans="12:45">
      <c r="L86" s="615"/>
      <c r="M86" s="615"/>
      <c r="AB86" s="615"/>
      <c r="AC86" s="615"/>
      <c r="AD86" s="615"/>
      <c r="AE86" s="615"/>
      <c r="AF86" s="615"/>
      <c r="AG86" s="615"/>
      <c r="AH86" s="615"/>
      <c r="AI86" s="615"/>
      <c r="AJ86" s="615"/>
      <c r="AK86" s="615"/>
      <c r="AL86" s="615"/>
      <c r="AM86" s="615"/>
      <c r="AN86" s="615"/>
      <c r="AO86" s="615"/>
      <c r="AP86" s="615"/>
      <c r="AQ86" s="615"/>
      <c r="AR86" s="615"/>
      <c r="AS86" s="615"/>
    </row>
    <row r="87" spans="12:45">
      <c r="L87" s="615"/>
      <c r="M87" s="615"/>
      <c r="AB87" s="615"/>
      <c r="AC87" s="615"/>
      <c r="AD87" s="615"/>
      <c r="AE87" s="615"/>
      <c r="AF87" s="615"/>
      <c r="AG87" s="615"/>
      <c r="AH87" s="615"/>
      <c r="AI87" s="615"/>
      <c r="AJ87" s="615"/>
      <c r="AK87" s="615"/>
      <c r="AL87" s="615"/>
      <c r="AM87" s="615"/>
      <c r="AN87" s="615"/>
      <c r="AO87" s="615"/>
      <c r="AP87" s="615"/>
      <c r="AQ87" s="615"/>
      <c r="AR87" s="615"/>
      <c r="AS87" s="615"/>
    </row>
    <row r="88" spans="12:45">
      <c r="L88" s="615"/>
      <c r="M88" s="615"/>
      <c r="AB88" s="615"/>
      <c r="AC88" s="615"/>
      <c r="AD88" s="615"/>
      <c r="AE88" s="615"/>
      <c r="AF88" s="615"/>
      <c r="AG88" s="615"/>
      <c r="AH88" s="615"/>
      <c r="AI88" s="615"/>
      <c r="AJ88" s="615"/>
      <c r="AK88" s="615"/>
      <c r="AL88" s="615"/>
      <c r="AM88" s="615"/>
      <c r="AN88" s="615"/>
      <c r="AO88" s="615"/>
      <c r="AP88" s="615"/>
      <c r="AQ88" s="615"/>
      <c r="AR88" s="615"/>
      <c r="AS88" s="615"/>
    </row>
    <row r="89" spans="12:45">
      <c r="L89" s="615"/>
      <c r="M89" s="615"/>
      <c r="AB89" s="615"/>
      <c r="AC89" s="615"/>
      <c r="AD89" s="615"/>
      <c r="AE89" s="615"/>
      <c r="AF89" s="615"/>
      <c r="AG89" s="615"/>
      <c r="AH89" s="615"/>
      <c r="AI89" s="615"/>
      <c r="AJ89" s="615"/>
      <c r="AK89" s="615"/>
      <c r="AL89" s="615"/>
      <c r="AM89" s="615"/>
      <c r="AN89" s="615"/>
      <c r="AO89" s="615"/>
      <c r="AP89" s="615"/>
      <c r="AQ89" s="615"/>
      <c r="AR89" s="615"/>
      <c r="AS89" s="615"/>
    </row>
    <row r="90" spans="12:45">
      <c r="L90" s="615"/>
      <c r="M90" s="615"/>
      <c r="AB90" s="615"/>
      <c r="AC90" s="615"/>
      <c r="AD90" s="615"/>
      <c r="AE90" s="615"/>
      <c r="AF90" s="615"/>
      <c r="AG90" s="615"/>
      <c r="AH90" s="615"/>
      <c r="AI90" s="615"/>
      <c r="AJ90" s="615"/>
      <c r="AK90" s="615"/>
      <c r="AL90" s="615"/>
      <c r="AM90" s="615"/>
      <c r="AN90" s="615"/>
      <c r="AO90" s="615"/>
      <c r="AP90" s="615"/>
      <c r="AQ90" s="615"/>
      <c r="AR90" s="615"/>
      <c r="AS90" s="615"/>
    </row>
    <row r="91" spans="12:45">
      <c r="L91" s="615"/>
      <c r="M91" s="615"/>
      <c r="AB91" s="615"/>
      <c r="AC91" s="615"/>
      <c r="AD91" s="615"/>
      <c r="AE91" s="615"/>
      <c r="AF91" s="615"/>
      <c r="AG91" s="615"/>
      <c r="AH91" s="615"/>
      <c r="AI91" s="615"/>
      <c r="AJ91" s="615"/>
      <c r="AK91" s="615"/>
      <c r="AL91" s="615"/>
      <c r="AM91" s="615"/>
      <c r="AN91" s="615"/>
      <c r="AO91" s="615"/>
      <c r="AP91" s="615"/>
      <c r="AQ91" s="615"/>
      <c r="AR91" s="615"/>
      <c r="AS91" s="615"/>
    </row>
    <row r="92" spans="12:45">
      <c r="L92" s="615"/>
      <c r="M92" s="615"/>
      <c r="AB92" s="615"/>
      <c r="AC92" s="615"/>
      <c r="AD92" s="615"/>
      <c r="AE92" s="615"/>
      <c r="AF92" s="615"/>
      <c r="AG92" s="615"/>
      <c r="AH92" s="615"/>
      <c r="AI92" s="615"/>
      <c r="AJ92" s="615"/>
      <c r="AK92" s="615"/>
      <c r="AL92" s="615"/>
      <c r="AM92" s="615"/>
      <c r="AN92" s="615"/>
      <c r="AO92" s="615"/>
      <c r="AP92" s="615"/>
      <c r="AQ92" s="615"/>
      <c r="AR92" s="615"/>
      <c r="AS92" s="615"/>
    </row>
    <row r="93" spans="12:45">
      <c r="L93" s="615"/>
      <c r="M93" s="615"/>
      <c r="AB93" s="615"/>
      <c r="AC93" s="615"/>
      <c r="AD93" s="615"/>
      <c r="AE93" s="615"/>
      <c r="AF93" s="615"/>
      <c r="AG93" s="615"/>
      <c r="AH93" s="615"/>
      <c r="AI93" s="615"/>
      <c r="AJ93" s="615"/>
      <c r="AK93" s="615"/>
      <c r="AL93" s="615"/>
      <c r="AM93" s="615"/>
      <c r="AN93" s="615"/>
      <c r="AO93" s="615"/>
      <c r="AP93" s="615"/>
      <c r="AQ93" s="615"/>
      <c r="AR93" s="615"/>
      <c r="AS93" s="615"/>
    </row>
    <row r="94" spans="12:45">
      <c r="L94" s="615"/>
      <c r="M94" s="615"/>
      <c r="AB94" s="615"/>
      <c r="AC94" s="615"/>
      <c r="AD94" s="615"/>
      <c r="AE94" s="615"/>
      <c r="AF94" s="615"/>
      <c r="AG94" s="615"/>
      <c r="AH94" s="615"/>
      <c r="AI94" s="615"/>
      <c r="AJ94" s="615"/>
      <c r="AK94" s="615"/>
      <c r="AL94" s="615"/>
      <c r="AM94" s="615"/>
      <c r="AN94" s="615"/>
      <c r="AO94" s="615"/>
      <c r="AP94" s="615"/>
      <c r="AQ94" s="615"/>
      <c r="AR94" s="615"/>
      <c r="AS94" s="615"/>
    </row>
    <row r="95" spans="12:45">
      <c r="L95" s="615"/>
      <c r="M95" s="615"/>
      <c r="AB95" s="615"/>
      <c r="AC95" s="615"/>
      <c r="AD95" s="615"/>
      <c r="AE95" s="615"/>
      <c r="AF95" s="615"/>
      <c r="AG95" s="615"/>
      <c r="AH95" s="615"/>
      <c r="AI95" s="615"/>
      <c r="AJ95" s="615"/>
      <c r="AK95" s="615"/>
      <c r="AL95" s="615"/>
      <c r="AM95" s="615"/>
      <c r="AN95" s="615"/>
      <c r="AO95" s="615"/>
      <c r="AP95" s="615"/>
      <c r="AQ95" s="615"/>
      <c r="AR95" s="615"/>
      <c r="AS95" s="615"/>
    </row>
    <row r="96" spans="12:45">
      <c r="L96" s="615"/>
      <c r="M96" s="615"/>
      <c r="AB96" s="615"/>
      <c r="AC96" s="615"/>
      <c r="AD96" s="615"/>
      <c r="AE96" s="615"/>
      <c r="AF96" s="615"/>
      <c r="AG96" s="615"/>
      <c r="AH96" s="615"/>
      <c r="AI96" s="615"/>
      <c r="AJ96" s="615"/>
      <c r="AK96" s="615"/>
      <c r="AL96" s="615"/>
      <c r="AM96" s="615"/>
      <c r="AN96" s="615"/>
      <c r="AO96" s="615"/>
      <c r="AP96" s="615"/>
      <c r="AQ96" s="615"/>
      <c r="AR96" s="615"/>
      <c r="AS96" s="615"/>
    </row>
    <row r="97" spans="12:45">
      <c r="L97" s="615"/>
      <c r="M97" s="615"/>
      <c r="AB97" s="615"/>
      <c r="AC97" s="615"/>
      <c r="AD97" s="615"/>
      <c r="AE97" s="615"/>
      <c r="AF97" s="615"/>
      <c r="AG97" s="615"/>
      <c r="AH97" s="615"/>
      <c r="AI97" s="615"/>
      <c r="AJ97" s="615"/>
      <c r="AK97" s="615"/>
      <c r="AL97" s="615"/>
      <c r="AM97" s="615"/>
      <c r="AN97" s="615"/>
      <c r="AO97" s="615"/>
      <c r="AP97" s="615"/>
      <c r="AQ97" s="615"/>
      <c r="AR97" s="615"/>
      <c r="AS97" s="615"/>
    </row>
    <row r="98" spans="12:45">
      <c r="L98" s="615"/>
      <c r="M98" s="615"/>
      <c r="AB98" s="615"/>
      <c r="AC98" s="615"/>
      <c r="AD98" s="615"/>
      <c r="AE98" s="615"/>
      <c r="AF98" s="615"/>
      <c r="AG98" s="615"/>
      <c r="AH98" s="615"/>
      <c r="AI98" s="615"/>
      <c r="AJ98" s="615"/>
      <c r="AK98" s="615"/>
      <c r="AL98" s="615"/>
      <c r="AM98" s="615"/>
      <c r="AN98" s="615"/>
      <c r="AO98" s="615"/>
      <c r="AP98" s="615"/>
      <c r="AQ98" s="615"/>
      <c r="AR98" s="615"/>
      <c r="AS98" s="615"/>
    </row>
    <row r="99" spans="12:45">
      <c r="L99" s="615"/>
      <c r="M99" s="615"/>
      <c r="AB99" s="615"/>
      <c r="AC99" s="615"/>
      <c r="AD99" s="615"/>
      <c r="AE99" s="615"/>
      <c r="AF99" s="615"/>
      <c r="AG99" s="615"/>
      <c r="AH99" s="615"/>
      <c r="AI99" s="615"/>
      <c r="AJ99" s="615"/>
      <c r="AK99" s="615"/>
      <c r="AL99" s="615"/>
      <c r="AM99" s="615"/>
      <c r="AN99" s="615"/>
      <c r="AO99" s="615"/>
      <c r="AP99" s="615"/>
      <c r="AQ99" s="615"/>
      <c r="AR99" s="615"/>
      <c r="AS99" s="615"/>
    </row>
    <row r="100" spans="12:45">
      <c r="L100" s="615"/>
      <c r="M100" s="615"/>
      <c r="AB100" s="615"/>
      <c r="AC100" s="615"/>
      <c r="AD100" s="615"/>
      <c r="AE100" s="615"/>
      <c r="AF100" s="615"/>
      <c r="AG100" s="615"/>
      <c r="AH100" s="615"/>
      <c r="AI100" s="615"/>
      <c r="AJ100" s="615"/>
      <c r="AK100" s="615"/>
      <c r="AL100" s="615"/>
      <c r="AM100" s="615"/>
      <c r="AN100" s="615"/>
      <c r="AO100" s="615"/>
      <c r="AP100" s="615"/>
      <c r="AQ100" s="615"/>
      <c r="AR100" s="615"/>
      <c r="AS100" s="615"/>
    </row>
    <row r="101" spans="12:45">
      <c r="L101" s="615"/>
      <c r="M101" s="615"/>
      <c r="AB101" s="615"/>
      <c r="AC101" s="615"/>
      <c r="AD101" s="615"/>
      <c r="AE101" s="615"/>
      <c r="AF101" s="615"/>
      <c r="AG101" s="615"/>
      <c r="AH101" s="615"/>
      <c r="AI101" s="615"/>
      <c r="AJ101" s="615"/>
      <c r="AK101" s="615"/>
      <c r="AL101" s="615"/>
      <c r="AM101" s="615"/>
      <c r="AN101" s="615"/>
      <c r="AO101" s="615"/>
      <c r="AP101" s="615"/>
      <c r="AQ101" s="615"/>
      <c r="AR101" s="615"/>
      <c r="AS101" s="615"/>
    </row>
    <row r="102" spans="12:45">
      <c r="L102" s="615"/>
      <c r="M102" s="615"/>
      <c r="AB102" s="615"/>
      <c r="AC102" s="615"/>
      <c r="AD102" s="615"/>
      <c r="AE102" s="615"/>
      <c r="AF102" s="615"/>
      <c r="AG102" s="615"/>
      <c r="AH102" s="615"/>
      <c r="AI102" s="615"/>
      <c r="AJ102" s="615"/>
      <c r="AK102" s="615"/>
      <c r="AL102" s="615"/>
      <c r="AM102" s="615"/>
      <c r="AN102" s="615"/>
      <c r="AO102" s="615"/>
      <c r="AP102" s="615"/>
      <c r="AQ102" s="615"/>
      <c r="AR102" s="615"/>
      <c r="AS102" s="615"/>
    </row>
    <row r="103" spans="12:45">
      <c r="L103" s="615"/>
      <c r="M103" s="615"/>
      <c r="AB103" s="615"/>
      <c r="AC103" s="615"/>
      <c r="AD103" s="615"/>
      <c r="AE103" s="615"/>
      <c r="AF103" s="615"/>
      <c r="AG103" s="615"/>
      <c r="AH103" s="615"/>
      <c r="AI103" s="615"/>
      <c r="AJ103" s="615"/>
      <c r="AK103" s="615"/>
      <c r="AL103" s="615"/>
      <c r="AM103" s="615"/>
      <c r="AN103" s="615"/>
      <c r="AO103" s="615"/>
      <c r="AP103" s="615"/>
      <c r="AQ103" s="615"/>
      <c r="AR103" s="615"/>
      <c r="AS103" s="615"/>
    </row>
    <row r="104" spans="12:45">
      <c r="L104" s="615"/>
      <c r="M104" s="615"/>
      <c r="AB104" s="615"/>
      <c r="AC104" s="615"/>
      <c r="AD104" s="615"/>
      <c r="AE104" s="615"/>
      <c r="AF104" s="615"/>
      <c r="AG104" s="615"/>
      <c r="AH104" s="615"/>
      <c r="AI104" s="615"/>
      <c r="AJ104" s="615"/>
      <c r="AK104" s="615"/>
      <c r="AL104" s="615"/>
      <c r="AM104" s="615"/>
      <c r="AN104" s="615"/>
      <c r="AO104" s="615"/>
      <c r="AP104" s="615"/>
      <c r="AQ104" s="615"/>
      <c r="AR104" s="615"/>
      <c r="AS104" s="615"/>
    </row>
    <row r="105" spans="12:45">
      <c r="L105" s="615"/>
      <c r="M105" s="615"/>
      <c r="AB105" s="615"/>
      <c r="AC105" s="615"/>
      <c r="AD105" s="615"/>
      <c r="AE105" s="615"/>
      <c r="AF105" s="615"/>
      <c r="AG105" s="615"/>
      <c r="AH105" s="615"/>
      <c r="AI105" s="615"/>
      <c r="AJ105" s="615"/>
      <c r="AK105" s="615"/>
      <c r="AL105" s="615"/>
      <c r="AM105" s="615"/>
      <c r="AN105" s="615"/>
      <c r="AO105" s="615"/>
      <c r="AP105" s="615"/>
      <c r="AQ105" s="615"/>
      <c r="AR105" s="615"/>
      <c r="AS105" s="615"/>
    </row>
    <row r="106" spans="12:45">
      <c r="L106" s="615"/>
      <c r="M106" s="615"/>
      <c r="AB106" s="615"/>
      <c r="AC106" s="615"/>
      <c r="AD106" s="615"/>
      <c r="AE106" s="615"/>
      <c r="AF106" s="615"/>
      <c r="AG106" s="615"/>
      <c r="AH106" s="615"/>
      <c r="AI106" s="615"/>
      <c r="AJ106" s="615"/>
      <c r="AK106" s="615"/>
      <c r="AL106" s="615"/>
      <c r="AM106" s="615"/>
      <c r="AN106" s="615"/>
      <c r="AO106" s="615"/>
      <c r="AP106" s="615"/>
      <c r="AQ106" s="615"/>
      <c r="AR106" s="615"/>
      <c r="AS106" s="615"/>
    </row>
    <row r="107" spans="12:45">
      <c r="L107" s="615"/>
      <c r="M107" s="615"/>
      <c r="AB107" s="615"/>
      <c r="AC107" s="615"/>
      <c r="AD107" s="615"/>
      <c r="AE107" s="615"/>
      <c r="AF107" s="615"/>
      <c r="AG107" s="615"/>
      <c r="AH107" s="615"/>
      <c r="AI107" s="615"/>
      <c r="AJ107" s="615"/>
      <c r="AK107" s="615"/>
      <c r="AL107" s="615"/>
      <c r="AM107" s="615"/>
      <c r="AN107" s="615"/>
      <c r="AO107" s="615"/>
      <c r="AP107" s="615"/>
      <c r="AQ107" s="615"/>
      <c r="AR107" s="615"/>
      <c r="AS107" s="615"/>
    </row>
    <row r="108" spans="12:45">
      <c r="L108" s="615"/>
      <c r="M108" s="615"/>
      <c r="AB108" s="615"/>
      <c r="AC108" s="615"/>
      <c r="AD108" s="615"/>
      <c r="AE108" s="615"/>
      <c r="AF108" s="615"/>
      <c r="AG108" s="615"/>
      <c r="AH108" s="615"/>
      <c r="AI108" s="615"/>
      <c r="AJ108" s="615"/>
      <c r="AK108" s="615"/>
      <c r="AL108" s="615"/>
      <c r="AM108" s="615"/>
      <c r="AN108" s="615"/>
      <c r="AO108" s="615"/>
      <c r="AP108" s="615"/>
      <c r="AQ108" s="615"/>
      <c r="AR108" s="615"/>
      <c r="AS108" s="615"/>
    </row>
    <row r="109" spans="12:45">
      <c r="L109" s="615"/>
      <c r="M109" s="615"/>
      <c r="AB109" s="615"/>
      <c r="AC109" s="615"/>
      <c r="AD109" s="615"/>
      <c r="AE109" s="615"/>
      <c r="AF109" s="615"/>
      <c r="AG109" s="615"/>
      <c r="AH109" s="615"/>
      <c r="AI109" s="615"/>
      <c r="AJ109" s="615"/>
      <c r="AK109" s="615"/>
      <c r="AL109" s="615"/>
      <c r="AM109" s="615"/>
      <c r="AN109" s="615"/>
      <c r="AO109" s="615"/>
      <c r="AP109" s="615"/>
      <c r="AQ109" s="615"/>
      <c r="AR109" s="615"/>
      <c r="AS109" s="615"/>
    </row>
    <row r="110" spans="12:45">
      <c r="L110" s="615"/>
      <c r="M110" s="615"/>
      <c r="AB110" s="615"/>
      <c r="AC110" s="615"/>
      <c r="AD110" s="615"/>
      <c r="AE110" s="615"/>
      <c r="AF110" s="615"/>
      <c r="AG110" s="615"/>
      <c r="AH110" s="615"/>
      <c r="AI110" s="615"/>
      <c r="AJ110" s="615"/>
      <c r="AK110" s="615"/>
      <c r="AL110" s="615"/>
      <c r="AM110" s="615"/>
      <c r="AN110" s="615"/>
      <c r="AO110" s="615"/>
      <c r="AP110" s="615"/>
      <c r="AQ110" s="615"/>
      <c r="AR110" s="615"/>
      <c r="AS110" s="615"/>
    </row>
    <row r="111" spans="12:45">
      <c r="L111" s="615"/>
      <c r="M111" s="615"/>
      <c r="AB111" s="615"/>
      <c r="AC111" s="615"/>
      <c r="AD111" s="615"/>
      <c r="AE111" s="615"/>
      <c r="AF111" s="615"/>
      <c r="AG111" s="615"/>
      <c r="AH111" s="615"/>
      <c r="AI111" s="615"/>
      <c r="AJ111" s="615"/>
      <c r="AK111" s="615"/>
      <c r="AL111" s="615"/>
      <c r="AM111" s="615"/>
      <c r="AN111" s="615"/>
      <c r="AO111" s="615"/>
      <c r="AP111" s="615"/>
      <c r="AQ111" s="615"/>
      <c r="AR111" s="615"/>
      <c r="AS111" s="615"/>
    </row>
    <row r="112" spans="12:45">
      <c r="L112" s="615"/>
      <c r="M112" s="615"/>
      <c r="AB112" s="615"/>
      <c r="AC112" s="615"/>
      <c r="AD112" s="615"/>
      <c r="AE112" s="615"/>
      <c r="AF112" s="615"/>
      <c r="AG112" s="615"/>
      <c r="AH112" s="615"/>
      <c r="AI112" s="615"/>
      <c r="AJ112" s="615"/>
      <c r="AK112" s="615"/>
      <c r="AL112" s="615"/>
      <c r="AM112" s="615"/>
      <c r="AN112" s="615"/>
      <c r="AO112" s="615"/>
      <c r="AP112" s="615"/>
      <c r="AQ112" s="615"/>
      <c r="AR112" s="615"/>
      <c r="AS112" s="615"/>
    </row>
    <row r="113" spans="12:45">
      <c r="L113" s="615"/>
      <c r="M113" s="615"/>
      <c r="AB113" s="615"/>
      <c r="AC113" s="615"/>
      <c r="AD113" s="615"/>
      <c r="AE113" s="615"/>
      <c r="AF113" s="615"/>
      <c r="AG113" s="615"/>
      <c r="AH113" s="615"/>
      <c r="AI113" s="615"/>
      <c r="AJ113" s="615"/>
      <c r="AK113" s="615"/>
      <c r="AL113" s="615"/>
      <c r="AM113" s="615"/>
      <c r="AN113" s="615"/>
      <c r="AO113" s="615"/>
      <c r="AP113" s="615"/>
      <c r="AQ113" s="615"/>
      <c r="AR113" s="615"/>
      <c r="AS113" s="615"/>
    </row>
    <row r="114" spans="12:45">
      <c r="L114" s="615"/>
      <c r="M114" s="615"/>
      <c r="AB114" s="615"/>
      <c r="AC114" s="615"/>
      <c r="AD114" s="615"/>
      <c r="AE114" s="615"/>
      <c r="AF114" s="615"/>
      <c r="AG114" s="615"/>
      <c r="AH114" s="615"/>
      <c r="AI114" s="615"/>
      <c r="AJ114" s="615"/>
      <c r="AK114" s="615"/>
      <c r="AL114" s="615"/>
      <c r="AM114" s="615"/>
      <c r="AN114" s="615"/>
      <c r="AO114" s="615"/>
      <c r="AP114" s="615"/>
      <c r="AQ114" s="615"/>
      <c r="AR114" s="615"/>
      <c r="AS114" s="615"/>
    </row>
    <row r="115" spans="12:45">
      <c r="L115" s="615"/>
      <c r="M115" s="615"/>
      <c r="AB115" s="615"/>
      <c r="AC115" s="615"/>
      <c r="AD115" s="615"/>
      <c r="AE115" s="615"/>
      <c r="AF115" s="615"/>
      <c r="AG115" s="615"/>
      <c r="AH115" s="615"/>
      <c r="AI115" s="615"/>
      <c r="AJ115" s="615"/>
      <c r="AK115" s="615"/>
      <c r="AL115" s="615"/>
      <c r="AM115" s="615"/>
      <c r="AN115" s="615"/>
      <c r="AO115" s="615"/>
      <c r="AP115" s="615"/>
      <c r="AQ115" s="615"/>
      <c r="AR115" s="615"/>
      <c r="AS115" s="615"/>
    </row>
    <row r="116" spans="12:45">
      <c r="L116" s="615"/>
      <c r="M116" s="615"/>
      <c r="AB116" s="615"/>
      <c r="AC116" s="615"/>
      <c r="AD116" s="615"/>
      <c r="AE116" s="615"/>
      <c r="AF116" s="615"/>
      <c r="AG116" s="615"/>
      <c r="AH116" s="615"/>
      <c r="AI116" s="615"/>
      <c r="AJ116" s="615"/>
      <c r="AK116" s="615"/>
      <c r="AL116" s="615"/>
      <c r="AM116" s="615"/>
      <c r="AN116" s="615"/>
      <c r="AO116" s="615"/>
      <c r="AP116" s="615"/>
      <c r="AQ116" s="615"/>
      <c r="AR116" s="615"/>
      <c r="AS116" s="615"/>
    </row>
    <row r="117" spans="12:45">
      <c r="L117" s="615"/>
      <c r="M117" s="615"/>
      <c r="AB117" s="615"/>
      <c r="AC117" s="615"/>
      <c r="AD117" s="615"/>
      <c r="AE117" s="615"/>
      <c r="AF117" s="615"/>
      <c r="AG117" s="615"/>
      <c r="AH117" s="615"/>
      <c r="AI117" s="615"/>
      <c r="AJ117" s="615"/>
      <c r="AK117" s="615"/>
      <c r="AL117" s="615"/>
      <c r="AM117" s="615"/>
      <c r="AN117" s="615"/>
      <c r="AO117" s="615"/>
      <c r="AP117" s="615"/>
      <c r="AQ117" s="615"/>
      <c r="AR117" s="615"/>
      <c r="AS117" s="615"/>
    </row>
    <row r="118" spans="12:45">
      <c r="L118" s="615"/>
      <c r="M118" s="615"/>
      <c r="AB118" s="615"/>
      <c r="AC118" s="615"/>
      <c r="AD118" s="615"/>
      <c r="AE118" s="615"/>
      <c r="AF118" s="615"/>
      <c r="AG118" s="615"/>
      <c r="AH118" s="615"/>
      <c r="AI118" s="615"/>
      <c r="AJ118" s="615"/>
      <c r="AK118" s="615"/>
      <c r="AL118" s="615"/>
      <c r="AM118" s="615"/>
      <c r="AN118" s="615"/>
      <c r="AO118" s="615"/>
      <c r="AP118" s="615"/>
      <c r="AQ118" s="615"/>
      <c r="AR118" s="615"/>
      <c r="AS118" s="615"/>
    </row>
    <row r="119" spans="12:45">
      <c r="L119" s="615"/>
      <c r="M119" s="615"/>
      <c r="AB119" s="615"/>
      <c r="AC119" s="615"/>
      <c r="AD119" s="615"/>
      <c r="AE119" s="615"/>
      <c r="AF119" s="615"/>
      <c r="AG119" s="615"/>
      <c r="AH119" s="615"/>
      <c r="AI119" s="615"/>
      <c r="AJ119" s="615"/>
      <c r="AK119" s="615"/>
      <c r="AL119" s="615"/>
      <c r="AM119" s="615"/>
      <c r="AN119" s="615"/>
      <c r="AO119" s="615"/>
      <c r="AP119" s="615"/>
      <c r="AQ119" s="615"/>
      <c r="AR119" s="615"/>
      <c r="AS119" s="615"/>
    </row>
    <row r="120" spans="12:45">
      <c r="L120" s="615"/>
      <c r="M120" s="615"/>
      <c r="AB120" s="615"/>
      <c r="AC120" s="615"/>
      <c r="AD120" s="615"/>
      <c r="AE120" s="615"/>
      <c r="AF120" s="615"/>
      <c r="AG120" s="615"/>
      <c r="AH120" s="615"/>
      <c r="AI120" s="615"/>
      <c r="AJ120" s="615"/>
      <c r="AK120" s="615"/>
      <c r="AL120" s="615"/>
      <c r="AM120" s="615"/>
      <c r="AN120" s="615"/>
      <c r="AO120" s="615"/>
      <c r="AP120" s="615"/>
      <c r="AQ120" s="615"/>
      <c r="AR120" s="615"/>
      <c r="AS120" s="615"/>
    </row>
    <row r="121" spans="12:45">
      <c r="L121" s="615"/>
      <c r="M121" s="615"/>
      <c r="AB121" s="615"/>
      <c r="AC121" s="615"/>
      <c r="AD121" s="615"/>
      <c r="AE121" s="615"/>
      <c r="AF121" s="615"/>
      <c r="AG121" s="615"/>
      <c r="AH121" s="615"/>
      <c r="AI121" s="615"/>
      <c r="AJ121" s="615"/>
      <c r="AK121" s="615"/>
      <c r="AL121" s="615"/>
      <c r="AM121" s="615"/>
      <c r="AN121" s="615"/>
      <c r="AO121" s="615"/>
      <c r="AP121" s="615"/>
      <c r="AQ121" s="615"/>
      <c r="AR121" s="615"/>
      <c r="AS121" s="615"/>
    </row>
    <row r="122" spans="12:45">
      <c r="L122" s="615"/>
      <c r="M122" s="615"/>
      <c r="AB122" s="615"/>
      <c r="AC122" s="615"/>
      <c r="AD122" s="615"/>
      <c r="AE122" s="615"/>
      <c r="AF122" s="615"/>
      <c r="AG122" s="615"/>
      <c r="AH122" s="615"/>
      <c r="AI122" s="615"/>
      <c r="AJ122" s="615"/>
      <c r="AK122" s="615"/>
      <c r="AL122" s="615"/>
      <c r="AM122" s="615"/>
      <c r="AN122" s="615"/>
      <c r="AO122" s="615"/>
      <c r="AP122" s="615"/>
      <c r="AQ122" s="615"/>
      <c r="AR122" s="615"/>
      <c r="AS122" s="615"/>
    </row>
    <row r="123" spans="12:45">
      <c r="L123" s="615"/>
      <c r="M123" s="615"/>
      <c r="AB123" s="615"/>
      <c r="AC123" s="615"/>
      <c r="AD123" s="615"/>
      <c r="AE123" s="615"/>
      <c r="AF123" s="615"/>
      <c r="AG123" s="615"/>
      <c r="AH123" s="615"/>
      <c r="AI123" s="615"/>
      <c r="AJ123" s="615"/>
      <c r="AK123" s="615"/>
      <c r="AL123" s="615"/>
      <c r="AM123" s="615"/>
      <c r="AN123" s="615"/>
      <c r="AO123" s="615"/>
      <c r="AP123" s="615"/>
      <c r="AQ123" s="615"/>
      <c r="AR123" s="615"/>
      <c r="AS123" s="615"/>
    </row>
    <row r="124" spans="12:45">
      <c r="L124" s="615"/>
      <c r="M124" s="615"/>
      <c r="AB124" s="615"/>
      <c r="AC124" s="615"/>
      <c r="AD124" s="615"/>
      <c r="AE124" s="615"/>
      <c r="AF124" s="615"/>
      <c r="AG124" s="615"/>
      <c r="AH124" s="615"/>
      <c r="AI124" s="615"/>
      <c r="AJ124" s="615"/>
      <c r="AK124" s="615"/>
      <c r="AL124" s="615"/>
      <c r="AM124" s="615"/>
      <c r="AN124" s="615"/>
      <c r="AO124" s="615"/>
      <c r="AP124" s="615"/>
      <c r="AQ124" s="615"/>
      <c r="AR124" s="615"/>
      <c r="AS124" s="615"/>
    </row>
    <row r="125" spans="12:45">
      <c r="L125" s="615"/>
      <c r="M125" s="615"/>
      <c r="AB125" s="615"/>
      <c r="AC125" s="615"/>
      <c r="AD125" s="615"/>
      <c r="AE125" s="615"/>
      <c r="AF125" s="615"/>
      <c r="AG125" s="615"/>
      <c r="AH125" s="615"/>
      <c r="AI125" s="615"/>
      <c r="AJ125" s="615"/>
      <c r="AK125" s="615"/>
      <c r="AL125" s="615"/>
      <c r="AM125" s="615"/>
      <c r="AN125" s="615"/>
      <c r="AO125" s="615"/>
      <c r="AP125" s="615"/>
      <c r="AQ125" s="615"/>
      <c r="AR125" s="615"/>
      <c r="AS125" s="615"/>
    </row>
    <row r="126" spans="12:45">
      <c r="L126" s="615"/>
      <c r="M126" s="615"/>
      <c r="AB126" s="615"/>
      <c r="AC126" s="615"/>
      <c r="AD126" s="615"/>
      <c r="AE126" s="615"/>
      <c r="AF126" s="615"/>
      <c r="AG126" s="615"/>
      <c r="AH126" s="615"/>
      <c r="AI126" s="615"/>
      <c r="AJ126" s="615"/>
      <c r="AK126" s="615"/>
      <c r="AL126" s="615"/>
      <c r="AM126" s="615"/>
      <c r="AN126" s="615"/>
      <c r="AO126" s="615"/>
      <c r="AP126" s="615"/>
      <c r="AQ126" s="615"/>
      <c r="AR126" s="615"/>
      <c r="AS126" s="615"/>
    </row>
    <row r="127" spans="12:45">
      <c r="L127" s="615"/>
      <c r="M127" s="615"/>
      <c r="AB127" s="615"/>
      <c r="AC127" s="615"/>
      <c r="AD127" s="615"/>
      <c r="AE127" s="615"/>
      <c r="AF127" s="615"/>
      <c r="AG127" s="615"/>
      <c r="AH127" s="615"/>
      <c r="AI127" s="615"/>
      <c r="AJ127" s="615"/>
      <c r="AK127" s="615"/>
      <c r="AL127" s="615"/>
      <c r="AM127" s="615"/>
      <c r="AN127" s="615"/>
      <c r="AO127" s="615"/>
      <c r="AP127" s="615"/>
      <c r="AQ127" s="615"/>
      <c r="AR127" s="615"/>
      <c r="AS127" s="615"/>
    </row>
    <row r="128" spans="12:45">
      <c r="L128" s="615"/>
      <c r="M128" s="615"/>
      <c r="AB128" s="615"/>
      <c r="AC128" s="615"/>
      <c r="AD128" s="615"/>
      <c r="AE128" s="615"/>
      <c r="AF128" s="615"/>
      <c r="AG128" s="615"/>
      <c r="AH128" s="615"/>
      <c r="AI128" s="615"/>
      <c r="AJ128" s="615"/>
      <c r="AK128" s="615"/>
      <c r="AL128" s="615"/>
      <c r="AM128" s="615"/>
      <c r="AN128" s="615"/>
      <c r="AO128" s="615"/>
      <c r="AP128" s="615"/>
      <c r="AQ128" s="615"/>
      <c r="AR128" s="615"/>
      <c r="AS128" s="615"/>
    </row>
    <row r="129" spans="12:45">
      <c r="L129" s="615"/>
      <c r="M129" s="615"/>
      <c r="AB129" s="615"/>
      <c r="AC129" s="615"/>
      <c r="AD129" s="615"/>
      <c r="AE129" s="615"/>
      <c r="AF129" s="615"/>
      <c r="AG129" s="615"/>
      <c r="AH129" s="615"/>
      <c r="AI129" s="615"/>
      <c r="AJ129" s="615"/>
      <c r="AK129" s="615"/>
      <c r="AL129" s="615"/>
      <c r="AM129" s="615"/>
      <c r="AN129" s="615"/>
      <c r="AO129" s="615"/>
      <c r="AP129" s="615"/>
      <c r="AQ129" s="615"/>
      <c r="AR129" s="615"/>
      <c r="AS129" s="615"/>
    </row>
    <row r="130" spans="12:45">
      <c r="L130" s="615"/>
      <c r="M130" s="615"/>
      <c r="AB130" s="615"/>
      <c r="AC130" s="615"/>
      <c r="AD130" s="615"/>
      <c r="AE130" s="615"/>
      <c r="AF130" s="615"/>
      <c r="AG130" s="615"/>
      <c r="AH130" s="615"/>
      <c r="AI130" s="615"/>
      <c r="AJ130" s="615"/>
      <c r="AK130" s="615"/>
      <c r="AL130" s="615"/>
      <c r="AM130" s="615"/>
      <c r="AN130" s="615"/>
      <c r="AO130" s="615"/>
      <c r="AP130" s="615"/>
      <c r="AQ130" s="615"/>
      <c r="AR130" s="615"/>
      <c r="AS130" s="615"/>
    </row>
    <row r="131" spans="12:45">
      <c r="L131" s="615"/>
      <c r="M131" s="615"/>
      <c r="AB131" s="615"/>
      <c r="AC131" s="615"/>
      <c r="AD131" s="615"/>
      <c r="AE131" s="615"/>
      <c r="AF131" s="615"/>
      <c r="AG131" s="615"/>
      <c r="AH131" s="615"/>
      <c r="AI131" s="615"/>
      <c r="AJ131" s="615"/>
      <c r="AK131" s="615"/>
      <c r="AL131" s="615"/>
      <c r="AM131" s="615"/>
      <c r="AN131" s="615"/>
      <c r="AO131" s="615"/>
      <c r="AP131" s="615"/>
      <c r="AQ131" s="615"/>
      <c r="AR131" s="615"/>
      <c r="AS131" s="615"/>
    </row>
    <row r="132" spans="12:45">
      <c r="L132" s="615"/>
      <c r="M132" s="615"/>
      <c r="AB132" s="615"/>
      <c r="AC132" s="615"/>
      <c r="AD132" s="615"/>
      <c r="AE132" s="615"/>
      <c r="AF132" s="615"/>
      <c r="AG132" s="615"/>
      <c r="AH132" s="615"/>
      <c r="AI132" s="615"/>
      <c r="AJ132" s="615"/>
      <c r="AK132" s="615"/>
      <c r="AL132" s="615"/>
      <c r="AM132" s="615"/>
      <c r="AN132" s="615"/>
      <c r="AO132" s="615"/>
      <c r="AP132" s="615"/>
      <c r="AQ132" s="615"/>
      <c r="AR132" s="615"/>
      <c r="AS132" s="615"/>
    </row>
    <row r="133" spans="12:45">
      <c r="L133" s="615"/>
      <c r="M133" s="615"/>
      <c r="AB133" s="615"/>
      <c r="AC133" s="615"/>
      <c r="AD133" s="615"/>
      <c r="AE133" s="615"/>
      <c r="AF133" s="615"/>
      <c r="AG133" s="615"/>
      <c r="AH133" s="615"/>
      <c r="AI133" s="615"/>
      <c r="AJ133" s="615"/>
      <c r="AK133" s="615"/>
      <c r="AL133" s="615"/>
      <c r="AM133" s="615"/>
      <c r="AN133" s="615"/>
      <c r="AO133" s="615"/>
      <c r="AP133" s="615"/>
      <c r="AQ133" s="615"/>
      <c r="AR133" s="615"/>
      <c r="AS133" s="615"/>
    </row>
    <row r="134" spans="12:45">
      <c r="L134" s="615"/>
      <c r="M134" s="615"/>
      <c r="AB134" s="615"/>
      <c r="AC134" s="615"/>
      <c r="AD134" s="615"/>
      <c r="AE134" s="615"/>
      <c r="AF134" s="615"/>
      <c r="AG134" s="615"/>
      <c r="AH134" s="615"/>
      <c r="AI134" s="615"/>
      <c r="AJ134" s="615"/>
      <c r="AK134" s="615"/>
      <c r="AL134" s="615"/>
      <c r="AM134" s="615"/>
      <c r="AN134" s="615"/>
      <c r="AO134" s="615"/>
      <c r="AP134" s="615"/>
      <c r="AQ134" s="615"/>
      <c r="AR134" s="615"/>
      <c r="AS134" s="615"/>
    </row>
    <row r="135" spans="12:45">
      <c r="L135" s="615"/>
      <c r="M135" s="615"/>
      <c r="AB135" s="615"/>
      <c r="AC135" s="615"/>
      <c r="AD135" s="615"/>
      <c r="AE135" s="615"/>
      <c r="AF135" s="615"/>
      <c r="AG135" s="615"/>
      <c r="AH135" s="615"/>
      <c r="AI135" s="615"/>
      <c r="AJ135" s="615"/>
      <c r="AK135" s="615"/>
      <c r="AL135" s="615"/>
      <c r="AM135" s="615"/>
      <c r="AN135" s="615"/>
      <c r="AO135" s="615"/>
      <c r="AP135" s="615"/>
      <c r="AQ135" s="615"/>
      <c r="AR135" s="615"/>
      <c r="AS135" s="615"/>
    </row>
    <row r="136" spans="12:45">
      <c r="L136" s="615"/>
      <c r="M136" s="615"/>
      <c r="AB136" s="615"/>
      <c r="AC136" s="615"/>
      <c r="AD136" s="615"/>
      <c r="AE136" s="615"/>
      <c r="AF136" s="615"/>
      <c r="AG136" s="615"/>
      <c r="AH136" s="615"/>
      <c r="AI136" s="615"/>
      <c r="AJ136" s="615"/>
      <c r="AK136" s="615"/>
      <c r="AL136" s="615"/>
      <c r="AM136" s="615"/>
      <c r="AN136" s="615"/>
      <c r="AO136" s="615"/>
      <c r="AP136" s="615"/>
      <c r="AQ136" s="615"/>
      <c r="AR136" s="615"/>
      <c r="AS136" s="615"/>
    </row>
    <row r="137" spans="12:45">
      <c r="L137" s="615"/>
      <c r="M137" s="615"/>
      <c r="AB137" s="615"/>
      <c r="AC137" s="615"/>
      <c r="AD137" s="615"/>
      <c r="AE137" s="615"/>
      <c r="AF137" s="615"/>
      <c r="AG137" s="615"/>
      <c r="AH137" s="615"/>
      <c r="AI137" s="615"/>
      <c r="AJ137" s="615"/>
      <c r="AK137" s="615"/>
      <c r="AL137" s="615"/>
      <c r="AM137" s="615"/>
      <c r="AN137" s="615"/>
      <c r="AO137" s="615"/>
      <c r="AP137" s="615"/>
      <c r="AQ137" s="615"/>
      <c r="AR137" s="615"/>
      <c r="AS137" s="615"/>
    </row>
    <row r="138" spans="12:45">
      <c r="L138" s="615"/>
      <c r="M138" s="615"/>
      <c r="AB138" s="615"/>
      <c r="AC138" s="615"/>
      <c r="AD138" s="615"/>
      <c r="AE138" s="615"/>
      <c r="AF138" s="615"/>
      <c r="AG138" s="615"/>
      <c r="AH138" s="615"/>
      <c r="AI138" s="615"/>
      <c r="AJ138" s="615"/>
      <c r="AK138" s="615"/>
      <c r="AL138" s="615"/>
      <c r="AM138" s="615"/>
      <c r="AN138" s="615"/>
      <c r="AO138" s="615"/>
      <c r="AP138" s="615"/>
      <c r="AQ138" s="615"/>
      <c r="AR138" s="615"/>
      <c r="AS138" s="615"/>
    </row>
    <row r="139" spans="12:45">
      <c r="L139" s="615"/>
      <c r="M139" s="615"/>
      <c r="AB139" s="615"/>
      <c r="AC139" s="615"/>
      <c r="AD139" s="615"/>
      <c r="AE139" s="615"/>
      <c r="AF139" s="615"/>
      <c r="AG139" s="615"/>
      <c r="AH139" s="615"/>
      <c r="AI139" s="615"/>
      <c r="AJ139" s="615"/>
      <c r="AK139" s="615"/>
      <c r="AL139" s="615"/>
      <c r="AM139" s="615"/>
      <c r="AN139" s="615"/>
      <c r="AO139" s="615"/>
      <c r="AP139" s="615"/>
      <c r="AQ139" s="615"/>
      <c r="AR139" s="615"/>
      <c r="AS139" s="615"/>
    </row>
    <row r="140" spans="12:45">
      <c r="L140" s="615"/>
      <c r="M140" s="615"/>
      <c r="AB140" s="615"/>
      <c r="AC140" s="615"/>
      <c r="AD140" s="615"/>
      <c r="AE140" s="615"/>
      <c r="AF140" s="615"/>
      <c r="AG140" s="615"/>
      <c r="AH140" s="615"/>
      <c r="AI140" s="615"/>
      <c r="AJ140" s="615"/>
      <c r="AK140" s="615"/>
      <c r="AL140" s="615"/>
      <c r="AM140" s="615"/>
      <c r="AN140" s="615"/>
      <c r="AO140" s="615"/>
      <c r="AP140" s="615"/>
      <c r="AQ140" s="615"/>
      <c r="AR140" s="615"/>
      <c r="AS140" s="615"/>
    </row>
    <row r="141" spans="12:45">
      <c r="L141" s="615"/>
      <c r="M141" s="615"/>
      <c r="AB141" s="615"/>
      <c r="AC141" s="615"/>
      <c r="AD141" s="615"/>
      <c r="AE141" s="615"/>
      <c r="AF141" s="615"/>
      <c r="AG141" s="615"/>
      <c r="AH141" s="615"/>
      <c r="AI141" s="615"/>
      <c r="AJ141" s="615"/>
      <c r="AK141" s="615"/>
      <c r="AL141" s="615"/>
      <c r="AM141" s="615"/>
      <c r="AN141" s="615"/>
      <c r="AO141" s="615"/>
      <c r="AP141" s="615"/>
      <c r="AQ141" s="615"/>
      <c r="AR141" s="615"/>
      <c r="AS141" s="615"/>
    </row>
    <row r="142" spans="12:45">
      <c r="L142" s="615"/>
      <c r="M142" s="615"/>
      <c r="AB142" s="615"/>
      <c r="AC142" s="615"/>
      <c r="AD142" s="615"/>
      <c r="AE142" s="615"/>
      <c r="AF142" s="615"/>
      <c r="AG142" s="615"/>
      <c r="AH142" s="615"/>
      <c r="AI142" s="615"/>
      <c r="AJ142" s="615"/>
      <c r="AK142" s="615"/>
      <c r="AL142" s="615"/>
      <c r="AM142" s="615"/>
      <c r="AN142" s="615"/>
      <c r="AO142" s="615"/>
      <c r="AP142" s="615"/>
      <c r="AQ142" s="615"/>
      <c r="AR142" s="615"/>
      <c r="AS142" s="615"/>
    </row>
    <row r="143" spans="12:45">
      <c r="L143" s="615"/>
      <c r="M143" s="615"/>
      <c r="AB143" s="615"/>
      <c r="AC143" s="615"/>
      <c r="AD143" s="615"/>
      <c r="AE143" s="615"/>
      <c r="AF143" s="615"/>
      <c r="AG143" s="615"/>
      <c r="AH143" s="615"/>
      <c r="AI143" s="615"/>
      <c r="AJ143" s="615"/>
      <c r="AK143" s="615"/>
      <c r="AL143" s="615"/>
      <c r="AM143" s="615"/>
      <c r="AN143" s="615"/>
      <c r="AO143" s="615"/>
      <c r="AP143" s="615"/>
      <c r="AQ143" s="615"/>
      <c r="AR143" s="615"/>
      <c r="AS143" s="615"/>
    </row>
    <row r="144" spans="12:45">
      <c r="L144" s="615"/>
      <c r="M144" s="615"/>
      <c r="AB144" s="615"/>
      <c r="AC144" s="615"/>
      <c r="AD144" s="615"/>
      <c r="AE144" s="615"/>
      <c r="AF144" s="615"/>
      <c r="AG144" s="615"/>
      <c r="AH144" s="615"/>
      <c r="AI144" s="615"/>
      <c r="AJ144" s="615"/>
      <c r="AK144" s="615"/>
      <c r="AL144" s="615"/>
      <c r="AM144" s="615"/>
      <c r="AN144" s="615"/>
      <c r="AO144" s="615"/>
      <c r="AP144" s="615"/>
      <c r="AQ144" s="615"/>
      <c r="AR144" s="615"/>
      <c r="AS144" s="615"/>
    </row>
    <row r="145" spans="12:45">
      <c r="L145" s="615"/>
      <c r="M145" s="615"/>
      <c r="AB145" s="615"/>
      <c r="AC145" s="615"/>
      <c r="AD145" s="615"/>
      <c r="AE145" s="615"/>
      <c r="AF145" s="615"/>
      <c r="AG145" s="615"/>
      <c r="AH145" s="615"/>
      <c r="AI145" s="615"/>
      <c r="AJ145" s="615"/>
      <c r="AK145" s="615"/>
      <c r="AL145" s="615"/>
      <c r="AM145" s="615"/>
      <c r="AN145" s="615"/>
      <c r="AO145" s="615"/>
      <c r="AP145" s="615"/>
      <c r="AQ145" s="615"/>
      <c r="AR145" s="615"/>
      <c r="AS145" s="615"/>
    </row>
    <row r="146" spans="12:45">
      <c r="L146" s="615"/>
      <c r="M146" s="615"/>
      <c r="AB146" s="615"/>
      <c r="AC146" s="615"/>
      <c r="AD146" s="615"/>
      <c r="AE146" s="615"/>
      <c r="AF146" s="615"/>
      <c r="AG146" s="615"/>
      <c r="AH146" s="615"/>
      <c r="AI146" s="615"/>
      <c r="AJ146" s="615"/>
      <c r="AK146" s="615"/>
      <c r="AL146" s="615"/>
      <c r="AM146" s="615"/>
      <c r="AN146" s="615"/>
      <c r="AO146" s="615"/>
      <c r="AP146" s="615"/>
      <c r="AQ146" s="615"/>
      <c r="AR146" s="615"/>
      <c r="AS146" s="615"/>
    </row>
    <row r="147" spans="12:45">
      <c r="L147" s="615"/>
      <c r="M147" s="615"/>
      <c r="AB147" s="615"/>
      <c r="AC147" s="615"/>
      <c r="AD147" s="615"/>
      <c r="AE147" s="615"/>
      <c r="AF147" s="615"/>
      <c r="AG147" s="615"/>
      <c r="AH147" s="615"/>
      <c r="AI147" s="615"/>
      <c r="AJ147" s="615"/>
      <c r="AK147" s="615"/>
      <c r="AL147" s="615"/>
      <c r="AM147" s="615"/>
      <c r="AN147" s="615"/>
      <c r="AO147" s="615"/>
      <c r="AP147" s="615"/>
      <c r="AQ147" s="615"/>
      <c r="AR147" s="615"/>
      <c r="AS147" s="615"/>
    </row>
    <row r="148" spans="12:45">
      <c r="L148" s="615"/>
      <c r="M148" s="615"/>
      <c r="AB148" s="615"/>
      <c r="AC148" s="615"/>
      <c r="AD148" s="615"/>
      <c r="AE148" s="615"/>
      <c r="AF148" s="615"/>
      <c r="AG148" s="615"/>
      <c r="AH148" s="615"/>
      <c r="AI148" s="615"/>
      <c r="AJ148" s="615"/>
      <c r="AK148" s="615"/>
      <c r="AL148" s="615"/>
      <c r="AM148" s="615"/>
      <c r="AN148" s="615"/>
      <c r="AO148" s="615"/>
      <c r="AP148" s="615"/>
      <c r="AQ148" s="615"/>
      <c r="AR148" s="615"/>
      <c r="AS148" s="615"/>
    </row>
    <row r="149" spans="12:45">
      <c r="L149" s="615"/>
      <c r="M149" s="615"/>
      <c r="AB149" s="615"/>
      <c r="AC149" s="615"/>
      <c r="AD149" s="615"/>
      <c r="AE149" s="615"/>
      <c r="AF149" s="615"/>
      <c r="AG149" s="615"/>
      <c r="AH149" s="615"/>
      <c r="AI149" s="615"/>
      <c r="AJ149" s="615"/>
      <c r="AK149" s="615"/>
      <c r="AL149" s="615"/>
      <c r="AM149" s="615"/>
      <c r="AN149" s="615"/>
      <c r="AO149" s="615"/>
      <c r="AP149" s="615"/>
      <c r="AQ149" s="615"/>
      <c r="AR149" s="615"/>
      <c r="AS149" s="615"/>
    </row>
    <row r="150" spans="12:45">
      <c r="L150" s="615"/>
      <c r="M150" s="615"/>
      <c r="AB150" s="615"/>
      <c r="AC150" s="615"/>
      <c r="AD150" s="615"/>
      <c r="AE150" s="615"/>
      <c r="AF150" s="615"/>
      <c r="AG150" s="615"/>
      <c r="AH150" s="615"/>
      <c r="AI150" s="615"/>
      <c r="AJ150" s="615"/>
      <c r="AK150" s="615"/>
      <c r="AL150" s="615"/>
      <c r="AM150" s="615"/>
      <c r="AN150" s="615"/>
      <c r="AO150" s="615"/>
      <c r="AP150" s="615"/>
      <c r="AQ150" s="615"/>
      <c r="AR150" s="615"/>
      <c r="AS150" s="615"/>
    </row>
    <row r="151" spans="12:45">
      <c r="L151" s="615"/>
      <c r="M151" s="615"/>
      <c r="AB151" s="615"/>
      <c r="AC151" s="615"/>
      <c r="AD151" s="615"/>
      <c r="AE151" s="615"/>
      <c r="AF151" s="615"/>
      <c r="AG151" s="615"/>
      <c r="AH151" s="615"/>
      <c r="AI151" s="615"/>
      <c r="AJ151" s="615"/>
      <c r="AK151" s="615"/>
      <c r="AL151" s="615"/>
      <c r="AM151" s="615"/>
      <c r="AN151" s="615"/>
      <c r="AO151" s="615"/>
      <c r="AP151" s="615"/>
      <c r="AQ151" s="615"/>
      <c r="AR151" s="615"/>
      <c r="AS151" s="615"/>
    </row>
    <row r="152" spans="12:45">
      <c r="L152" s="615"/>
      <c r="M152" s="615"/>
      <c r="AB152" s="615"/>
      <c r="AC152" s="615"/>
      <c r="AD152" s="615"/>
      <c r="AE152" s="615"/>
      <c r="AF152" s="615"/>
      <c r="AG152" s="615"/>
      <c r="AH152" s="615"/>
      <c r="AI152" s="615"/>
      <c r="AJ152" s="615"/>
      <c r="AK152" s="615"/>
      <c r="AL152" s="615"/>
      <c r="AM152" s="615"/>
      <c r="AN152" s="615"/>
      <c r="AO152" s="615"/>
      <c r="AP152" s="615"/>
      <c r="AQ152" s="615"/>
      <c r="AR152" s="615"/>
      <c r="AS152" s="615"/>
    </row>
    <row r="153" spans="12:45">
      <c r="L153" s="615"/>
      <c r="M153" s="615"/>
      <c r="AB153" s="615"/>
      <c r="AC153" s="615"/>
      <c r="AD153" s="615"/>
      <c r="AE153" s="615"/>
      <c r="AF153" s="615"/>
      <c r="AG153" s="615"/>
      <c r="AH153" s="615"/>
      <c r="AI153" s="615"/>
      <c r="AJ153" s="615"/>
      <c r="AK153" s="615"/>
      <c r="AL153" s="615"/>
      <c r="AM153" s="615"/>
      <c r="AN153" s="615"/>
      <c r="AO153" s="615"/>
      <c r="AP153" s="615"/>
      <c r="AQ153" s="615"/>
      <c r="AR153" s="615"/>
      <c r="AS153" s="615"/>
    </row>
    <row r="154" spans="12:45">
      <c r="L154" s="615"/>
      <c r="M154" s="615"/>
      <c r="AB154" s="615"/>
      <c r="AC154" s="615"/>
      <c r="AD154" s="615"/>
      <c r="AE154" s="615"/>
      <c r="AF154" s="615"/>
      <c r="AG154" s="615"/>
      <c r="AH154" s="615"/>
      <c r="AI154" s="615"/>
      <c r="AJ154" s="615"/>
      <c r="AK154" s="615"/>
      <c r="AL154" s="615"/>
      <c r="AM154" s="615"/>
      <c r="AN154" s="615"/>
      <c r="AO154" s="615"/>
      <c r="AP154" s="615"/>
      <c r="AQ154" s="615"/>
      <c r="AR154" s="615"/>
      <c r="AS154" s="615"/>
    </row>
    <row r="155" spans="12:45">
      <c r="L155" s="615"/>
      <c r="M155" s="615"/>
      <c r="AB155" s="615"/>
      <c r="AC155" s="615"/>
      <c r="AD155" s="615"/>
      <c r="AE155" s="615"/>
      <c r="AF155" s="615"/>
      <c r="AG155" s="615"/>
      <c r="AH155" s="615"/>
      <c r="AI155" s="615"/>
      <c r="AJ155" s="615"/>
      <c r="AK155" s="615"/>
      <c r="AL155" s="615"/>
      <c r="AM155" s="615"/>
      <c r="AN155" s="615"/>
      <c r="AO155" s="615"/>
      <c r="AP155" s="615"/>
      <c r="AQ155" s="615"/>
      <c r="AR155" s="615"/>
      <c r="AS155" s="615"/>
    </row>
    <row r="156" spans="12:45">
      <c r="L156" s="615"/>
      <c r="M156" s="615"/>
      <c r="AB156" s="615"/>
      <c r="AC156" s="615"/>
      <c r="AD156" s="615"/>
      <c r="AE156" s="615"/>
      <c r="AF156" s="615"/>
      <c r="AG156" s="615"/>
      <c r="AH156" s="615"/>
      <c r="AI156" s="615"/>
      <c r="AJ156" s="615"/>
      <c r="AK156" s="615"/>
      <c r="AL156" s="615"/>
      <c r="AM156" s="615"/>
      <c r="AN156" s="615"/>
      <c r="AO156" s="615"/>
      <c r="AP156" s="615"/>
      <c r="AQ156" s="615"/>
      <c r="AR156" s="615"/>
      <c r="AS156" s="615"/>
    </row>
    <row r="157" spans="12:45">
      <c r="L157" s="615"/>
      <c r="M157" s="615"/>
      <c r="AB157" s="615"/>
      <c r="AC157" s="615"/>
      <c r="AD157" s="615"/>
      <c r="AE157" s="615"/>
      <c r="AF157" s="615"/>
      <c r="AG157" s="615"/>
      <c r="AH157" s="615"/>
      <c r="AI157" s="615"/>
      <c r="AJ157" s="615"/>
      <c r="AK157" s="615"/>
      <c r="AL157" s="615"/>
      <c r="AM157" s="615"/>
      <c r="AN157" s="615"/>
      <c r="AO157" s="615"/>
      <c r="AP157" s="615"/>
      <c r="AQ157" s="615"/>
      <c r="AR157" s="615"/>
      <c r="AS157" s="615"/>
    </row>
    <row r="158" spans="12:45">
      <c r="L158" s="615"/>
      <c r="M158" s="615"/>
      <c r="AB158" s="615"/>
      <c r="AC158" s="615"/>
      <c r="AD158" s="615"/>
      <c r="AE158" s="615"/>
      <c r="AF158" s="615"/>
      <c r="AG158" s="615"/>
      <c r="AH158" s="615"/>
      <c r="AI158" s="615"/>
      <c r="AJ158" s="615"/>
      <c r="AK158" s="615"/>
      <c r="AL158" s="615"/>
      <c r="AM158" s="615"/>
      <c r="AN158" s="615"/>
      <c r="AO158" s="615"/>
      <c r="AP158" s="615"/>
      <c r="AQ158" s="615"/>
      <c r="AR158" s="615"/>
      <c r="AS158" s="615"/>
    </row>
    <row r="159" spans="12:45">
      <c r="L159" s="615"/>
      <c r="M159" s="615"/>
      <c r="AB159" s="615"/>
      <c r="AC159" s="615"/>
      <c r="AD159" s="615"/>
      <c r="AE159" s="615"/>
      <c r="AF159" s="615"/>
      <c r="AG159" s="615"/>
      <c r="AH159" s="615"/>
      <c r="AI159" s="615"/>
      <c r="AJ159" s="615"/>
      <c r="AK159" s="615"/>
      <c r="AL159" s="615"/>
      <c r="AM159" s="615"/>
      <c r="AN159" s="615"/>
      <c r="AO159" s="615"/>
      <c r="AP159" s="615"/>
      <c r="AQ159" s="615"/>
      <c r="AR159" s="615"/>
      <c r="AS159" s="615"/>
    </row>
    <row r="160" spans="12:45">
      <c r="L160" s="615"/>
      <c r="M160" s="615"/>
      <c r="AB160" s="615"/>
      <c r="AC160" s="615"/>
      <c r="AD160" s="615"/>
      <c r="AE160" s="615"/>
      <c r="AF160" s="615"/>
      <c r="AG160" s="615"/>
      <c r="AH160" s="615"/>
      <c r="AI160" s="615"/>
      <c r="AJ160" s="615"/>
      <c r="AK160" s="615"/>
      <c r="AL160" s="615"/>
      <c r="AM160" s="615"/>
      <c r="AN160" s="615"/>
      <c r="AO160" s="615"/>
      <c r="AP160" s="615"/>
      <c r="AQ160" s="615"/>
      <c r="AR160" s="615"/>
      <c r="AS160" s="615"/>
    </row>
    <row r="161" spans="12:45">
      <c r="L161" s="615"/>
      <c r="M161" s="615"/>
      <c r="AB161" s="615"/>
      <c r="AC161" s="615"/>
      <c r="AD161" s="615"/>
      <c r="AE161" s="615"/>
      <c r="AF161" s="615"/>
      <c r="AG161" s="615"/>
      <c r="AH161" s="615"/>
      <c r="AI161" s="615"/>
      <c r="AJ161" s="615"/>
      <c r="AK161" s="615"/>
      <c r="AL161" s="615"/>
      <c r="AM161" s="615"/>
      <c r="AN161" s="615"/>
      <c r="AO161" s="615"/>
      <c r="AP161" s="615"/>
      <c r="AQ161" s="615"/>
      <c r="AR161" s="615"/>
      <c r="AS161" s="615"/>
    </row>
    <row r="162" spans="12:45">
      <c r="L162" s="615"/>
      <c r="M162" s="615"/>
      <c r="AB162" s="615"/>
      <c r="AC162" s="615"/>
      <c r="AD162" s="615"/>
      <c r="AE162" s="615"/>
      <c r="AF162" s="615"/>
      <c r="AG162" s="615"/>
      <c r="AH162" s="615"/>
      <c r="AI162" s="615"/>
      <c r="AJ162" s="615"/>
      <c r="AK162" s="615"/>
      <c r="AL162" s="615"/>
      <c r="AM162" s="615"/>
      <c r="AN162" s="615"/>
      <c r="AO162" s="615"/>
      <c r="AP162" s="615"/>
      <c r="AQ162" s="615"/>
      <c r="AR162" s="615"/>
      <c r="AS162" s="615"/>
    </row>
    <row r="163" spans="12:45">
      <c r="L163" s="615"/>
      <c r="M163" s="615"/>
      <c r="AB163" s="615"/>
      <c r="AC163" s="615"/>
      <c r="AD163" s="615"/>
      <c r="AE163" s="615"/>
      <c r="AF163" s="615"/>
      <c r="AG163" s="615"/>
      <c r="AH163" s="615"/>
      <c r="AI163" s="615"/>
      <c r="AJ163" s="615"/>
      <c r="AK163" s="615"/>
      <c r="AL163" s="615"/>
      <c r="AM163" s="615"/>
      <c r="AN163" s="615"/>
      <c r="AO163" s="615"/>
      <c r="AP163" s="615"/>
      <c r="AQ163" s="615"/>
      <c r="AR163" s="615"/>
      <c r="AS163" s="615"/>
    </row>
    <row r="164" spans="12:45">
      <c r="L164" s="615"/>
      <c r="M164" s="615"/>
      <c r="AB164" s="615"/>
      <c r="AC164" s="615"/>
      <c r="AD164" s="615"/>
      <c r="AE164" s="615"/>
      <c r="AF164" s="615"/>
      <c r="AG164" s="615"/>
      <c r="AH164" s="615"/>
      <c r="AI164" s="615"/>
      <c r="AJ164" s="615"/>
      <c r="AK164" s="615"/>
      <c r="AL164" s="615"/>
      <c r="AM164" s="615"/>
      <c r="AN164" s="615"/>
      <c r="AO164" s="615"/>
      <c r="AP164" s="615"/>
      <c r="AQ164" s="615"/>
      <c r="AR164" s="615"/>
      <c r="AS164" s="615"/>
    </row>
    <row r="165" spans="12:45">
      <c r="L165" s="615"/>
      <c r="M165" s="615"/>
      <c r="AB165" s="615"/>
      <c r="AC165" s="615"/>
      <c r="AD165" s="615"/>
      <c r="AE165" s="615"/>
      <c r="AF165" s="615"/>
      <c r="AG165" s="615"/>
      <c r="AH165" s="615"/>
      <c r="AI165" s="615"/>
      <c r="AJ165" s="615"/>
      <c r="AK165" s="615"/>
      <c r="AL165" s="615"/>
      <c r="AM165" s="615"/>
      <c r="AN165" s="615"/>
      <c r="AO165" s="615"/>
      <c r="AP165" s="615"/>
      <c r="AQ165" s="615"/>
      <c r="AR165" s="615"/>
      <c r="AS165" s="615"/>
    </row>
    <row r="166" spans="12:45">
      <c r="L166" s="615"/>
      <c r="M166" s="615"/>
      <c r="AB166" s="615"/>
      <c r="AC166" s="615"/>
      <c r="AD166" s="615"/>
      <c r="AE166" s="615"/>
      <c r="AF166" s="615"/>
      <c r="AG166" s="615"/>
      <c r="AH166" s="615"/>
      <c r="AI166" s="615"/>
      <c r="AJ166" s="615"/>
      <c r="AK166" s="615"/>
      <c r="AL166" s="615"/>
      <c r="AM166" s="615"/>
      <c r="AN166" s="615"/>
      <c r="AO166" s="615"/>
      <c r="AP166" s="615"/>
      <c r="AQ166" s="615"/>
      <c r="AR166" s="615"/>
      <c r="AS166" s="615"/>
    </row>
    <row r="167" spans="12:45">
      <c r="L167" s="615"/>
      <c r="M167" s="615"/>
      <c r="AB167" s="615"/>
      <c r="AC167" s="615"/>
      <c r="AD167" s="615"/>
      <c r="AE167" s="615"/>
      <c r="AF167" s="615"/>
      <c r="AG167" s="615"/>
      <c r="AH167" s="615"/>
      <c r="AI167" s="615"/>
      <c r="AJ167" s="615"/>
      <c r="AK167" s="615"/>
      <c r="AL167" s="615"/>
      <c r="AM167" s="615"/>
      <c r="AN167" s="615"/>
      <c r="AO167" s="615"/>
      <c r="AP167" s="615"/>
      <c r="AQ167" s="615"/>
      <c r="AR167" s="615"/>
      <c r="AS167" s="615"/>
    </row>
    <row r="168" spans="12:45">
      <c r="L168" s="615"/>
      <c r="M168" s="615"/>
      <c r="AB168" s="615"/>
      <c r="AC168" s="615"/>
      <c r="AD168" s="615"/>
      <c r="AE168" s="615"/>
      <c r="AF168" s="615"/>
      <c r="AG168" s="615"/>
      <c r="AH168" s="615"/>
      <c r="AI168" s="615"/>
      <c r="AJ168" s="615"/>
      <c r="AK168" s="615"/>
      <c r="AL168" s="615"/>
      <c r="AM168" s="615"/>
      <c r="AN168" s="615"/>
      <c r="AO168" s="615"/>
      <c r="AP168" s="615"/>
      <c r="AQ168" s="615"/>
      <c r="AR168" s="615"/>
      <c r="AS168" s="615"/>
    </row>
    <row r="169" spans="12:45">
      <c r="L169" s="615"/>
      <c r="M169" s="615"/>
      <c r="AB169" s="615"/>
      <c r="AC169" s="615"/>
      <c r="AD169" s="615"/>
      <c r="AE169" s="615"/>
      <c r="AF169" s="615"/>
      <c r="AG169" s="615"/>
      <c r="AH169" s="615"/>
      <c r="AI169" s="615"/>
      <c r="AJ169" s="615"/>
      <c r="AK169" s="615"/>
      <c r="AL169" s="615"/>
      <c r="AM169" s="615"/>
      <c r="AN169" s="615"/>
      <c r="AO169" s="615"/>
      <c r="AP169" s="615"/>
      <c r="AQ169" s="615"/>
      <c r="AR169" s="615"/>
      <c r="AS169" s="615"/>
    </row>
    <row r="170" spans="12:45">
      <c r="L170" s="615"/>
      <c r="M170" s="615"/>
      <c r="AB170" s="615"/>
      <c r="AC170" s="615"/>
      <c r="AD170" s="615"/>
      <c r="AE170" s="615"/>
      <c r="AF170" s="615"/>
      <c r="AG170" s="615"/>
      <c r="AH170" s="615"/>
      <c r="AI170" s="615"/>
      <c r="AJ170" s="615"/>
      <c r="AK170" s="615"/>
      <c r="AL170" s="615"/>
      <c r="AM170" s="615"/>
      <c r="AN170" s="615"/>
      <c r="AO170" s="615"/>
      <c r="AP170" s="615"/>
      <c r="AQ170" s="615"/>
      <c r="AR170" s="615"/>
      <c r="AS170" s="615"/>
    </row>
    <row r="171" spans="12:45">
      <c r="L171" s="615"/>
      <c r="M171" s="615"/>
      <c r="AB171" s="615"/>
      <c r="AC171" s="615"/>
      <c r="AD171" s="615"/>
      <c r="AE171" s="615"/>
      <c r="AF171" s="615"/>
      <c r="AG171" s="615"/>
      <c r="AH171" s="615"/>
      <c r="AI171" s="615"/>
      <c r="AJ171" s="615"/>
      <c r="AK171" s="615"/>
      <c r="AL171" s="615"/>
      <c r="AM171" s="615"/>
      <c r="AN171" s="615"/>
      <c r="AO171" s="615"/>
      <c r="AP171" s="615"/>
      <c r="AQ171" s="615"/>
      <c r="AR171" s="615"/>
      <c r="AS171" s="615"/>
    </row>
    <row r="172" spans="12:45">
      <c r="L172" s="615"/>
      <c r="M172" s="615"/>
      <c r="AB172" s="615"/>
      <c r="AC172" s="615"/>
      <c r="AD172" s="615"/>
      <c r="AE172" s="615"/>
      <c r="AF172" s="615"/>
      <c r="AG172" s="615"/>
      <c r="AH172" s="615"/>
      <c r="AI172" s="615"/>
      <c r="AJ172" s="615"/>
      <c r="AK172" s="615"/>
      <c r="AL172" s="615"/>
      <c r="AM172" s="615"/>
      <c r="AN172" s="615"/>
      <c r="AO172" s="615"/>
      <c r="AP172" s="615"/>
      <c r="AQ172" s="615"/>
      <c r="AR172" s="615"/>
      <c r="AS172" s="615"/>
    </row>
    <row r="173" spans="12:45">
      <c r="L173" s="615"/>
      <c r="M173" s="615"/>
      <c r="AB173" s="615"/>
      <c r="AC173" s="615"/>
      <c r="AD173" s="615"/>
      <c r="AE173" s="615"/>
      <c r="AF173" s="615"/>
      <c r="AG173" s="615"/>
      <c r="AH173" s="615"/>
      <c r="AI173" s="615"/>
      <c r="AJ173" s="615"/>
      <c r="AK173" s="615"/>
      <c r="AL173" s="615"/>
      <c r="AM173" s="615"/>
      <c r="AN173" s="615"/>
      <c r="AO173" s="615"/>
      <c r="AP173" s="615"/>
      <c r="AQ173" s="615"/>
      <c r="AR173" s="615"/>
      <c r="AS173" s="615"/>
    </row>
    <row r="174" spans="12:45">
      <c r="L174" s="615"/>
      <c r="M174" s="615"/>
      <c r="AB174" s="615"/>
      <c r="AC174" s="615"/>
      <c r="AD174" s="615"/>
      <c r="AE174" s="615"/>
      <c r="AF174" s="615"/>
      <c r="AG174" s="615"/>
      <c r="AH174" s="615"/>
      <c r="AI174" s="615"/>
      <c r="AJ174" s="615"/>
      <c r="AK174" s="615"/>
      <c r="AL174" s="615"/>
      <c r="AM174" s="615"/>
      <c r="AN174" s="615"/>
      <c r="AO174" s="615"/>
      <c r="AP174" s="615"/>
      <c r="AQ174" s="615"/>
      <c r="AR174" s="615"/>
      <c r="AS174" s="615"/>
    </row>
    <row r="175" spans="12:45">
      <c r="L175" s="615"/>
      <c r="M175" s="615"/>
      <c r="AB175" s="615"/>
      <c r="AC175" s="615"/>
      <c r="AD175" s="615"/>
      <c r="AE175" s="615"/>
      <c r="AF175" s="615"/>
      <c r="AG175" s="615"/>
      <c r="AH175" s="615"/>
      <c r="AI175" s="615"/>
      <c r="AJ175" s="615"/>
      <c r="AK175" s="615"/>
      <c r="AL175" s="615"/>
      <c r="AM175" s="615"/>
      <c r="AN175" s="615"/>
      <c r="AO175" s="615"/>
      <c r="AP175" s="615"/>
      <c r="AQ175" s="615"/>
      <c r="AR175" s="615"/>
      <c r="AS175" s="615"/>
    </row>
    <row r="176" spans="12:45">
      <c r="L176" s="615"/>
      <c r="M176" s="615"/>
      <c r="AB176" s="615"/>
      <c r="AC176" s="615"/>
      <c r="AD176" s="615"/>
      <c r="AE176" s="615"/>
      <c r="AF176" s="615"/>
      <c r="AG176" s="615"/>
      <c r="AH176" s="615"/>
      <c r="AI176" s="615"/>
      <c r="AJ176" s="615"/>
      <c r="AK176" s="615"/>
      <c r="AL176" s="615"/>
      <c r="AM176" s="615"/>
      <c r="AN176" s="615"/>
      <c r="AO176" s="615"/>
      <c r="AP176" s="615"/>
      <c r="AQ176" s="615"/>
      <c r="AR176" s="615"/>
      <c r="AS176" s="615"/>
    </row>
    <row r="177" spans="12:45">
      <c r="L177" s="615"/>
      <c r="M177" s="615"/>
      <c r="AB177" s="615"/>
      <c r="AC177" s="615"/>
      <c r="AD177" s="615"/>
      <c r="AE177" s="615"/>
      <c r="AF177" s="615"/>
      <c r="AG177" s="615"/>
      <c r="AH177" s="615"/>
      <c r="AI177" s="615"/>
      <c r="AJ177" s="615"/>
      <c r="AK177" s="615"/>
      <c r="AL177" s="615"/>
      <c r="AM177" s="615"/>
      <c r="AN177" s="615"/>
      <c r="AO177" s="615"/>
      <c r="AP177" s="615"/>
      <c r="AQ177" s="615"/>
      <c r="AR177" s="615"/>
      <c r="AS177" s="615"/>
    </row>
    <row r="178" spans="12:45">
      <c r="L178" s="615"/>
      <c r="M178" s="615"/>
      <c r="AB178" s="615"/>
      <c r="AC178" s="615"/>
      <c r="AD178" s="615"/>
      <c r="AE178" s="615"/>
      <c r="AF178" s="615"/>
      <c r="AG178" s="615"/>
      <c r="AH178" s="615"/>
      <c r="AI178" s="615"/>
      <c r="AJ178" s="615"/>
      <c r="AK178" s="615"/>
      <c r="AL178" s="615"/>
      <c r="AM178" s="615"/>
      <c r="AN178" s="615"/>
      <c r="AO178" s="615"/>
      <c r="AP178" s="615"/>
      <c r="AQ178" s="615"/>
      <c r="AR178" s="615"/>
      <c r="AS178" s="615"/>
    </row>
    <row r="179" spans="12:45">
      <c r="L179" s="615"/>
      <c r="M179" s="615"/>
      <c r="AB179" s="615"/>
      <c r="AC179" s="615"/>
      <c r="AD179" s="615"/>
      <c r="AE179" s="615"/>
      <c r="AF179" s="615"/>
      <c r="AG179" s="615"/>
      <c r="AH179" s="615"/>
      <c r="AI179" s="615"/>
      <c r="AJ179" s="615"/>
      <c r="AK179" s="615"/>
      <c r="AL179" s="615"/>
      <c r="AM179" s="615"/>
      <c r="AN179" s="615"/>
      <c r="AO179" s="615"/>
      <c r="AP179" s="615"/>
      <c r="AQ179" s="615"/>
      <c r="AR179" s="615"/>
      <c r="AS179" s="615"/>
    </row>
    <row r="180" spans="12:45">
      <c r="L180" s="615"/>
      <c r="M180" s="615"/>
      <c r="AB180" s="615"/>
      <c r="AC180" s="615"/>
      <c r="AD180" s="615"/>
      <c r="AE180" s="615"/>
      <c r="AF180" s="615"/>
      <c r="AG180" s="615"/>
      <c r="AH180" s="615"/>
      <c r="AI180" s="615"/>
      <c r="AJ180" s="615"/>
      <c r="AK180" s="615"/>
      <c r="AL180" s="615"/>
      <c r="AM180" s="615"/>
      <c r="AN180" s="615"/>
      <c r="AO180" s="615"/>
      <c r="AP180" s="615"/>
      <c r="AQ180" s="615"/>
      <c r="AR180" s="615"/>
      <c r="AS180" s="615"/>
    </row>
    <row r="181" spans="12:45">
      <c r="L181" s="615"/>
      <c r="M181" s="615"/>
      <c r="AB181" s="615"/>
      <c r="AC181" s="615"/>
      <c r="AD181" s="615"/>
      <c r="AE181" s="615"/>
      <c r="AF181" s="615"/>
      <c r="AG181" s="615"/>
      <c r="AH181" s="615"/>
      <c r="AI181" s="615"/>
      <c r="AJ181" s="615"/>
      <c r="AK181" s="615"/>
      <c r="AL181" s="615"/>
      <c r="AM181" s="615"/>
      <c r="AN181" s="615"/>
      <c r="AO181" s="615"/>
      <c r="AP181" s="615"/>
      <c r="AQ181" s="615"/>
      <c r="AR181" s="615"/>
      <c r="AS181" s="615"/>
    </row>
    <row r="182" spans="12:45">
      <c r="L182" s="615"/>
      <c r="M182" s="615"/>
      <c r="AB182" s="615"/>
      <c r="AC182" s="615"/>
      <c r="AD182" s="615"/>
      <c r="AE182" s="615"/>
      <c r="AF182" s="615"/>
      <c r="AG182" s="615"/>
      <c r="AH182" s="615"/>
      <c r="AI182" s="615"/>
      <c r="AJ182" s="615"/>
      <c r="AK182" s="615"/>
      <c r="AL182" s="615"/>
      <c r="AM182" s="615"/>
      <c r="AN182" s="615"/>
      <c r="AO182" s="615"/>
      <c r="AP182" s="615"/>
      <c r="AQ182" s="615"/>
      <c r="AR182" s="615"/>
      <c r="AS182" s="615"/>
    </row>
    <row r="183" spans="12:45">
      <c r="L183" s="615"/>
      <c r="M183" s="615"/>
      <c r="AB183" s="615"/>
      <c r="AC183" s="615"/>
      <c r="AD183" s="615"/>
      <c r="AE183" s="615"/>
      <c r="AF183" s="615"/>
      <c r="AG183" s="615"/>
      <c r="AH183" s="615"/>
      <c r="AI183" s="615"/>
      <c r="AJ183" s="615"/>
      <c r="AK183" s="615"/>
      <c r="AL183" s="615"/>
      <c r="AM183" s="615"/>
      <c r="AN183" s="615"/>
      <c r="AO183" s="615"/>
      <c r="AP183" s="615"/>
      <c r="AQ183" s="615"/>
      <c r="AR183" s="615"/>
      <c r="AS183" s="615"/>
    </row>
    <row r="184" spans="12:45">
      <c r="L184" s="615"/>
      <c r="M184" s="615"/>
      <c r="AB184" s="615"/>
      <c r="AC184" s="615"/>
      <c r="AD184" s="615"/>
      <c r="AE184" s="615"/>
      <c r="AF184" s="615"/>
      <c r="AG184" s="615"/>
      <c r="AH184" s="615"/>
      <c r="AI184" s="615"/>
      <c r="AJ184" s="615"/>
      <c r="AK184" s="615"/>
      <c r="AL184" s="615"/>
      <c r="AM184" s="615"/>
      <c r="AN184" s="615"/>
      <c r="AO184" s="615"/>
      <c r="AP184" s="615"/>
      <c r="AQ184" s="615"/>
      <c r="AR184" s="615"/>
      <c r="AS184" s="615"/>
    </row>
    <row r="185" spans="12:45">
      <c r="L185" s="615"/>
      <c r="M185" s="615"/>
      <c r="AB185" s="615"/>
      <c r="AC185" s="615"/>
      <c r="AD185" s="615"/>
      <c r="AE185" s="615"/>
      <c r="AF185" s="615"/>
      <c r="AG185" s="615"/>
      <c r="AH185" s="615"/>
      <c r="AI185" s="615"/>
      <c r="AJ185" s="615"/>
      <c r="AK185" s="615"/>
      <c r="AL185" s="615"/>
      <c r="AM185" s="615"/>
      <c r="AN185" s="615"/>
      <c r="AO185" s="615"/>
      <c r="AP185" s="615"/>
      <c r="AQ185" s="615"/>
      <c r="AR185" s="615"/>
      <c r="AS185" s="615"/>
    </row>
    <row r="186" spans="12:45">
      <c r="L186" s="615"/>
      <c r="M186" s="615"/>
      <c r="AB186" s="615"/>
      <c r="AC186" s="615"/>
      <c r="AD186" s="615"/>
      <c r="AE186" s="615"/>
      <c r="AF186" s="615"/>
      <c r="AG186" s="615"/>
      <c r="AH186" s="615"/>
      <c r="AI186" s="615"/>
      <c r="AJ186" s="615"/>
      <c r="AK186" s="615"/>
      <c r="AL186" s="615"/>
      <c r="AM186" s="615"/>
      <c r="AN186" s="615"/>
      <c r="AO186" s="615"/>
      <c r="AP186" s="615"/>
      <c r="AQ186" s="615"/>
      <c r="AR186" s="615"/>
      <c r="AS186" s="615"/>
    </row>
    <row r="187" spans="12:45">
      <c r="L187" s="615"/>
      <c r="M187" s="615"/>
      <c r="AB187" s="615"/>
      <c r="AC187" s="615"/>
      <c r="AD187" s="615"/>
      <c r="AE187" s="615"/>
      <c r="AF187" s="615"/>
      <c r="AG187" s="615"/>
      <c r="AH187" s="615"/>
      <c r="AI187" s="615"/>
      <c r="AJ187" s="615"/>
      <c r="AK187" s="615"/>
      <c r="AL187" s="615"/>
      <c r="AM187" s="615"/>
      <c r="AN187" s="615"/>
      <c r="AO187" s="615"/>
      <c r="AP187" s="615"/>
      <c r="AQ187" s="615"/>
      <c r="AR187" s="615"/>
      <c r="AS187" s="615"/>
    </row>
    <row r="188" spans="12:45">
      <c r="L188" s="615"/>
      <c r="M188" s="615"/>
      <c r="AB188" s="615"/>
      <c r="AC188" s="615"/>
      <c r="AD188" s="615"/>
      <c r="AE188" s="615"/>
      <c r="AF188" s="615"/>
      <c r="AG188" s="615"/>
      <c r="AH188" s="615"/>
      <c r="AI188" s="615"/>
      <c r="AJ188" s="615"/>
      <c r="AK188" s="615"/>
      <c r="AL188" s="615"/>
      <c r="AM188" s="615"/>
      <c r="AN188" s="615"/>
      <c r="AO188" s="615"/>
      <c r="AP188" s="615"/>
      <c r="AQ188" s="615"/>
      <c r="AR188" s="615"/>
      <c r="AS188" s="615"/>
    </row>
    <row r="189" spans="12:45">
      <c r="L189" s="615"/>
      <c r="M189" s="615"/>
      <c r="AB189" s="615"/>
      <c r="AC189" s="615"/>
      <c r="AD189" s="615"/>
      <c r="AE189" s="615"/>
      <c r="AF189" s="615"/>
      <c r="AG189" s="615"/>
      <c r="AH189" s="615"/>
      <c r="AI189" s="615"/>
      <c r="AJ189" s="615"/>
      <c r="AK189" s="615"/>
      <c r="AL189" s="615"/>
      <c r="AM189" s="615"/>
      <c r="AN189" s="615"/>
      <c r="AO189" s="615"/>
      <c r="AP189" s="615"/>
      <c r="AQ189" s="615"/>
      <c r="AR189" s="615"/>
      <c r="AS189" s="615"/>
    </row>
    <row r="190" spans="12:45">
      <c r="L190" s="615"/>
      <c r="M190" s="615"/>
      <c r="AB190" s="615"/>
      <c r="AC190" s="615"/>
      <c r="AD190" s="615"/>
      <c r="AE190" s="615"/>
      <c r="AF190" s="615"/>
      <c r="AG190" s="615"/>
      <c r="AH190" s="615"/>
      <c r="AI190" s="615"/>
      <c r="AJ190" s="615"/>
      <c r="AK190" s="615"/>
      <c r="AL190" s="615"/>
      <c r="AM190" s="615"/>
      <c r="AN190" s="615"/>
      <c r="AO190" s="615"/>
      <c r="AP190" s="615"/>
      <c r="AQ190" s="615"/>
      <c r="AR190" s="615"/>
      <c r="AS190" s="615"/>
    </row>
    <row r="191" spans="12:45">
      <c r="L191" s="615"/>
      <c r="M191" s="615"/>
      <c r="AB191" s="615"/>
      <c r="AC191" s="615"/>
      <c r="AD191" s="615"/>
      <c r="AE191" s="615"/>
      <c r="AF191" s="615"/>
      <c r="AG191" s="615"/>
      <c r="AH191" s="615"/>
      <c r="AI191" s="615"/>
      <c r="AJ191" s="615"/>
      <c r="AK191" s="615"/>
      <c r="AL191" s="615"/>
      <c r="AM191" s="615"/>
      <c r="AN191" s="615"/>
      <c r="AO191" s="615"/>
      <c r="AP191" s="615"/>
      <c r="AQ191" s="615"/>
      <c r="AR191" s="615"/>
      <c r="AS191" s="615"/>
    </row>
    <row r="192" spans="12:45">
      <c r="L192" s="615"/>
      <c r="M192" s="615"/>
      <c r="AB192" s="615"/>
      <c r="AC192" s="615"/>
      <c r="AD192" s="615"/>
      <c r="AE192" s="615"/>
      <c r="AF192" s="615"/>
      <c r="AG192" s="615"/>
      <c r="AH192" s="615"/>
      <c r="AI192" s="615"/>
      <c r="AJ192" s="615"/>
      <c r="AK192" s="615"/>
      <c r="AL192" s="615"/>
      <c r="AM192" s="615"/>
      <c r="AN192" s="615"/>
      <c r="AO192" s="615"/>
      <c r="AP192" s="615"/>
      <c r="AQ192" s="615"/>
      <c r="AR192" s="615"/>
      <c r="AS192" s="615"/>
    </row>
    <row r="193" spans="12:45">
      <c r="L193" s="615"/>
      <c r="M193" s="615"/>
      <c r="AB193" s="615"/>
      <c r="AC193" s="615"/>
      <c r="AD193" s="615"/>
      <c r="AE193" s="615"/>
      <c r="AF193" s="615"/>
      <c r="AG193" s="615"/>
      <c r="AH193" s="615"/>
      <c r="AI193" s="615"/>
      <c r="AJ193" s="615"/>
      <c r="AK193" s="615"/>
      <c r="AL193" s="615"/>
      <c r="AM193" s="615"/>
      <c r="AN193" s="615"/>
      <c r="AO193" s="615"/>
      <c r="AP193" s="615"/>
      <c r="AQ193" s="615"/>
      <c r="AR193" s="615"/>
      <c r="AS193" s="615"/>
    </row>
    <row r="194" spans="12:45">
      <c r="L194" s="615"/>
      <c r="M194" s="615"/>
      <c r="AB194" s="615"/>
      <c r="AC194" s="615"/>
      <c r="AD194" s="615"/>
      <c r="AE194" s="615"/>
      <c r="AF194" s="615"/>
      <c r="AG194" s="615"/>
      <c r="AH194" s="615"/>
      <c r="AI194" s="615"/>
      <c r="AJ194" s="615"/>
      <c r="AK194" s="615"/>
      <c r="AL194" s="615"/>
      <c r="AM194" s="615"/>
      <c r="AN194" s="615"/>
      <c r="AO194" s="615"/>
      <c r="AP194" s="615"/>
      <c r="AQ194" s="615"/>
      <c r="AR194" s="615"/>
      <c r="AS194" s="615"/>
    </row>
    <row r="195" spans="12:45">
      <c r="L195" s="615"/>
      <c r="M195" s="615"/>
      <c r="AB195" s="615"/>
      <c r="AC195" s="615"/>
      <c r="AD195" s="615"/>
      <c r="AE195" s="615"/>
      <c r="AF195" s="615"/>
      <c r="AG195" s="615"/>
      <c r="AH195" s="615"/>
      <c r="AI195" s="615"/>
      <c r="AJ195" s="615"/>
      <c r="AK195" s="615"/>
      <c r="AL195" s="615"/>
      <c r="AM195" s="615"/>
      <c r="AN195" s="615"/>
      <c r="AO195" s="615"/>
      <c r="AP195" s="615"/>
      <c r="AQ195" s="615"/>
      <c r="AR195" s="615"/>
      <c r="AS195" s="615"/>
    </row>
    <row r="196" spans="12:45">
      <c r="L196" s="615"/>
      <c r="M196" s="615"/>
      <c r="AB196" s="615"/>
      <c r="AC196" s="615"/>
      <c r="AD196" s="615"/>
      <c r="AE196" s="615"/>
      <c r="AF196" s="615"/>
      <c r="AG196" s="615"/>
      <c r="AH196" s="615"/>
      <c r="AI196" s="615"/>
      <c r="AJ196" s="615"/>
      <c r="AK196" s="615"/>
      <c r="AL196" s="615"/>
      <c r="AM196" s="615"/>
      <c r="AN196" s="615"/>
      <c r="AO196" s="615"/>
      <c r="AP196" s="615"/>
      <c r="AQ196" s="615"/>
      <c r="AR196" s="615"/>
      <c r="AS196" s="615"/>
    </row>
    <row r="197" spans="12:45">
      <c r="L197" s="615"/>
      <c r="M197" s="615"/>
      <c r="AB197" s="615"/>
      <c r="AC197" s="615"/>
      <c r="AD197" s="615"/>
      <c r="AE197" s="615"/>
      <c r="AF197" s="615"/>
      <c r="AG197" s="615"/>
      <c r="AH197" s="615"/>
      <c r="AI197" s="615"/>
      <c r="AJ197" s="615"/>
      <c r="AK197" s="615"/>
      <c r="AL197" s="615"/>
      <c r="AM197" s="615"/>
      <c r="AN197" s="615"/>
      <c r="AO197" s="615"/>
      <c r="AP197" s="615"/>
      <c r="AQ197" s="615"/>
      <c r="AR197" s="615"/>
      <c r="AS197" s="615"/>
    </row>
    <row r="198" spans="12:45">
      <c r="L198" s="615"/>
      <c r="M198" s="615"/>
      <c r="AB198" s="615"/>
      <c r="AC198" s="615"/>
      <c r="AD198" s="615"/>
      <c r="AE198" s="615"/>
      <c r="AF198" s="615"/>
      <c r="AG198" s="615"/>
      <c r="AH198" s="615"/>
      <c r="AI198" s="615"/>
      <c r="AJ198" s="615"/>
      <c r="AK198" s="615"/>
      <c r="AL198" s="615"/>
      <c r="AM198" s="615"/>
      <c r="AN198" s="615"/>
      <c r="AO198" s="615"/>
      <c r="AP198" s="615"/>
      <c r="AQ198" s="615"/>
      <c r="AR198" s="615"/>
      <c r="AS198" s="615"/>
    </row>
    <row r="199" spans="12:45">
      <c r="L199" s="615"/>
      <c r="M199" s="615"/>
      <c r="AB199" s="615"/>
      <c r="AC199" s="615"/>
      <c r="AD199" s="615"/>
      <c r="AE199" s="615"/>
      <c r="AF199" s="615"/>
      <c r="AG199" s="615"/>
      <c r="AH199" s="615"/>
      <c r="AI199" s="615"/>
      <c r="AJ199" s="615"/>
      <c r="AK199" s="615"/>
      <c r="AL199" s="615"/>
      <c r="AM199" s="615"/>
      <c r="AN199" s="615"/>
      <c r="AO199" s="615"/>
      <c r="AP199" s="615"/>
      <c r="AQ199" s="615"/>
      <c r="AR199" s="615"/>
      <c r="AS199" s="615"/>
    </row>
    <row r="200" spans="12:45">
      <c r="L200" s="615"/>
      <c r="M200" s="615"/>
      <c r="AB200" s="615"/>
      <c r="AC200" s="615"/>
      <c r="AD200" s="615"/>
      <c r="AE200" s="615"/>
      <c r="AF200" s="615"/>
      <c r="AG200" s="615"/>
      <c r="AH200" s="615"/>
      <c r="AI200" s="615"/>
      <c r="AJ200" s="615"/>
      <c r="AK200" s="615"/>
      <c r="AL200" s="615"/>
      <c r="AM200" s="615"/>
      <c r="AN200" s="615"/>
      <c r="AO200" s="615"/>
      <c r="AP200" s="615"/>
      <c r="AQ200" s="615"/>
      <c r="AR200" s="615"/>
      <c r="AS200" s="615"/>
    </row>
    <row r="201" spans="12:45">
      <c r="L201" s="615"/>
      <c r="M201" s="615"/>
      <c r="AB201" s="615"/>
      <c r="AC201" s="615"/>
      <c r="AD201" s="615"/>
      <c r="AE201" s="615"/>
      <c r="AF201" s="615"/>
      <c r="AG201" s="615"/>
      <c r="AH201" s="615"/>
      <c r="AI201" s="615"/>
      <c r="AJ201" s="615"/>
      <c r="AK201" s="615"/>
      <c r="AL201" s="615"/>
      <c r="AM201" s="615"/>
      <c r="AN201" s="615"/>
      <c r="AO201" s="615"/>
      <c r="AP201" s="615"/>
      <c r="AQ201" s="615"/>
      <c r="AR201" s="615"/>
      <c r="AS201" s="615"/>
    </row>
    <row r="202" spans="12:45">
      <c r="L202" s="615"/>
      <c r="M202" s="615"/>
      <c r="AB202" s="615"/>
      <c r="AC202" s="615"/>
      <c r="AD202" s="615"/>
      <c r="AE202" s="615"/>
      <c r="AF202" s="615"/>
      <c r="AG202" s="615"/>
      <c r="AH202" s="615"/>
      <c r="AI202" s="615"/>
      <c r="AJ202" s="615"/>
      <c r="AK202" s="615"/>
      <c r="AL202" s="615"/>
      <c r="AM202" s="615"/>
      <c r="AN202" s="615"/>
      <c r="AO202" s="615"/>
      <c r="AP202" s="615"/>
      <c r="AQ202" s="615"/>
      <c r="AR202" s="615"/>
      <c r="AS202" s="615"/>
    </row>
    <row r="203" spans="12:45">
      <c r="L203" s="615"/>
      <c r="M203" s="615"/>
      <c r="AB203" s="615"/>
      <c r="AC203" s="615"/>
      <c r="AD203" s="615"/>
      <c r="AE203" s="615"/>
      <c r="AF203" s="615"/>
      <c r="AG203" s="615"/>
      <c r="AH203" s="615"/>
      <c r="AI203" s="615"/>
      <c r="AJ203" s="615"/>
      <c r="AK203" s="615"/>
      <c r="AL203" s="615"/>
      <c r="AM203" s="615"/>
      <c r="AN203" s="615"/>
      <c r="AO203" s="615"/>
      <c r="AP203" s="615"/>
      <c r="AQ203" s="615"/>
      <c r="AR203" s="615"/>
      <c r="AS203" s="615"/>
    </row>
    <row r="204" spans="12:45">
      <c r="L204" s="615"/>
      <c r="M204" s="615"/>
      <c r="AB204" s="615"/>
      <c r="AC204" s="615"/>
      <c r="AD204" s="615"/>
      <c r="AE204" s="615"/>
      <c r="AF204" s="615"/>
      <c r="AG204" s="615"/>
      <c r="AH204" s="615"/>
      <c r="AI204" s="615"/>
      <c r="AJ204" s="615"/>
      <c r="AK204" s="615"/>
      <c r="AL204" s="615"/>
      <c r="AM204" s="615"/>
      <c r="AN204" s="615"/>
      <c r="AO204" s="615"/>
      <c r="AP204" s="615"/>
      <c r="AQ204" s="615"/>
      <c r="AR204" s="615"/>
      <c r="AS204" s="615"/>
    </row>
    <row r="205" spans="12:45">
      <c r="L205" s="615"/>
      <c r="M205" s="615"/>
      <c r="AB205" s="615"/>
      <c r="AC205" s="615"/>
      <c r="AD205" s="615"/>
      <c r="AE205" s="615"/>
      <c r="AF205" s="615"/>
      <c r="AG205" s="615"/>
      <c r="AH205" s="615"/>
      <c r="AI205" s="615"/>
      <c r="AJ205" s="615"/>
      <c r="AK205" s="615"/>
      <c r="AL205" s="615"/>
      <c r="AM205" s="615"/>
      <c r="AN205" s="615"/>
      <c r="AO205" s="615"/>
      <c r="AP205" s="615"/>
      <c r="AQ205" s="615"/>
      <c r="AR205" s="615"/>
      <c r="AS205" s="615"/>
    </row>
    <row r="206" spans="12:45">
      <c r="L206" s="615"/>
      <c r="M206" s="615"/>
      <c r="AB206" s="615"/>
      <c r="AC206" s="615"/>
      <c r="AD206" s="615"/>
      <c r="AE206" s="615"/>
      <c r="AF206" s="615"/>
      <c r="AG206" s="615"/>
      <c r="AH206" s="615"/>
      <c r="AI206" s="615"/>
      <c r="AJ206" s="615"/>
      <c r="AK206" s="615"/>
      <c r="AL206" s="615"/>
      <c r="AM206" s="615"/>
      <c r="AN206" s="615"/>
      <c r="AO206" s="615"/>
      <c r="AP206" s="615"/>
      <c r="AQ206" s="615"/>
      <c r="AR206" s="615"/>
      <c r="AS206" s="615"/>
    </row>
    <row r="207" spans="12:45">
      <c r="L207" s="615"/>
      <c r="M207" s="615"/>
      <c r="AB207" s="615"/>
      <c r="AC207" s="615"/>
      <c r="AD207" s="615"/>
      <c r="AE207" s="615"/>
      <c r="AF207" s="615"/>
      <c r="AG207" s="615"/>
      <c r="AH207" s="615"/>
      <c r="AI207" s="615"/>
      <c r="AJ207" s="615"/>
      <c r="AK207" s="615"/>
      <c r="AL207" s="615"/>
      <c r="AM207" s="615"/>
      <c r="AN207" s="615"/>
      <c r="AO207" s="615"/>
      <c r="AP207" s="615"/>
      <c r="AQ207" s="615"/>
      <c r="AR207" s="615"/>
      <c r="AS207" s="615"/>
    </row>
    <row r="208" spans="12:45">
      <c r="L208" s="615"/>
      <c r="M208" s="615"/>
      <c r="AB208" s="615"/>
      <c r="AC208" s="615"/>
      <c r="AD208" s="615"/>
      <c r="AE208" s="615"/>
      <c r="AF208" s="615"/>
      <c r="AG208" s="615"/>
      <c r="AH208" s="615"/>
      <c r="AI208" s="615"/>
      <c r="AJ208" s="615"/>
      <c r="AK208" s="615"/>
      <c r="AL208" s="615"/>
      <c r="AM208" s="615"/>
      <c r="AN208" s="615"/>
      <c r="AO208" s="615"/>
      <c r="AP208" s="615"/>
      <c r="AQ208" s="615"/>
      <c r="AR208" s="615"/>
      <c r="AS208" s="615"/>
    </row>
    <row r="209" spans="12:45">
      <c r="L209" s="615"/>
      <c r="M209" s="615"/>
      <c r="AB209" s="615"/>
      <c r="AC209" s="615"/>
      <c r="AD209" s="615"/>
      <c r="AE209" s="615"/>
      <c r="AF209" s="615"/>
      <c r="AG209" s="615"/>
      <c r="AH209" s="615"/>
      <c r="AI209" s="615"/>
      <c r="AJ209" s="615"/>
      <c r="AK209" s="615"/>
      <c r="AL209" s="615"/>
      <c r="AM209" s="615"/>
      <c r="AN209" s="615"/>
      <c r="AO209" s="615"/>
      <c r="AP209" s="615"/>
      <c r="AQ209" s="615"/>
      <c r="AR209" s="615"/>
      <c r="AS209" s="615"/>
    </row>
    <row r="210" spans="12:45">
      <c r="L210" s="615"/>
      <c r="M210" s="615"/>
      <c r="AB210" s="615"/>
      <c r="AC210" s="615"/>
      <c r="AD210" s="615"/>
      <c r="AE210" s="615"/>
      <c r="AF210" s="615"/>
      <c r="AG210" s="615"/>
      <c r="AH210" s="615"/>
      <c r="AI210" s="615"/>
      <c r="AJ210" s="615"/>
      <c r="AK210" s="615"/>
      <c r="AL210" s="615"/>
      <c r="AM210" s="615"/>
      <c r="AN210" s="615"/>
      <c r="AO210" s="615"/>
      <c r="AP210" s="615"/>
      <c r="AQ210" s="615"/>
      <c r="AR210" s="615"/>
      <c r="AS210" s="615"/>
    </row>
    <row r="211" spans="12:45">
      <c r="L211" s="615"/>
      <c r="M211" s="615"/>
      <c r="AB211" s="615"/>
      <c r="AC211" s="615"/>
      <c r="AD211" s="615"/>
      <c r="AE211" s="615"/>
      <c r="AF211" s="615"/>
      <c r="AG211" s="615"/>
      <c r="AH211" s="615"/>
      <c r="AI211" s="615"/>
      <c r="AJ211" s="615"/>
      <c r="AK211" s="615"/>
      <c r="AL211" s="615"/>
      <c r="AM211" s="615"/>
      <c r="AN211" s="615"/>
      <c r="AO211" s="615"/>
      <c r="AP211" s="615"/>
      <c r="AQ211" s="615"/>
      <c r="AR211" s="615"/>
      <c r="AS211" s="615"/>
    </row>
    <row r="212" spans="12:45">
      <c r="L212" s="615"/>
      <c r="M212" s="615"/>
      <c r="AB212" s="615"/>
      <c r="AC212" s="615"/>
      <c r="AD212" s="615"/>
      <c r="AE212" s="615"/>
      <c r="AF212" s="615"/>
      <c r="AG212" s="615"/>
      <c r="AH212" s="615"/>
      <c r="AI212" s="615"/>
      <c r="AJ212" s="615"/>
      <c r="AK212" s="615"/>
      <c r="AL212" s="615"/>
      <c r="AM212" s="615"/>
      <c r="AN212" s="615"/>
      <c r="AO212" s="615"/>
      <c r="AP212" s="615"/>
      <c r="AQ212" s="615"/>
      <c r="AR212" s="615"/>
      <c r="AS212" s="615"/>
    </row>
    <row r="213" spans="12:45">
      <c r="L213" s="615"/>
      <c r="M213" s="615"/>
      <c r="AB213" s="615"/>
      <c r="AC213" s="615"/>
      <c r="AD213" s="615"/>
      <c r="AE213" s="615"/>
      <c r="AF213" s="615"/>
      <c r="AG213" s="615"/>
      <c r="AH213" s="615"/>
      <c r="AI213" s="615"/>
      <c r="AJ213" s="615"/>
      <c r="AK213" s="615"/>
      <c r="AL213" s="615"/>
      <c r="AM213" s="615"/>
      <c r="AN213" s="615"/>
      <c r="AO213" s="615"/>
      <c r="AP213" s="615"/>
      <c r="AQ213" s="615"/>
      <c r="AR213" s="615"/>
      <c r="AS213" s="615"/>
    </row>
    <row r="214" spans="12:45">
      <c r="L214" s="615"/>
      <c r="M214" s="615"/>
      <c r="AB214" s="615"/>
      <c r="AC214" s="615"/>
      <c r="AD214" s="615"/>
      <c r="AE214" s="615"/>
      <c r="AF214" s="615"/>
      <c r="AG214" s="615"/>
      <c r="AH214" s="615"/>
      <c r="AI214" s="615"/>
      <c r="AJ214" s="615"/>
      <c r="AK214" s="615"/>
      <c r="AL214" s="615"/>
      <c r="AM214" s="615"/>
      <c r="AN214" s="615"/>
      <c r="AO214" s="615"/>
      <c r="AP214" s="615"/>
      <c r="AQ214" s="615"/>
      <c r="AR214" s="615"/>
      <c r="AS214" s="615"/>
    </row>
    <row r="215" spans="12:45">
      <c r="L215" s="615"/>
      <c r="M215" s="615"/>
      <c r="AB215" s="615"/>
      <c r="AC215" s="615"/>
      <c r="AD215" s="615"/>
      <c r="AE215" s="615"/>
      <c r="AF215" s="615"/>
      <c r="AG215" s="615"/>
      <c r="AH215" s="615"/>
      <c r="AI215" s="615"/>
      <c r="AJ215" s="615"/>
      <c r="AK215" s="615"/>
      <c r="AL215" s="615"/>
      <c r="AM215" s="615"/>
      <c r="AN215" s="615"/>
      <c r="AO215" s="615"/>
      <c r="AP215" s="615"/>
      <c r="AQ215" s="615"/>
      <c r="AR215" s="615"/>
      <c r="AS215" s="615"/>
    </row>
    <row r="216" spans="12:45">
      <c r="L216" s="615"/>
      <c r="M216" s="615"/>
      <c r="AB216" s="615"/>
      <c r="AC216" s="615"/>
      <c r="AD216" s="615"/>
      <c r="AE216" s="615"/>
      <c r="AF216" s="615"/>
      <c r="AG216" s="615"/>
      <c r="AH216" s="615"/>
      <c r="AI216" s="615"/>
      <c r="AJ216" s="615"/>
      <c r="AK216" s="615"/>
      <c r="AL216" s="615"/>
      <c r="AM216" s="615"/>
      <c r="AN216" s="615"/>
      <c r="AO216" s="615"/>
      <c r="AP216" s="615"/>
      <c r="AQ216" s="615"/>
      <c r="AR216" s="615"/>
      <c r="AS216" s="615"/>
    </row>
    <row r="217" spans="12:45">
      <c r="L217" s="615"/>
      <c r="M217" s="615"/>
      <c r="AB217" s="615"/>
      <c r="AC217" s="615"/>
      <c r="AD217" s="615"/>
      <c r="AE217" s="615"/>
      <c r="AF217" s="615"/>
      <c r="AG217" s="615"/>
      <c r="AH217" s="615"/>
      <c r="AI217" s="615"/>
      <c r="AJ217" s="615"/>
      <c r="AK217" s="615"/>
      <c r="AL217" s="615"/>
      <c r="AM217" s="615"/>
      <c r="AN217" s="615"/>
      <c r="AO217" s="615"/>
      <c r="AP217" s="615"/>
      <c r="AQ217" s="615"/>
      <c r="AR217" s="615"/>
      <c r="AS217" s="615"/>
    </row>
    <row r="218" spans="12:45">
      <c r="L218" s="615"/>
      <c r="M218" s="615"/>
      <c r="AB218" s="615"/>
      <c r="AC218" s="615"/>
      <c r="AD218" s="615"/>
      <c r="AE218" s="615"/>
      <c r="AF218" s="615"/>
      <c r="AG218" s="615"/>
      <c r="AH218" s="615"/>
      <c r="AI218" s="615"/>
      <c r="AJ218" s="615"/>
      <c r="AK218" s="615"/>
      <c r="AL218" s="615"/>
      <c r="AM218" s="615"/>
      <c r="AN218" s="615"/>
      <c r="AO218" s="615"/>
      <c r="AP218" s="615"/>
      <c r="AQ218" s="615"/>
      <c r="AR218" s="615"/>
      <c r="AS218" s="615"/>
    </row>
    <row r="219" spans="12:45">
      <c r="L219" s="615"/>
      <c r="M219" s="615"/>
      <c r="AB219" s="615"/>
      <c r="AC219" s="615"/>
      <c r="AD219" s="615"/>
      <c r="AE219" s="615"/>
      <c r="AF219" s="615"/>
      <c r="AG219" s="615"/>
      <c r="AH219" s="615"/>
      <c r="AI219" s="615"/>
      <c r="AJ219" s="615"/>
      <c r="AK219" s="615"/>
      <c r="AL219" s="615"/>
      <c r="AM219" s="615"/>
      <c r="AN219" s="615"/>
      <c r="AO219" s="615"/>
      <c r="AP219" s="615"/>
      <c r="AQ219" s="615"/>
      <c r="AR219" s="615"/>
      <c r="AS219" s="615"/>
    </row>
    <row r="220" spans="12:45">
      <c r="L220" s="615"/>
      <c r="M220" s="615"/>
      <c r="AB220" s="615"/>
      <c r="AC220" s="615"/>
      <c r="AD220" s="615"/>
      <c r="AE220" s="615"/>
      <c r="AF220" s="615"/>
      <c r="AG220" s="615"/>
      <c r="AH220" s="615"/>
      <c r="AI220" s="615"/>
      <c r="AJ220" s="615"/>
      <c r="AK220" s="615"/>
      <c r="AL220" s="615"/>
      <c r="AM220" s="615"/>
      <c r="AN220" s="615"/>
      <c r="AO220" s="615"/>
      <c r="AP220" s="615"/>
      <c r="AQ220" s="615"/>
      <c r="AR220" s="615"/>
      <c r="AS220" s="615"/>
    </row>
    <row r="221" spans="12:45">
      <c r="L221" s="615"/>
      <c r="M221" s="615"/>
      <c r="AB221" s="615"/>
      <c r="AC221" s="615"/>
      <c r="AD221" s="615"/>
      <c r="AE221" s="615"/>
      <c r="AF221" s="615"/>
      <c r="AG221" s="615"/>
      <c r="AH221" s="615"/>
      <c r="AI221" s="615"/>
      <c r="AJ221" s="615"/>
      <c r="AK221" s="615"/>
      <c r="AL221" s="615"/>
      <c r="AM221" s="615"/>
      <c r="AN221" s="615"/>
      <c r="AO221" s="615"/>
      <c r="AP221" s="615"/>
      <c r="AQ221" s="615"/>
      <c r="AR221" s="615"/>
      <c r="AS221" s="615"/>
    </row>
    <row r="222" spans="12:45">
      <c r="L222" s="615"/>
      <c r="M222" s="615"/>
      <c r="AB222" s="615"/>
      <c r="AC222" s="615"/>
      <c r="AD222" s="615"/>
      <c r="AE222" s="615"/>
      <c r="AF222" s="615"/>
      <c r="AG222" s="615"/>
      <c r="AH222" s="615"/>
      <c r="AI222" s="615"/>
      <c r="AJ222" s="615"/>
      <c r="AK222" s="615"/>
      <c r="AL222" s="615"/>
      <c r="AM222" s="615"/>
      <c r="AN222" s="615"/>
      <c r="AO222" s="615"/>
      <c r="AP222" s="615"/>
      <c r="AQ222" s="615"/>
      <c r="AR222" s="615"/>
      <c r="AS222" s="615"/>
    </row>
    <row r="223" spans="12:45">
      <c r="L223" s="615"/>
      <c r="M223" s="615"/>
      <c r="AB223" s="615"/>
      <c r="AC223" s="615"/>
      <c r="AD223" s="615"/>
      <c r="AE223" s="615"/>
      <c r="AF223" s="615"/>
      <c r="AG223" s="615"/>
      <c r="AH223" s="615"/>
      <c r="AI223" s="615"/>
      <c r="AJ223" s="615"/>
      <c r="AK223" s="615"/>
      <c r="AL223" s="615"/>
      <c r="AM223" s="615"/>
      <c r="AN223" s="615"/>
      <c r="AO223" s="615"/>
      <c r="AP223" s="615"/>
      <c r="AQ223" s="615"/>
      <c r="AR223" s="615"/>
      <c r="AS223" s="615"/>
    </row>
    <row r="224" spans="12:45">
      <c r="L224" s="615"/>
      <c r="M224" s="615"/>
      <c r="AB224" s="615"/>
      <c r="AC224" s="615"/>
      <c r="AD224" s="615"/>
      <c r="AE224" s="615"/>
      <c r="AF224" s="615"/>
      <c r="AG224" s="615"/>
      <c r="AH224" s="615"/>
      <c r="AI224" s="615"/>
      <c r="AJ224" s="615"/>
      <c r="AK224" s="615"/>
      <c r="AL224" s="615"/>
      <c r="AM224" s="615"/>
      <c r="AN224" s="615"/>
      <c r="AO224" s="615"/>
      <c r="AP224" s="615"/>
      <c r="AQ224" s="615"/>
      <c r="AR224" s="615"/>
      <c r="AS224" s="615"/>
    </row>
    <row r="225" spans="12:45">
      <c r="L225" s="615"/>
      <c r="M225" s="615"/>
      <c r="AB225" s="615"/>
      <c r="AC225" s="615"/>
      <c r="AD225" s="615"/>
      <c r="AE225" s="615"/>
      <c r="AF225" s="615"/>
      <c r="AG225" s="615"/>
      <c r="AH225" s="615"/>
      <c r="AI225" s="615"/>
      <c r="AJ225" s="615"/>
      <c r="AK225" s="615"/>
      <c r="AL225" s="615"/>
      <c r="AM225" s="615"/>
      <c r="AN225" s="615"/>
      <c r="AO225" s="615"/>
      <c r="AP225" s="615"/>
      <c r="AQ225" s="615"/>
      <c r="AR225" s="615"/>
      <c r="AS225" s="615"/>
    </row>
    <row r="226" spans="12:45">
      <c r="L226" s="615"/>
      <c r="M226" s="615"/>
      <c r="AB226" s="615"/>
      <c r="AC226" s="615"/>
      <c r="AD226" s="615"/>
      <c r="AE226" s="615"/>
      <c r="AF226" s="615"/>
      <c r="AG226" s="615"/>
      <c r="AH226" s="615"/>
      <c r="AI226" s="615"/>
      <c r="AJ226" s="615"/>
      <c r="AK226" s="615"/>
      <c r="AL226" s="615"/>
      <c r="AM226" s="615"/>
      <c r="AN226" s="615"/>
      <c r="AO226" s="615"/>
      <c r="AP226" s="615"/>
      <c r="AQ226" s="615"/>
      <c r="AR226" s="615"/>
      <c r="AS226" s="615"/>
    </row>
    <row r="227" spans="12:45">
      <c r="L227" s="615"/>
      <c r="M227" s="615"/>
      <c r="AB227" s="615"/>
      <c r="AC227" s="615"/>
      <c r="AD227" s="615"/>
      <c r="AE227" s="615"/>
      <c r="AF227" s="615"/>
      <c r="AG227" s="615"/>
      <c r="AH227" s="615"/>
      <c r="AI227" s="615"/>
      <c r="AJ227" s="615"/>
      <c r="AK227" s="615"/>
      <c r="AL227" s="615"/>
      <c r="AM227" s="615"/>
      <c r="AN227" s="615"/>
      <c r="AO227" s="615"/>
      <c r="AP227" s="615"/>
      <c r="AQ227" s="615"/>
      <c r="AR227" s="615"/>
      <c r="AS227" s="615"/>
    </row>
    <row r="228" spans="12:45">
      <c r="L228" s="615"/>
      <c r="M228" s="615"/>
      <c r="AB228" s="615"/>
      <c r="AC228" s="615"/>
      <c r="AD228" s="615"/>
      <c r="AE228" s="615"/>
      <c r="AF228" s="615"/>
      <c r="AG228" s="615"/>
      <c r="AH228" s="615"/>
      <c r="AI228" s="615"/>
      <c r="AJ228" s="615"/>
      <c r="AK228" s="615"/>
      <c r="AL228" s="615"/>
      <c r="AM228" s="615"/>
      <c r="AN228" s="615"/>
      <c r="AO228" s="615"/>
      <c r="AP228" s="615"/>
      <c r="AQ228" s="615"/>
      <c r="AR228" s="615"/>
      <c r="AS228" s="615"/>
    </row>
    <row r="229" spans="12:45">
      <c r="L229" s="615"/>
      <c r="M229" s="615"/>
      <c r="AB229" s="615"/>
      <c r="AC229" s="615"/>
      <c r="AD229" s="615"/>
      <c r="AE229" s="615"/>
      <c r="AF229" s="615"/>
      <c r="AG229" s="615"/>
      <c r="AH229" s="615"/>
      <c r="AI229" s="615"/>
      <c r="AJ229" s="615"/>
      <c r="AK229" s="615"/>
      <c r="AL229" s="615"/>
      <c r="AM229" s="615"/>
      <c r="AN229" s="615"/>
      <c r="AO229" s="615"/>
      <c r="AP229" s="615"/>
      <c r="AQ229" s="615"/>
      <c r="AR229" s="615"/>
      <c r="AS229" s="615"/>
    </row>
    <row r="230" spans="12:45">
      <c r="L230" s="615"/>
      <c r="M230" s="615"/>
      <c r="AB230" s="615"/>
      <c r="AC230" s="615"/>
      <c r="AD230" s="615"/>
      <c r="AE230" s="615"/>
      <c r="AF230" s="615"/>
      <c r="AG230" s="615"/>
      <c r="AH230" s="615"/>
      <c r="AI230" s="615"/>
      <c r="AJ230" s="615"/>
      <c r="AK230" s="615"/>
      <c r="AL230" s="615"/>
      <c r="AM230" s="615"/>
      <c r="AN230" s="615"/>
      <c r="AO230" s="615"/>
      <c r="AP230" s="615"/>
      <c r="AQ230" s="615"/>
      <c r="AR230" s="615"/>
      <c r="AS230" s="615"/>
    </row>
    <row r="231" spans="12:45">
      <c r="L231" s="615"/>
      <c r="M231" s="615"/>
      <c r="AB231" s="615"/>
      <c r="AC231" s="615"/>
      <c r="AD231" s="615"/>
      <c r="AE231" s="615"/>
      <c r="AF231" s="615"/>
      <c r="AG231" s="615"/>
      <c r="AH231" s="615"/>
      <c r="AI231" s="615"/>
      <c r="AJ231" s="615"/>
      <c r="AK231" s="615"/>
      <c r="AL231" s="615"/>
      <c r="AM231" s="615"/>
      <c r="AN231" s="615"/>
      <c r="AO231" s="615"/>
      <c r="AP231" s="615"/>
      <c r="AQ231" s="615"/>
      <c r="AR231" s="615"/>
      <c r="AS231" s="615"/>
    </row>
    <row r="232" spans="12:45">
      <c r="L232" s="615"/>
      <c r="M232" s="615"/>
      <c r="AB232" s="615"/>
      <c r="AC232" s="615"/>
      <c r="AD232" s="615"/>
      <c r="AE232" s="615"/>
      <c r="AF232" s="615"/>
      <c r="AG232" s="615"/>
      <c r="AH232" s="615"/>
      <c r="AI232" s="615"/>
      <c r="AJ232" s="615"/>
      <c r="AK232" s="615"/>
      <c r="AL232" s="615"/>
      <c r="AM232" s="615"/>
      <c r="AN232" s="615"/>
      <c r="AO232" s="615"/>
      <c r="AP232" s="615"/>
      <c r="AQ232" s="615"/>
      <c r="AR232" s="615"/>
      <c r="AS232" s="615"/>
    </row>
    <row r="233" spans="12:45">
      <c r="L233" s="615"/>
      <c r="M233" s="615"/>
      <c r="AB233" s="615"/>
      <c r="AC233" s="615"/>
      <c r="AD233" s="615"/>
      <c r="AE233" s="615"/>
      <c r="AF233" s="615"/>
      <c r="AG233" s="615"/>
      <c r="AH233" s="615"/>
      <c r="AI233" s="615"/>
      <c r="AJ233" s="615"/>
      <c r="AK233" s="615"/>
      <c r="AL233" s="615"/>
      <c r="AM233" s="615"/>
      <c r="AN233" s="615"/>
      <c r="AO233" s="615"/>
      <c r="AP233" s="615"/>
      <c r="AQ233" s="615"/>
      <c r="AR233" s="615"/>
      <c r="AS233" s="615"/>
    </row>
    <row r="234" spans="12:45">
      <c r="L234" s="615"/>
      <c r="M234" s="615"/>
      <c r="AB234" s="615"/>
      <c r="AC234" s="615"/>
      <c r="AD234" s="615"/>
      <c r="AE234" s="615"/>
      <c r="AF234" s="615"/>
      <c r="AG234" s="615"/>
      <c r="AH234" s="615"/>
      <c r="AI234" s="615"/>
      <c r="AJ234" s="615"/>
      <c r="AK234" s="615"/>
      <c r="AL234" s="615"/>
      <c r="AM234" s="615"/>
      <c r="AN234" s="615"/>
      <c r="AO234" s="615"/>
      <c r="AP234" s="615"/>
      <c r="AQ234" s="615"/>
      <c r="AR234" s="615"/>
      <c r="AS234" s="615"/>
    </row>
    <row r="235" spans="12:45">
      <c r="L235" s="615"/>
      <c r="M235" s="615"/>
      <c r="AB235" s="615"/>
      <c r="AC235" s="615"/>
      <c r="AD235" s="615"/>
      <c r="AE235" s="615"/>
      <c r="AF235" s="615"/>
      <c r="AG235" s="615"/>
      <c r="AH235" s="615"/>
      <c r="AI235" s="615"/>
      <c r="AJ235" s="615"/>
      <c r="AK235" s="615"/>
      <c r="AL235" s="615"/>
      <c r="AM235" s="615"/>
      <c r="AN235" s="615"/>
      <c r="AO235" s="615"/>
      <c r="AP235" s="615"/>
      <c r="AQ235" s="615"/>
      <c r="AR235" s="615"/>
      <c r="AS235" s="615"/>
    </row>
    <row r="236" spans="12:45">
      <c r="L236" s="615"/>
      <c r="M236" s="615"/>
      <c r="AB236" s="615"/>
      <c r="AC236" s="615"/>
      <c r="AD236" s="615"/>
      <c r="AE236" s="615"/>
      <c r="AF236" s="615"/>
      <c r="AG236" s="615"/>
      <c r="AH236" s="615"/>
      <c r="AI236" s="615"/>
      <c r="AJ236" s="615"/>
      <c r="AK236" s="615"/>
      <c r="AL236" s="615"/>
      <c r="AM236" s="615"/>
      <c r="AN236" s="615"/>
      <c r="AO236" s="615"/>
      <c r="AP236" s="615"/>
      <c r="AQ236" s="615"/>
      <c r="AR236" s="615"/>
      <c r="AS236" s="615"/>
    </row>
    <row r="237" spans="12:45">
      <c r="L237" s="615"/>
      <c r="M237" s="615"/>
      <c r="AB237" s="615"/>
      <c r="AC237" s="615"/>
      <c r="AD237" s="615"/>
      <c r="AE237" s="615"/>
      <c r="AF237" s="615"/>
      <c r="AG237" s="615"/>
      <c r="AH237" s="615"/>
      <c r="AI237" s="615"/>
      <c r="AJ237" s="615"/>
      <c r="AK237" s="615"/>
      <c r="AL237" s="615"/>
      <c r="AM237" s="615"/>
      <c r="AN237" s="615"/>
      <c r="AO237" s="615"/>
      <c r="AP237" s="615"/>
      <c r="AQ237" s="615"/>
      <c r="AR237" s="615"/>
      <c r="AS237" s="615"/>
    </row>
    <row r="238" spans="12:45">
      <c r="L238" s="615"/>
      <c r="M238" s="615"/>
      <c r="AB238" s="615"/>
      <c r="AC238" s="615"/>
      <c r="AD238" s="615"/>
      <c r="AE238" s="615"/>
      <c r="AF238" s="615"/>
      <c r="AG238" s="615"/>
      <c r="AH238" s="615"/>
      <c r="AI238" s="615"/>
      <c r="AJ238" s="615"/>
      <c r="AK238" s="615"/>
      <c r="AL238" s="615"/>
      <c r="AM238" s="615"/>
      <c r="AN238" s="615"/>
      <c r="AO238" s="615"/>
      <c r="AP238" s="615"/>
      <c r="AQ238" s="615"/>
      <c r="AR238" s="615"/>
      <c r="AS238" s="615"/>
    </row>
    <row r="239" spans="12:45">
      <c r="L239" s="615"/>
      <c r="M239" s="615"/>
      <c r="AB239" s="615"/>
      <c r="AC239" s="615"/>
      <c r="AD239" s="615"/>
      <c r="AE239" s="615"/>
      <c r="AF239" s="615"/>
      <c r="AG239" s="615"/>
      <c r="AH239" s="615"/>
      <c r="AI239" s="615"/>
      <c r="AJ239" s="615"/>
      <c r="AK239" s="615"/>
      <c r="AL239" s="615"/>
      <c r="AM239" s="615"/>
      <c r="AN239" s="615"/>
      <c r="AO239" s="615"/>
      <c r="AP239" s="615"/>
      <c r="AQ239" s="615"/>
      <c r="AR239" s="615"/>
      <c r="AS239" s="615"/>
    </row>
    <row r="240" spans="12:45">
      <c r="L240" s="615"/>
      <c r="M240" s="615"/>
      <c r="AB240" s="615"/>
      <c r="AC240" s="615"/>
      <c r="AD240" s="615"/>
      <c r="AE240" s="615"/>
      <c r="AF240" s="615"/>
      <c r="AG240" s="615"/>
      <c r="AH240" s="615"/>
      <c r="AI240" s="615"/>
      <c r="AJ240" s="615"/>
      <c r="AK240" s="615"/>
      <c r="AL240" s="615"/>
      <c r="AM240" s="615"/>
      <c r="AN240" s="615"/>
      <c r="AO240" s="615"/>
      <c r="AP240" s="615"/>
      <c r="AQ240" s="615"/>
      <c r="AR240" s="615"/>
      <c r="AS240" s="615"/>
    </row>
    <row r="241" spans="12:45">
      <c r="L241" s="615"/>
      <c r="M241" s="615"/>
      <c r="AB241" s="615"/>
      <c r="AC241" s="615"/>
      <c r="AD241" s="615"/>
      <c r="AE241" s="615"/>
      <c r="AF241" s="615"/>
      <c r="AG241" s="615"/>
      <c r="AH241" s="615"/>
      <c r="AI241" s="615"/>
      <c r="AJ241" s="615"/>
      <c r="AK241" s="615"/>
      <c r="AL241" s="615"/>
      <c r="AM241" s="615"/>
      <c r="AN241" s="615"/>
      <c r="AO241" s="615"/>
      <c r="AP241" s="615"/>
      <c r="AQ241" s="615"/>
      <c r="AR241" s="615"/>
      <c r="AS241" s="615"/>
    </row>
    <row r="242" spans="12:45">
      <c r="L242" s="615"/>
      <c r="M242" s="615"/>
      <c r="AB242" s="615"/>
      <c r="AC242" s="615"/>
      <c r="AD242" s="615"/>
      <c r="AE242" s="615"/>
      <c r="AF242" s="615"/>
      <c r="AG242" s="615"/>
      <c r="AH242" s="615"/>
      <c r="AI242" s="615"/>
      <c r="AJ242" s="615"/>
      <c r="AK242" s="615"/>
      <c r="AL242" s="615"/>
      <c r="AM242" s="615"/>
      <c r="AN242" s="615"/>
      <c r="AO242" s="615"/>
      <c r="AP242" s="615"/>
      <c r="AQ242" s="615"/>
      <c r="AR242" s="615"/>
      <c r="AS242" s="615"/>
    </row>
    <row r="243" spans="12:45">
      <c r="L243" s="615"/>
      <c r="M243" s="615"/>
      <c r="AB243" s="615"/>
      <c r="AC243" s="615"/>
      <c r="AD243" s="615"/>
      <c r="AE243" s="615"/>
      <c r="AF243" s="615"/>
      <c r="AG243" s="615"/>
      <c r="AH243" s="615"/>
      <c r="AI243" s="615"/>
      <c r="AJ243" s="615"/>
      <c r="AK243" s="615"/>
      <c r="AL243" s="615"/>
      <c r="AM243" s="615"/>
      <c r="AN243" s="615"/>
      <c r="AO243" s="615"/>
      <c r="AP243" s="615"/>
      <c r="AQ243" s="615"/>
      <c r="AR243" s="615"/>
      <c r="AS243" s="615"/>
    </row>
    <row r="244" spans="12:45">
      <c r="L244" s="615"/>
      <c r="M244" s="615"/>
      <c r="AB244" s="615"/>
      <c r="AC244" s="615"/>
      <c r="AD244" s="615"/>
      <c r="AE244" s="615"/>
      <c r="AF244" s="615"/>
      <c r="AG244" s="615"/>
      <c r="AH244" s="615"/>
      <c r="AI244" s="615"/>
      <c r="AJ244" s="615"/>
      <c r="AK244" s="615"/>
      <c r="AL244" s="615"/>
      <c r="AM244" s="615"/>
      <c r="AN244" s="615"/>
      <c r="AO244" s="615"/>
      <c r="AP244" s="615"/>
      <c r="AQ244" s="615"/>
      <c r="AR244" s="615"/>
      <c r="AS244" s="615"/>
    </row>
    <row r="245" spans="12:45">
      <c r="L245" s="615"/>
      <c r="M245" s="615"/>
      <c r="AB245" s="615"/>
      <c r="AC245" s="615"/>
      <c r="AD245" s="615"/>
      <c r="AE245" s="615"/>
      <c r="AF245" s="615"/>
      <c r="AG245" s="615"/>
      <c r="AH245" s="615"/>
      <c r="AI245" s="615"/>
      <c r="AJ245" s="615"/>
      <c r="AK245" s="615"/>
      <c r="AL245" s="615"/>
      <c r="AM245" s="615"/>
      <c r="AN245" s="615"/>
      <c r="AO245" s="615"/>
      <c r="AP245" s="615"/>
      <c r="AQ245" s="615"/>
      <c r="AR245" s="615"/>
      <c r="AS245" s="615"/>
    </row>
    <row r="246" spans="12:45">
      <c r="L246" s="615"/>
      <c r="M246" s="615"/>
      <c r="AB246" s="615"/>
      <c r="AC246" s="615"/>
      <c r="AD246" s="615"/>
      <c r="AE246" s="615"/>
      <c r="AF246" s="615"/>
      <c r="AG246" s="615"/>
      <c r="AH246" s="615"/>
      <c r="AI246" s="615"/>
      <c r="AJ246" s="615"/>
      <c r="AK246" s="615"/>
      <c r="AL246" s="615"/>
      <c r="AM246" s="615"/>
      <c r="AN246" s="615"/>
      <c r="AO246" s="615"/>
      <c r="AP246" s="615"/>
      <c r="AQ246" s="615"/>
      <c r="AR246" s="615"/>
      <c r="AS246" s="615"/>
    </row>
    <row r="247" spans="12:45">
      <c r="L247" s="615"/>
      <c r="M247" s="615"/>
      <c r="AB247" s="615"/>
      <c r="AC247" s="615"/>
      <c r="AD247" s="615"/>
      <c r="AE247" s="615"/>
      <c r="AF247" s="615"/>
      <c r="AG247" s="615"/>
      <c r="AH247" s="615"/>
      <c r="AI247" s="615"/>
      <c r="AJ247" s="615"/>
      <c r="AK247" s="615"/>
      <c r="AL247" s="615"/>
      <c r="AM247" s="615"/>
      <c r="AN247" s="615"/>
      <c r="AO247" s="615"/>
      <c r="AP247" s="615"/>
      <c r="AQ247" s="615"/>
      <c r="AR247" s="615"/>
      <c r="AS247" s="615"/>
    </row>
    <row r="248" spans="12:45">
      <c r="L248" s="615"/>
      <c r="M248" s="615"/>
      <c r="AB248" s="615"/>
      <c r="AC248" s="615"/>
      <c r="AD248" s="615"/>
      <c r="AE248" s="615"/>
      <c r="AF248" s="615"/>
      <c r="AG248" s="615"/>
      <c r="AH248" s="615"/>
      <c r="AI248" s="615"/>
      <c r="AJ248" s="615"/>
      <c r="AK248" s="615"/>
      <c r="AL248" s="615"/>
      <c r="AM248" s="615"/>
      <c r="AN248" s="615"/>
      <c r="AO248" s="615"/>
      <c r="AP248" s="615"/>
      <c r="AQ248" s="615"/>
      <c r="AR248" s="615"/>
      <c r="AS248" s="615"/>
    </row>
    <row r="249" spans="12:45">
      <c r="L249" s="615"/>
      <c r="M249" s="615"/>
      <c r="AB249" s="615"/>
      <c r="AC249" s="615"/>
      <c r="AD249" s="615"/>
      <c r="AE249" s="615"/>
      <c r="AF249" s="615"/>
      <c r="AG249" s="615"/>
      <c r="AH249" s="615"/>
      <c r="AI249" s="615"/>
      <c r="AJ249" s="615"/>
      <c r="AK249" s="615"/>
      <c r="AL249" s="615"/>
      <c r="AM249" s="615"/>
      <c r="AN249" s="615"/>
      <c r="AO249" s="615"/>
      <c r="AP249" s="615"/>
      <c r="AQ249" s="615"/>
      <c r="AR249" s="615"/>
      <c r="AS249" s="615"/>
    </row>
    <row r="250" spans="12:45">
      <c r="L250" s="615"/>
      <c r="M250" s="615"/>
      <c r="AB250" s="615"/>
      <c r="AC250" s="615"/>
      <c r="AD250" s="615"/>
      <c r="AE250" s="615"/>
      <c r="AF250" s="615"/>
      <c r="AG250" s="615"/>
      <c r="AH250" s="615"/>
      <c r="AI250" s="615"/>
      <c r="AJ250" s="615"/>
      <c r="AK250" s="615"/>
      <c r="AL250" s="615"/>
      <c r="AM250" s="615"/>
      <c r="AN250" s="615"/>
      <c r="AO250" s="615"/>
      <c r="AP250" s="615"/>
      <c r="AQ250" s="615"/>
      <c r="AR250" s="615"/>
      <c r="AS250" s="615"/>
    </row>
    <row r="251" spans="12:45">
      <c r="L251" s="615"/>
      <c r="M251" s="615"/>
      <c r="AB251" s="615"/>
      <c r="AC251" s="615"/>
      <c r="AD251" s="615"/>
      <c r="AE251" s="615"/>
      <c r="AF251" s="615"/>
      <c r="AG251" s="615"/>
      <c r="AH251" s="615"/>
      <c r="AI251" s="615"/>
      <c r="AJ251" s="615"/>
      <c r="AK251" s="615"/>
      <c r="AL251" s="615"/>
      <c r="AM251" s="615"/>
      <c r="AN251" s="615"/>
      <c r="AO251" s="615"/>
      <c r="AP251" s="615"/>
      <c r="AQ251" s="615"/>
      <c r="AR251" s="615"/>
      <c r="AS251" s="615"/>
    </row>
    <row r="252" spans="12:45">
      <c r="L252" s="615"/>
      <c r="M252" s="615"/>
      <c r="AB252" s="615"/>
      <c r="AC252" s="615"/>
      <c r="AD252" s="615"/>
      <c r="AE252" s="615"/>
      <c r="AF252" s="615"/>
      <c r="AG252" s="615"/>
      <c r="AH252" s="615"/>
      <c r="AI252" s="615"/>
      <c r="AJ252" s="615"/>
      <c r="AK252" s="615"/>
      <c r="AL252" s="615"/>
      <c r="AM252" s="615"/>
      <c r="AN252" s="615"/>
      <c r="AO252" s="615"/>
      <c r="AP252" s="615"/>
      <c r="AQ252" s="615"/>
      <c r="AR252" s="615"/>
      <c r="AS252" s="615"/>
    </row>
    <row r="253" spans="12:45">
      <c r="L253" s="615"/>
      <c r="M253" s="615"/>
      <c r="AB253" s="615"/>
      <c r="AC253" s="615"/>
      <c r="AD253" s="615"/>
      <c r="AE253" s="615"/>
      <c r="AF253" s="615"/>
      <c r="AG253" s="615"/>
      <c r="AH253" s="615"/>
      <c r="AI253" s="615"/>
      <c r="AJ253" s="615"/>
      <c r="AK253" s="615"/>
      <c r="AL253" s="615"/>
      <c r="AM253" s="615"/>
      <c r="AN253" s="615"/>
      <c r="AO253" s="615"/>
      <c r="AP253" s="615"/>
      <c r="AQ253" s="615"/>
      <c r="AR253" s="615"/>
      <c r="AS253" s="615"/>
    </row>
    <row r="254" spans="12:45">
      <c r="L254" s="615"/>
      <c r="M254" s="615"/>
      <c r="AB254" s="615"/>
      <c r="AC254" s="615"/>
      <c r="AD254" s="615"/>
      <c r="AE254" s="615"/>
      <c r="AF254" s="615"/>
      <c r="AG254" s="615"/>
      <c r="AH254" s="615"/>
      <c r="AI254" s="615"/>
      <c r="AJ254" s="615"/>
      <c r="AK254" s="615"/>
      <c r="AL254" s="615"/>
      <c r="AM254" s="615"/>
      <c r="AN254" s="615"/>
      <c r="AO254" s="615"/>
      <c r="AP254" s="615"/>
      <c r="AQ254" s="615"/>
      <c r="AR254" s="615"/>
      <c r="AS254" s="615"/>
    </row>
    <row r="255" spans="12:45">
      <c r="L255" s="615"/>
      <c r="M255" s="615"/>
      <c r="AB255" s="615"/>
      <c r="AC255" s="615"/>
      <c r="AD255" s="615"/>
      <c r="AE255" s="615"/>
      <c r="AF255" s="615"/>
      <c r="AG255" s="615"/>
      <c r="AH255" s="615"/>
      <c r="AI255" s="615"/>
      <c r="AJ255" s="615"/>
      <c r="AK255" s="615"/>
      <c r="AL255" s="615"/>
      <c r="AM255" s="615"/>
      <c r="AN255" s="615"/>
      <c r="AO255" s="615"/>
      <c r="AP255" s="615"/>
      <c r="AQ255" s="615"/>
      <c r="AR255" s="615"/>
      <c r="AS255" s="615"/>
    </row>
    <row r="256" spans="12:45">
      <c r="L256" s="615"/>
      <c r="M256" s="615"/>
      <c r="AB256" s="615"/>
      <c r="AC256" s="615"/>
      <c r="AD256" s="615"/>
      <c r="AE256" s="615"/>
      <c r="AF256" s="615"/>
      <c r="AG256" s="615"/>
      <c r="AH256" s="615"/>
      <c r="AI256" s="615"/>
      <c r="AJ256" s="615"/>
      <c r="AK256" s="615"/>
      <c r="AL256" s="615"/>
      <c r="AM256" s="615"/>
      <c r="AN256" s="615"/>
      <c r="AO256" s="615"/>
      <c r="AP256" s="615"/>
      <c r="AQ256" s="615"/>
      <c r="AR256" s="615"/>
      <c r="AS256" s="615"/>
    </row>
    <row r="257" spans="12:45">
      <c r="L257" s="615"/>
      <c r="M257" s="615"/>
      <c r="AB257" s="615"/>
      <c r="AC257" s="615"/>
      <c r="AD257" s="615"/>
      <c r="AE257" s="615"/>
      <c r="AF257" s="615"/>
      <c r="AG257" s="615"/>
      <c r="AH257" s="615"/>
      <c r="AI257" s="615"/>
      <c r="AJ257" s="615"/>
      <c r="AK257" s="615"/>
      <c r="AL257" s="615"/>
      <c r="AM257" s="615"/>
      <c r="AN257" s="615"/>
      <c r="AO257" s="615"/>
      <c r="AP257" s="615"/>
      <c r="AQ257" s="615"/>
      <c r="AR257" s="615"/>
      <c r="AS257" s="615"/>
    </row>
    <row r="258" spans="12:45">
      <c r="L258" s="615"/>
      <c r="M258" s="615"/>
      <c r="AB258" s="615"/>
      <c r="AC258" s="615"/>
      <c r="AD258" s="615"/>
      <c r="AE258" s="615"/>
      <c r="AF258" s="615"/>
      <c r="AG258" s="615"/>
      <c r="AH258" s="615"/>
      <c r="AI258" s="615"/>
      <c r="AJ258" s="615"/>
      <c r="AK258" s="615"/>
      <c r="AL258" s="615"/>
      <c r="AM258" s="615"/>
      <c r="AN258" s="615"/>
      <c r="AO258" s="615"/>
      <c r="AP258" s="615"/>
      <c r="AQ258" s="615"/>
      <c r="AR258" s="615"/>
      <c r="AS258" s="615"/>
    </row>
    <row r="259" spans="12:45">
      <c r="L259" s="615"/>
      <c r="M259" s="615"/>
      <c r="AB259" s="615"/>
      <c r="AC259" s="615"/>
      <c r="AD259" s="615"/>
      <c r="AE259" s="615"/>
      <c r="AF259" s="615"/>
      <c r="AG259" s="615"/>
      <c r="AH259" s="615"/>
      <c r="AI259" s="615"/>
      <c r="AJ259" s="615"/>
      <c r="AK259" s="615"/>
      <c r="AL259" s="615"/>
      <c r="AM259" s="615"/>
      <c r="AN259" s="615"/>
      <c r="AO259" s="615"/>
      <c r="AP259" s="615"/>
      <c r="AQ259" s="615"/>
      <c r="AR259" s="615"/>
      <c r="AS259" s="615"/>
    </row>
    <row r="260" spans="12:45">
      <c r="L260" s="615"/>
      <c r="M260" s="615"/>
      <c r="AB260" s="615"/>
      <c r="AC260" s="615"/>
      <c r="AD260" s="615"/>
      <c r="AE260" s="615"/>
      <c r="AF260" s="615"/>
      <c r="AG260" s="615"/>
      <c r="AH260" s="615"/>
      <c r="AI260" s="615"/>
      <c r="AJ260" s="615"/>
      <c r="AK260" s="615"/>
      <c r="AL260" s="615"/>
      <c r="AM260" s="615"/>
      <c r="AN260" s="615"/>
      <c r="AO260" s="615"/>
      <c r="AP260" s="615"/>
      <c r="AQ260" s="615"/>
      <c r="AR260" s="615"/>
      <c r="AS260" s="615"/>
    </row>
    <row r="261" spans="12:45">
      <c r="L261" s="615"/>
      <c r="M261" s="615"/>
      <c r="AB261" s="615"/>
      <c r="AC261" s="615"/>
      <c r="AD261" s="615"/>
      <c r="AE261" s="615"/>
      <c r="AF261" s="615"/>
      <c r="AG261" s="615"/>
      <c r="AH261" s="615"/>
      <c r="AI261" s="615"/>
      <c r="AJ261" s="615"/>
      <c r="AK261" s="615"/>
      <c r="AL261" s="615"/>
      <c r="AM261" s="615"/>
      <c r="AN261" s="615"/>
      <c r="AO261" s="615"/>
      <c r="AP261" s="615"/>
      <c r="AQ261" s="615"/>
      <c r="AR261" s="615"/>
      <c r="AS261" s="615"/>
    </row>
    <row r="262" spans="12:45">
      <c r="L262" s="615"/>
      <c r="M262" s="615"/>
      <c r="AB262" s="615"/>
      <c r="AC262" s="615"/>
      <c r="AD262" s="615"/>
      <c r="AE262" s="615"/>
      <c r="AF262" s="615"/>
      <c r="AG262" s="615"/>
      <c r="AH262" s="615"/>
      <c r="AI262" s="615"/>
      <c r="AJ262" s="615"/>
      <c r="AK262" s="615"/>
      <c r="AL262" s="615"/>
      <c r="AM262" s="615"/>
      <c r="AN262" s="615"/>
      <c r="AO262" s="615"/>
      <c r="AP262" s="615"/>
      <c r="AQ262" s="615"/>
      <c r="AR262" s="615"/>
      <c r="AS262" s="615"/>
    </row>
    <row r="263" spans="12:45">
      <c r="L263" s="615"/>
      <c r="M263" s="615"/>
      <c r="AB263" s="615"/>
      <c r="AC263" s="615"/>
      <c r="AD263" s="615"/>
      <c r="AE263" s="615"/>
      <c r="AF263" s="615"/>
      <c r="AG263" s="615"/>
      <c r="AH263" s="615"/>
      <c r="AI263" s="615"/>
      <c r="AJ263" s="615"/>
      <c r="AK263" s="615"/>
      <c r="AL263" s="615"/>
      <c r="AM263" s="615"/>
      <c r="AN263" s="615"/>
      <c r="AO263" s="615"/>
      <c r="AP263" s="615"/>
      <c r="AQ263" s="615"/>
      <c r="AR263" s="615"/>
      <c r="AS263" s="615"/>
    </row>
    <row r="264" spans="12:45">
      <c r="L264" s="615"/>
      <c r="M264" s="615"/>
      <c r="AB264" s="615"/>
      <c r="AC264" s="615"/>
      <c r="AD264" s="615"/>
      <c r="AE264" s="615"/>
      <c r="AF264" s="615"/>
      <c r="AG264" s="615"/>
      <c r="AH264" s="615"/>
      <c r="AI264" s="615"/>
      <c r="AJ264" s="615"/>
      <c r="AK264" s="615"/>
      <c r="AL264" s="615"/>
      <c r="AM264" s="615"/>
      <c r="AN264" s="615"/>
      <c r="AO264" s="615"/>
      <c r="AP264" s="615"/>
      <c r="AQ264" s="615"/>
      <c r="AR264" s="615"/>
      <c r="AS264" s="615"/>
    </row>
    <row r="265" spans="12:45">
      <c r="L265" s="615"/>
      <c r="M265" s="615"/>
      <c r="AB265" s="615"/>
      <c r="AC265" s="615"/>
      <c r="AD265" s="615"/>
      <c r="AE265" s="615"/>
      <c r="AF265" s="615"/>
      <c r="AG265" s="615"/>
      <c r="AH265" s="615"/>
      <c r="AI265" s="615"/>
      <c r="AJ265" s="615"/>
      <c r="AK265" s="615"/>
      <c r="AL265" s="615"/>
      <c r="AM265" s="615"/>
      <c r="AN265" s="615"/>
      <c r="AO265" s="615"/>
      <c r="AP265" s="615"/>
      <c r="AQ265" s="615"/>
      <c r="AR265" s="615"/>
      <c r="AS265" s="615"/>
    </row>
    <row r="266" spans="12:45">
      <c r="L266" s="615"/>
      <c r="M266" s="615"/>
      <c r="AB266" s="615"/>
      <c r="AC266" s="615"/>
      <c r="AD266" s="615"/>
      <c r="AE266" s="615"/>
      <c r="AF266" s="615"/>
      <c r="AG266" s="615"/>
      <c r="AH266" s="615"/>
      <c r="AI266" s="615"/>
      <c r="AJ266" s="615"/>
      <c r="AK266" s="615"/>
      <c r="AL266" s="615"/>
      <c r="AM266" s="615"/>
      <c r="AN266" s="615"/>
      <c r="AO266" s="615"/>
      <c r="AP266" s="615"/>
      <c r="AQ266" s="615"/>
      <c r="AR266" s="615"/>
      <c r="AS266" s="615"/>
    </row>
    <row r="267" spans="12:45">
      <c r="L267" s="615"/>
      <c r="M267" s="615"/>
      <c r="AB267" s="615"/>
      <c r="AC267" s="615"/>
      <c r="AD267" s="615"/>
      <c r="AE267" s="615"/>
      <c r="AF267" s="615"/>
      <c r="AG267" s="615"/>
      <c r="AH267" s="615"/>
      <c r="AI267" s="615"/>
      <c r="AJ267" s="615"/>
      <c r="AK267" s="615"/>
      <c r="AL267" s="615"/>
      <c r="AM267" s="615"/>
      <c r="AN267" s="615"/>
      <c r="AO267" s="615"/>
      <c r="AP267" s="615"/>
      <c r="AQ267" s="615"/>
      <c r="AR267" s="615"/>
      <c r="AS267" s="615"/>
    </row>
    <row r="268" spans="12:45">
      <c r="L268" s="615"/>
      <c r="M268" s="615"/>
      <c r="AB268" s="615"/>
      <c r="AC268" s="615"/>
      <c r="AD268" s="615"/>
      <c r="AE268" s="615"/>
      <c r="AF268" s="615"/>
      <c r="AG268" s="615"/>
      <c r="AH268" s="615"/>
      <c r="AI268" s="615"/>
      <c r="AJ268" s="615"/>
      <c r="AK268" s="615"/>
      <c r="AL268" s="615"/>
      <c r="AM268" s="615"/>
      <c r="AN268" s="615"/>
      <c r="AO268" s="615"/>
      <c r="AP268" s="615"/>
      <c r="AQ268" s="615"/>
      <c r="AR268" s="615"/>
      <c r="AS268" s="615"/>
    </row>
    <row r="269" spans="12:45">
      <c r="L269" s="615"/>
      <c r="M269" s="615"/>
      <c r="AB269" s="615"/>
      <c r="AC269" s="615"/>
      <c r="AD269" s="615"/>
      <c r="AE269" s="615"/>
      <c r="AF269" s="615"/>
      <c r="AG269" s="615"/>
      <c r="AH269" s="615"/>
      <c r="AI269" s="615"/>
      <c r="AJ269" s="615"/>
      <c r="AK269" s="615"/>
      <c r="AL269" s="615"/>
      <c r="AM269" s="615"/>
      <c r="AN269" s="615"/>
      <c r="AO269" s="615"/>
      <c r="AP269" s="615"/>
      <c r="AQ269" s="615"/>
      <c r="AR269" s="615"/>
      <c r="AS269" s="615"/>
    </row>
    <row r="270" spans="12:45">
      <c r="L270" s="615"/>
      <c r="M270" s="615"/>
      <c r="AB270" s="615"/>
      <c r="AC270" s="615"/>
      <c r="AD270" s="615"/>
      <c r="AE270" s="615"/>
      <c r="AF270" s="615"/>
      <c r="AG270" s="615"/>
      <c r="AH270" s="615"/>
      <c r="AI270" s="615"/>
      <c r="AJ270" s="615"/>
      <c r="AK270" s="615"/>
      <c r="AL270" s="615"/>
      <c r="AM270" s="615"/>
      <c r="AN270" s="615"/>
      <c r="AO270" s="615"/>
      <c r="AP270" s="615"/>
      <c r="AQ270" s="615"/>
      <c r="AR270" s="615"/>
      <c r="AS270" s="615"/>
    </row>
    <row r="271" spans="12:45">
      <c r="L271" s="615"/>
      <c r="M271" s="615"/>
      <c r="AB271" s="615"/>
      <c r="AC271" s="615"/>
      <c r="AD271" s="615"/>
      <c r="AE271" s="615"/>
      <c r="AF271" s="615"/>
      <c r="AG271" s="615"/>
      <c r="AH271" s="615"/>
      <c r="AI271" s="615"/>
      <c r="AJ271" s="615"/>
      <c r="AK271" s="615"/>
      <c r="AL271" s="615"/>
      <c r="AM271" s="615"/>
      <c r="AN271" s="615"/>
      <c r="AO271" s="615"/>
      <c r="AP271" s="615"/>
      <c r="AQ271" s="615"/>
      <c r="AR271" s="615"/>
      <c r="AS271" s="615"/>
    </row>
    <row r="272" spans="12:45">
      <c r="L272" s="615"/>
      <c r="M272" s="615"/>
      <c r="AB272" s="615"/>
      <c r="AC272" s="615"/>
      <c r="AD272" s="615"/>
      <c r="AE272" s="615"/>
      <c r="AF272" s="615"/>
      <c r="AG272" s="615"/>
      <c r="AH272" s="615"/>
      <c r="AI272" s="615"/>
      <c r="AJ272" s="615"/>
      <c r="AK272" s="615"/>
      <c r="AL272" s="615"/>
      <c r="AM272" s="615"/>
      <c r="AN272" s="615"/>
      <c r="AO272" s="615"/>
      <c r="AP272" s="615"/>
      <c r="AQ272" s="615"/>
      <c r="AR272" s="615"/>
      <c r="AS272" s="615"/>
    </row>
    <row r="273" spans="12:45">
      <c r="L273" s="615"/>
      <c r="M273" s="615"/>
      <c r="AB273" s="615"/>
      <c r="AC273" s="615"/>
      <c r="AD273" s="615"/>
      <c r="AE273" s="615"/>
      <c r="AF273" s="615"/>
      <c r="AG273" s="615"/>
      <c r="AH273" s="615"/>
      <c r="AI273" s="615"/>
      <c r="AJ273" s="615"/>
      <c r="AK273" s="615"/>
      <c r="AL273" s="615"/>
      <c r="AM273" s="615"/>
      <c r="AN273" s="615"/>
      <c r="AO273" s="615"/>
      <c r="AP273" s="615"/>
      <c r="AQ273" s="615"/>
      <c r="AR273" s="615"/>
      <c r="AS273" s="615"/>
    </row>
    <row r="274" spans="12:45">
      <c r="L274" s="615"/>
      <c r="M274" s="615"/>
      <c r="AB274" s="615"/>
      <c r="AC274" s="615"/>
      <c r="AD274" s="615"/>
      <c r="AE274" s="615"/>
      <c r="AF274" s="615"/>
      <c r="AG274" s="615"/>
      <c r="AH274" s="615"/>
      <c r="AI274" s="615"/>
      <c r="AJ274" s="615"/>
      <c r="AK274" s="615"/>
      <c r="AL274" s="615"/>
      <c r="AM274" s="615"/>
      <c r="AN274" s="615"/>
      <c r="AO274" s="615"/>
      <c r="AP274" s="615"/>
      <c r="AQ274" s="615"/>
      <c r="AR274" s="615"/>
      <c r="AS274" s="615"/>
    </row>
    <row r="275" spans="12:45">
      <c r="L275" s="615"/>
      <c r="M275" s="615"/>
      <c r="AB275" s="615"/>
      <c r="AC275" s="615"/>
      <c r="AD275" s="615"/>
      <c r="AE275" s="615"/>
      <c r="AF275" s="615"/>
      <c r="AG275" s="615"/>
      <c r="AH275" s="615"/>
      <c r="AI275" s="615"/>
      <c r="AJ275" s="615"/>
      <c r="AK275" s="615"/>
      <c r="AL275" s="615"/>
      <c r="AM275" s="615"/>
      <c r="AN275" s="615"/>
      <c r="AO275" s="615"/>
      <c r="AP275" s="615"/>
      <c r="AQ275" s="615"/>
      <c r="AR275" s="615"/>
      <c r="AS275" s="615"/>
    </row>
    <row r="276" spans="12:45">
      <c r="L276" s="615"/>
      <c r="M276" s="615"/>
      <c r="AB276" s="615"/>
      <c r="AC276" s="615"/>
      <c r="AD276" s="615"/>
      <c r="AE276" s="615"/>
      <c r="AF276" s="615"/>
      <c r="AG276" s="615"/>
      <c r="AH276" s="615"/>
      <c r="AI276" s="615"/>
      <c r="AJ276" s="615"/>
      <c r="AK276" s="615"/>
      <c r="AL276" s="615"/>
      <c r="AM276" s="615"/>
      <c r="AN276" s="615"/>
      <c r="AO276" s="615"/>
      <c r="AP276" s="615"/>
      <c r="AQ276" s="615"/>
      <c r="AR276" s="615"/>
      <c r="AS276" s="615"/>
    </row>
    <row r="277" spans="12:45">
      <c r="L277" s="615"/>
      <c r="M277" s="615"/>
      <c r="AB277" s="615"/>
      <c r="AC277" s="615"/>
      <c r="AD277" s="615"/>
      <c r="AE277" s="615"/>
      <c r="AF277" s="615"/>
      <c r="AG277" s="615"/>
      <c r="AH277" s="615"/>
      <c r="AI277" s="615"/>
      <c r="AJ277" s="615"/>
      <c r="AK277" s="615"/>
      <c r="AL277" s="615"/>
      <c r="AM277" s="615"/>
      <c r="AN277" s="615"/>
      <c r="AO277" s="615"/>
      <c r="AP277" s="615"/>
      <c r="AQ277" s="615"/>
      <c r="AR277" s="615"/>
      <c r="AS277" s="615"/>
    </row>
    <row r="278" spans="12:45">
      <c r="L278" s="615"/>
      <c r="M278" s="615"/>
      <c r="AB278" s="615"/>
      <c r="AC278" s="615"/>
      <c r="AD278" s="615"/>
      <c r="AE278" s="615"/>
      <c r="AF278" s="615"/>
      <c r="AG278" s="615"/>
      <c r="AH278" s="615"/>
      <c r="AI278" s="615"/>
      <c r="AJ278" s="615"/>
      <c r="AK278" s="615"/>
      <c r="AL278" s="615"/>
      <c r="AM278" s="615"/>
      <c r="AN278" s="615"/>
      <c r="AO278" s="615"/>
      <c r="AP278" s="615"/>
      <c r="AQ278" s="615"/>
      <c r="AR278" s="615"/>
      <c r="AS278" s="615"/>
    </row>
    <row r="279" spans="12:45">
      <c r="L279" s="615"/>
      <c r="M279" s="615"/>
      <c r="AB279" s="615"/>
      <c r="AC279" s="615"/>
      <c r="AD279" s="615"/>
      <c r="AE279" s="615"/>
      <c r="AF279" s="615"/>
      <c r="AG279" s="615"/>
      <c r="AH279" s="615"/>
      <c r="AI279" s="615"/>
      <c r="AJ279" s="615"/>
      <c r="AK279" s="615"/>
      <c r="AL279" s="615"/>
      <c r="AM279" s="615"/>
      <c r="AN279" s="615"/>
      <c r="AO279" s="615"/>
      <c r="AP279" s="615"/>
      <c r="AQ279" s="615"/>
      <c r="AR279" s="615"/>
      <c r="AS279" s="615"/>
    </row>
    <row r="280" spans="12:45">
      <c r="L280" s="615"/>
      <c r="M280" s="615"/>
      <c r="AB280" s="615"/>
      <c r="AC280" s="615"/>
      <c r="AD280" s="615"/>
      <c r="AE280" s="615"/>
      <c r="AF280" s="615"/>
      <c r="AG280" s="615"/>
      <c r="AH280" s="615"/>
      <c r="AI280" s="615"/>
      <c r="AJ280" s="615"/>
      <c r="AK280" s="615"/>
      <c r="AL280" s="615"/>
      <c r="AM280" s="615"/>
      <c r="AN280" s="615"/>
      <c r="AO280" s="615"/>
      <c r="AP280" s="615"/>
      <c r="AQ280" s="615"/>
      <c r="AR280" s="615"/>
      <c r="AS280" s="615"/>
    </row>
    <row r="281" spans="12:45">
      <c r="L281" s="615"/>
      <c r="M281" s="615"/>
      <c r="AB281" s="615"/>
      <c r="AC281" s="615"/>
      <c r="AD281" s="615"/>
      <c r="AE281" s="615"/>
      <c r="AF281" s="615"/>
      <c r="AG281" s="615"/>
      <c r="AH281" s="615"/>
      <c r="AI281" s="615"/>
      <c r="AJ281" s="615"/>
      <c r="AK281" s="615"/>
      <c r="AL281" s="615"/>
      <c r="AM281" s="615"/>
      <c r="AN281" s="615"/>
      <c r="AO281" s="615"/>
      <c r="AP281" s="615"/>
      <c r="AQ281" s="615"/>
      <c r="AR281" s="615"/>
      <c r="AS281" s="615"/>
    </row>
    <row r="282" spans="12:45">
      <c r="L282" s="615"/>
      <c r="M282" s="615"/>
      <c r="AB282" s="615"/>
      <c r="AC282" s="615"/>
      <c r="AD282" s="615"/>
      <c r="AE282" s="615"/>
      <c r="AF282" s="615"/>
      <c r="AG282" s="615"/>
      <c r="AH282" s="615"/>
      <c r="AI282" s="615"/>
      <c r="AJ282" s="615"/>
      <c r="AK282" s="615"/>
      <c r="AL282" s="615"/>
      <c r="AM282" s="615"/>
      <c r="AN282" s="615"/>
      <c r="AO282" s="615"/>
      <c r="AP282" s="615"/>
      <c r="AQ282" s="615"/>
      <c r="AR282" s="615"/>
      <c r="AS282" s="615"/>
    </row>
    <row r="283" spans="12:45">
      <c r="L283" s="615"/>
      <c r="M283" s="615"/>
      <c r="AB283" s="615"/>
      <c r="AC283" s="615"/>
      <c r="AD283" s="615"/>
      <c r="AE283" s="615"/>
      <c r="AF283" s="615"/>
      <c r="AG283" s="615"/>
      <c r="AH283" s="615"/>
      <c r="AI283" s="615"/>
      <c r="AJ283" s="615"/>
      <c r="AK283" s="615"/>
      <c r="AL283" s="615"/>
      <c r="AM283" s="615"/>
      <c r="AN283" s="615"/>
      <c r="AO283" s="615"/>
      <c r="AP283" s="615"/>
      <c r="AQ283" s="615"/>
      <c r="AR283" s="615"/>
      <c r="AS283" s="615"/>
    </row>
    <row r="284" spans="12:45">
      <c r="L284" s="615"/>
      <c r="M284" s="615"/>
      <c r="AB284" s="615"/>
      <c r="AC284" s="615"/>
      <c r="AD284" s="615"/>
      <c r="AE284" s="615"/>
      <c r="AF284" s="615"/>
      <c r="AG284" s="615"/>
      <c r="AH284" s="615"/>
      <c r="AI284" s="615"/>
      <c r="AJ284" s="615"/>
      <c r="AK284" s="615"/>
      <c r="AL284" s="615"/>
      <c r="AM284" s="615"/>
      <c r="AN284" s="615"/>
      <c r="AO284" s="615"/>
      <c r="AP284" s="615"/>
      <c r="AQ284" s="615"/>
      <c r="AR284" s="615"/>
      <c r="AS284" s="615"/>
    </row>
    <row r="285" spans="12:45">
      <c r="L285" s="615"/>
      <c r="M285" s="615"/>
      <c r="AB285" s="615"/>
      <c r="AC285" s="615"/>
      <c r="AD285" s="615"/>
      <c r="AE285" s="615"/>
      <c r="AF285" s="615"/>
      <c r="AG285" s="615"/>
      <c r="AH285" s="615"/>
      <c r="AI285" s="615"/>
      <c r="AJ285" s="615"/>
      <c r="AK285" s="615"/>
      <c r="AL285" s="615"/>
      <c r="AM285" s="615"/>
      <c r="AN285" s="615"/>
      <c r="AO285" s="615"/>
      <c r="AP285" s="615"/>
      <c r="AQ285" s="615"/>
      <c r="AR285" s="615"/>
      <c r="AS285" s="615"/>
    </row>
    <row r="286" spans="12:45">
      <c r="L286" s="615"/>
      <c r="M286" s="615"/>
      <c r="AB286" s="615"/>
      <c r="AC286" s="615"/>
      <c r="AD286" s="615"/>
      <c r="AE286" s="615"/>
      <c r="AF286" s="615"/>
      <c r="AG286" s="615"/>
      <c r="AH286" s="615"/>
      <c r="AI286" s="615"/>
      <c r="AJ286" s="615"/>
      <c r="AK286" s="615"/>
      <c r="AL286" s="615"/>
      <c r="AM286" s="615"/>
      <c r="AN286" s="615"/>
      <c r="AO286" s="615"/>
      <c r="AP286" s="615"/>
      <c r="AQ286" s="615"/>
      <c r="AR286" s="615"/>
      <c r="AS286" s="615"/>
    </row>
    <row r="287" spans="12:45">
      <c r="L287" s="615"/>
      <c r="M287" s="615"/>
      <c r="AB287" s="615"/>
      <c r="AC287" s="615"/>
      <c r="AD287" s="615"/>
      <c r="AE287" s="615"/>
      <c r="AF287" s="615"/>
      <c r="AG287" s="615"/>
      <c r="AH287" s="615"/>
      <c r="AI287" s="615"/>
      <c r="AJ287" s="615"/>
      <c r="AK287" s="615"/>
      <c r="AL287" s="615"/>
      <c r="AM287" s="615"/>
      <c r="AN287" s="615"/>
      <c r="AO287" s="615"/>
      <c r="AP287" s="615"/>
      <c r="AQ287" s="615"/>
      <c r="AR287" s="615"/>
      <c r="AS287" s="615"/>
    </row>
    <row r="288" spans="12:45">
      <c r="L288" s="615"/>
      <c r="M288" s="615"/>
      <c r="AB288" s="615"/>
      <c r="AC288" s="615"/>
      <c r="AD288" s="615"/>
      <c r="AE288" s="615"/>
      <c r="AF288" s="615"/>
      <c r="AG288" s="615"/>
      <c r="AH288" s="615"/>
      <c r="AI288" s="615"/>
      <c r="AJ288" s="615"/>
      <c r="AK288" s="615"/>
      <c r="AL288" s="615"/>
      <c r="AM288" s="615"/>
      <c r="AN288" s="615"/>
      <c r="AO288" s="615"/>
      <c r="AP288" s="615"/>
      <c r="AQ288" s="615"/>
      <c r="AR288" s="615"/>
      <c r="AS288" s="615"/>
    </row>
    <row r="289" spans="12:45">
      <c r="L289" s="615"/>
      <c r="M289" s="615"/>
      <c r="AB289" s="615"/>
      <c r="AC289" s="615"/>
      <c r="AD289" s="615"/>
      <c r="AE289" s="615"/>
      <c r="AF289" s="615"/>
      <c r="AG289" s="615"/>
      <c r="AH289" s="615"/>
      <c r="AI289" s="615"/>
      <c r="AJ289" s="615"/>
      <c r="AK289" s="615"/>
      <c r="AL289" s="615"/>
      <c r="AM289" s="615"/>
      <c r="AN289" s="615"/>
      <c r="AO289" s="615"/>
      <c r="AP289" s="615"/>
      <c r="AQ289" s="615"/>
      <c r="AR289" s="615"/>
      <c r="AS289" s="615"/>
    </row>
    <row r="290" spans="12:45">
      <c r="L290" s="615"/>
      <c r="M290" s="615"/>
      <c r="AB290" s="615"/>
      <c r="AC290" s="615"/>
      <c r="AD290" s="615"/>
      <c r="AE290" s="615"/>
      <c r="AF290" s="615"/>
      <c r="AG290" s="615"/>
      <c r="AH290" s="615"/>
      <c r="AI290" s="615"/>
      <c r="AJ290" s="615"/>
      <c r="AK290" s="615"/>
      <c r="AL290" s="615"/>
      <c r="AM290" s="615"/>
      <c r="AN290" s="615"/>
      <c r="AO290" s="615"/>
      <c r="AP290" s="615"/>
      <c r="AQ290" s="615"/>
      <c r="AR290" s="615"/>
      <c r="AS290" s="615"/>
    </row>
    <row r="291" spans="12:45">
      <c r="L291" s="615"/>
      <c r="M291" s="615"/>
      <c r="AB291" s="615"/>
      <c r="AC291" s="615"/>
      <c r="AD291" s="615"/>
      <c r="AE291" s="615"/>
      <c r="AF291" s="615"/>
      <c r="AG291" s="615"/>
      <c r="AH291" s="615"/>
      <c r="AI291" s="615"/>
      <c r="AJ291" s="615"/>
      <c r="AK291" s="615"/>
      <c r="AL291" s="615"/>
      <c r="AM291" s="615"/>
      <c r="AN291" s="615"/>
      <c r="AO291" s="615"/>
      <c r="AP291" s="615"/>
      <c r="AQ291" s="615"/>
      <c r="AR291" s="615"/>
      <c r="AS291" s="615"/>
    </row>
    <row r="292" spans="12:45">
      <c r="L292" s="615"/>
      <c r="M292" s="615"/>
      <c r="AB292" s="615"/>
      <c r="AC292" s="615"/>
      <c r="AD292" s="615"/>
      <c r="AE292" s="615"/>
      <c r="AF292" s="615"/>
      <c r="AG292" s="615"/>
      <c r="AH292" s="615"/>
      <c r="AI292" s="615"/>
      <c r="AJ292" s="615"/>
      <c r="AK292" s="615"/>
      <c r="AL292" s="615"/>
      <c r="AM292" s="615"/>
      <c r="AN292" s="615"/>
      <c r="AO292" s="615"/>
      <c r="AP292" s="615"/>
      <c r="AQ292" s="615"/>
      <c r="AR292" s="615"/>
      <c r="AS292" s="615"/>
    </row>
    <row r="293" spans="12:45">
      <c r="L293" s="615"/>
      <c r="M293" s="615"/>
      <c r="AB293" s="615"/>
      <c r="AC293" s="615"/>
      <c r="AD293" s="615"/>
      <c r="AE293" s="615"/>
      <c r="AF293" s="615"/>
      <c r="AG293" s="615"/>
      <c r="AH293" s="615"/>
      <c r="AI293" s="615"/>
      <c r="AJ293" s="615"/>
      <c r="AK293" s="615"/>
      <c r="AL293" s="615"/>
      <c r="AM293" s="615"/>
      <c r="AN293" s="615"/>
      <c r="AO293" s="615"/>
      <c r="AP293" s="615"/>
      <c r="AQ293" s="615"/>
      <c r="AR293" s="615"/>
      <c r="AS293" s="615"/>
    </row>
    <row r="294" spans="12:45">
      <c r="L294" s="615"/>
      <c r="M294" s="615"/>
      <c r="AB294" s="615"/>
      <c r="AC294" s="615"/>
      <c r="AD294" s="615"/>
      <c r="AE294" s="615"/>
      <c r="AF294" s="615"/>
      <c r="AG294" s="615"/>
      <c r="AH294" s="615"/>
      <c r="AI294" s="615"/>
      <c r="AJ294" s="615"/>
      <c r="AK294" s="615"/>
      <c r="AL294" s="615"/>
      <c r="AM294" s="615"/>
      <c r="AN294" s="615"/>
      <c r="AO294" s="615"/>
      <c r="AP294" s="615"/>
      <c r="AQ294" s="615"/>
      <c r="AR294" s="615"/>
      <c r="AS294" s="615"/>
    </row>
    <row r="295" spans="12:45">
      <c r="L295" s="615"/>
      <c r="M295" s="615"/>
      <c r="AB295" s="615"/>
      <c r="AC295" s="615"/>
      <c r="AD295" s="615"/>
      <c r="AE295" s="615"/>
      <c r="AF295" s="615"/>
      <c r="AG295" s="615"/>
      <c r="AH295" s="615"/>
      <c r="AI295" s="615"/>
      <c r="AJ295" s="615"/>
      <c r="AK295" s="615"/>
      <c r="AL295" s="615"/>
      <c r="AM295" s="615"/>
      <c r="AN295" s="615"/>
      <c r="AO295" s="615"/>
      <c r="AP295" s="615"/>
      <c r="AQ295" s="615"/>
      <c r="AR295" s="615"/>
      <c r="AS295" s="615"/>
    </row>
    <row r="296" spans="12:45">
      <c r="L296" s="615"/>
      <c r="M296" s="615"/>
      <c r="AB296" s="615"/>
      <c r="AC296" s="615"/>
      <c r="AD296" s="615"/>
      <c r="AE296" s="615"/>
      <c r="AF296" s="615"/>
      <c r="AG296" s="615"/>
      <c r="AH296" s="615"/>
      <c r="AI296" s="615"/>
      <c r="AJ296" s="615"/>
      <c r="AK296" s="615"/>
      <c r="AL296" s="615"/>
      <c r="AM296" s="615"/>
      <c r="AN296" s="615"/>
      <c r="AO296" s="615"/>
      <c r="AP296" s="615"/>
      <c r="AQ296" s="615"/>
      <c r="AR296" s="615"/>
      <c r="AS296" s="615"/>
    </row>
    <row r="297" spans="12:45">
      <c r="L297" s="615"/>
      <c r="M297" s="615"/>
      <c r="AB297" s="615"/>
      <c r="AC297" s="615"/>
      <c r="AD297" s="615"/>
      <c r="AE297" s="615"/>
      <c r="AF297" s="615"/>
      <c r="AG297" s="615"/>
      <c r="AH297" s="615"/>
      <c r="AI297" s="615"/>
      <c r="AJ297" s="615"/>
      <c r="AK297" s="615"/>
      <c r="AL297" s="615"/>
      <c r="AM297" s="615"/>
      <c r="AN297" s="615"/>
      <c r="AO297" s="615"/>
      <c r="AP297" s="615"/>
      <c r="AQ297" s="615"/>
      <c r="AR297" s="615"/>
      <c r="AS297" s="615"/>
    </row>
    <row r="298" spans="12:45">
      <c r="L298" s="615"/>
      <c r="M298" s="615"/>
      <c r="AB298" s="615"/>
      <c r="AC298" s="615"/>
      <c r="AD298" s="615"/>
      <c r="AE298" s="615"/>
      <c r="AF298" s="615"/>
      <c r="AG298" s="615"/>
      <c r="AH298" s="615"/>
      <c r="AI298" s="615"/>
      <c r="AJ298" s="615"/>
      <c r="AK298" s="615"/>
      <c r="AL298" s="615"/>
      <c r="AM298" s="615"/>
      <c r="AN298" s="615"/>
      <c r="AO298" s="615"/>
      <c r="AP298" s="615"/>
      <c r="AQ298" s="615"/>
      <c r="AR298" s="615"/>
      <c r="AS298" s="615"/>
    </row>
    <row r="299" spans="12:45">
      <c r="L299" s="615"/>
      <c r="M299" s="615"/>
      <c r="AB299" s="615"/>
      <c r="AC299" s="615"/>
      <c r="AD299" s="615"/>
      <c r="AE299" s="615"/>
      <c r="AF299" s="615"/>
      <c r="AG299" s="615"/>
      <c r="AH299" s="615"/>
      <c r="AI299" s="615"/>
      <c r="AJ299" s="615"/>
      <c r="AK299" s="615"/>
      <c r="AL299" s="615"/>
      <c r="AM299" s="615"/>
      <c r="AN299" s="615"/>
      <c r="AO299" s="615"/>
      <c r="AP299" s="615"/>
      <c r="AQ299" s="615"/>
      <c r="AR299" s="615"/>
      <c r="AS299" s="615"/>
    </row>
    <row r="300" spans="12:45">
      <c r="L300" s="615"/>
      <c r="M300" s="615"/>
      <c r="AB300" s="615"/>
      <c r="AC300" s="615"/>
      <c r="AD300" s="615"/>
      <c r="AE300" s="615"/>
      <c r="AF300" s="615"/>
      <c r="AG300" s="615"/>
      <c r="AH300" s="615"/>
      <c r="AI300" s="615"/>
      <c r="AJ300" s="615"/>
      <c r="AK300" s="615"/>
      <c r="AL300" s="615"/>
      <c r="AM300" s="615"/>
      <c r="AN300" s="615"/>
      <c r="AO300" s="615"/>
      <c r="AP300" s="615"/>
      <c r="AQ300" s="615"/>
      <c r="AR300" s="615"/>
      <c r="AS300" s="615"/>
    </row>
    <row r="301" spans="12:45">
      <c r="L301" s="615"/>
      <c r="M301" s="615"/>
      <c r="AB301" s="615"/>
      <c r="AC301" s="615"/>
      <c r="AD301" s="615"/>
      <c r="AE301" s="615"/>
      <c r="AF301" s="615"/>
      <c r="AG301" s="615"/>
      <c r="AH301" s="615"/>
      <c r="AI301" s="615"/>
      <c r="AJ301" s="615"/>
      <c r="AK301" s="615"/>
      <c r="AL301" s="615"/>
      <c r="AM301" s="615"/>
      <c r="AN301" s="615"/>
      <c r="AO301" s="615"/>
      <c r="AP301" s="615"/>
      <c r="AQ301" s="615"/>
      <c r="AR301" s="615"/>
      <c r="AS301" s="615"/>
    </row>
    <row r="302" spans="12:45">
      <c r="L302" s="615"/>
      <c r="M302" s="615"/>
      <c r="AB302" s="615"/>
      <c r="AC302" s="615"/>
      <c r="AD302" s="615"/>
      <c r="AE302" s="615"/>
      <c r="AF302" s="615"/>
      <c r="AG302" s="615"/>
      <c r="AH302" s="615"/>
      <c r="AI302" s="615"/>
      <c r="AJ302" s="615"/>
      <c r="AK302" s="615"/>
      <c r="AL302" s="615"/>
      <c r="AM302" s="615"/>
      <c r="AN302" s="615"/>
      <c r="AO302" s="615"/>
      <c r="AP302" s="615"/>
      <c r="AQ302" s="615"/>
      <c r="AR302" s="615"/>
      <c r="AS302" s="615"/>
    </row>
    <row r="303" spans="12:45">
      <c r="L303" s="615"/>
      <c r="M303" s="615"/>
      <c r="AB303" s="615"/>
      <c r="AC303" s="615"/>
      <c r="AD303" s="615"/>
      <c r="AE303" s="615"/>
      <c r="AF303" s="615"/>
      <c r="AG303" s="615"/>
      <c r="AH303" s="615"/>
      <c r="AI303" s="615"/>
      <c r="AJ303" s="615"/>
      <c r="AK303" s="615"/>
      <c r="AL303" s="615"/>
      <c r="AM303" s="615"/>
      <c r="AN303" s="615"/>
      <c r="AO303" s="615"/>
      <c r="AP303" s="615"/>
      <c r="AQ303" s="615"/>
      <c r="AR303" s="615"/>
      <c r="AS303" s="615"/>
    </row>
    <row r="304" spans="12:45">
      <c r="L304" s="615"/>
      <c r="M304" s="615"/>
      <c r="AB304" s="615"/>
      <c r="AC304" s="615"/>
      <c r="AD304" s="615"/>
      <c r="AE304" s="615"/>
      <c r="AF304" s="615"/>
      <c r="AG304" s="615"/>
      <c r="AH304" s="615"/>
      <c r="AI304" s="615"/>
      <c r="AJ304" s="615"/>
      <c r="AK304" s="615"/>
      <c r="AL304" s="615"/>
      <c r="AM304" s="615"/>
      <c r="AN304" s="615"/>
      <c r="AO304" s="615"/>
      <c r="AP304" s="615"/>
      <c r="AQ304" s="615"/>
      <c r="AR304" s="615"/>
      <c r="AS304" s="615"/>
    </row>
    <row r="305" spans="12:45">
      <c r="L305" s="615"/>
      <c r="M305" s="615"/>
      <c r="AB305" s="615"/>
      <c r="AC305" s="615"/>
      <c r="AD305" s="615"/>
      <c r="AE305" s="615"/>
      <c r="AF305" s="615"/>
      <c r="AG305" s="615"/>
      <c r="AH305" s="615"/>
      <c r="AI305" s="615"/>
      <c r="AJ305" s="615"/>
      <c r="AK305" s="615"/>
      <c r="AL305" s="615"/>
      <c r="AM305" s="615"/>
      <c r="AN305" s="615"/>
      <c r="AO305" s="615"/>
      <c r="AP305" s="615"/>
      <c r="AQ305" s="615"/>
      <c r="AR305" s="615"/>
      <c r="AS305" s="615"/>
    </row>
    <row r="306" spans="12:45">
      <c r="L306" s="615"/>
      <c r="M306" s="615"/>
      <c r="AB306" s="615"/>
      <c r="AC306" s="615"/>
      <c r="AD306" s="615"/>
      <c r="AE306" s="615"/>
      <c r="AF306" s="615"/>
      <c r="AG306" s="615"/>
      <c r="AH306" s="615"/>
      <c r="AI306" s="615"/>
      <c r="AJ306" s="615"/>
      <c r="AK306" s="615"/>
      <c r="AL306" s="615"/>
      <c r="AM306" s="615"/>
      <c r="AN306" s="615"/>
      <c r="AO306" s="615"/>
      <c r="AP306" s="615"/>
      <c r="AQ306" s="615"/>
      <c r="AR306" s="615"/>
      <c r="AS306" s="615"/>
    </row>
    <row r="307" spans="12:45">
      <c r="L307" s="615"/>
      <c r="M307" s="615"/>
      <c r="AB307" s="615"/>
      <c r="AC307" s="615"/>
      <c r="AD307" s="615"/>
      <c r="AE307" s="615"/>
      <c r="AF307" s="615"/>
      <c r="AG307" s="615"/>
      <c r="AH307" s="615"/>
      <c r="AI307" s="615"/>
      <c r="AJ307" s="615"/>
      <c r="AK307" s="615"/>
      <c r="AL307" s="615"/>
      <c r="AM307" s="615"/>
      <c r="AN307" s="615"/>
      <c r="AO307" s="615"/>
      <c r="AP307" s="615"/>
      <c r="AQ307" s="615"/>
      <c r="AR307" s="615"/>
      <c r="AS307" s="615"/>
    </row>
    <row r="308" spans="12:45">
      <c r="L308" s="615"/>
      <c r="M308" s="615"/>
      <c r="AB308" s="615"/>
      <c r="AC308" s="615"/>
      <c r="AD308" s="615"/>
      <c r="AE308" s="615"/>
      <c r="AF308" s="615"/>
      <c r="AG308" s="615"/>
      <c r="AH308" s="615"/>
      <c r="AI308" s="615"/>
      <c r="AJ308" s="615"/>
      <c r="AK308" s="615"/>
      <c r="AL308" s="615"/>
      <c r="AM308" s="615"/>
      <c r="AN308" s="615"/>
      <c r="AO308" s="615"/>
      <c r="AP308" s="615"/>
      <c r="AQ308" s="615"/>
      <c r="AR308" s="615"/>
      <c r="AS308" s="615"/>
    </row>
    <row r="309" spans="12:45">
      <c r="L309" s="615"/>
      <c r="M309" s="615"/>
      <c r="AB309" s="615"/>
      <c r="AC309" s="615"/>
      <c r="AD309" s="615"/>
      <c r="AE309" s="615"/>
      <c r="AF309" s="615"/>
      <c r="AG309" s="615"/>
      <c r="AH309" s="615"/>
      <c r="AI309" s="615"/>
      <c r="AJ309" s="615"/>
      <c r="AK309" s="615"/>
      <c r="AL309" s="615"/>
      <c r="AM309" s="615"/>
      <c r="AN309" s="615"/>
      <c r="AO309" s="615"/>
      <c r="AP309" s="615"/>
      <c r="AQ309" s="615"/>
      <c r="AR309" s="615"/>
      <c r="AS309" s="615"/>
    </row>
    <row r="310" spans="12:45">
      <c r="L310" s="615"/>
      <c r="M310" s="615"/>
      <c r="AB310" s="615"/>
      <c r="AC310" s="615"/>
      <c r="AD310" s="615"/>
      <c r="AE310" s="615"/>
      <c r="AF310" s="615"/>
      <c r="AG310" s="615"/>
      <c r="AH310" s="615"/>
      <c r="AI310" s="615"/>
      <c r="AJ310" s="615"/>
      <c r="AK310" s="615"/>
      <c r="AL310" s="615"/>
      <c r="AM310" s="615"/>
      <c r="AN310" s="615"/>
      <c r="AO310" s="615"/>
      <c r="AP310" s="615"/>
      <c r="AQ310" s="615"/>
      <c r="AR310" s="615"/>
      <c r="AS310" s="615"/>
    </row>
    <row r="311" spans="12:45">
      <c r="L311" s="615"/>
      <c r="M311" s="615"/>
      <c r="AB311" s="615"/>
      <c r="AC311" s="615"/>
      <c r="AD311" s="615"/>
      <c r="AE311" s="615"/>
      <c r="AF311" s="615"/>
      <c r="AG311" s="615"/>
      <c r="AH311" s="615"/>
      <c r="AI311" s="615"/>
      <c r="AJ311" s="615"/>
      <c r="AK311" s="615"/>
      <c r="AL311" s="615"/>
      <c r="AM311" s="615"/>
      <c r="AN311" s="615"/>
      <c r="AO311" s="615"/>
      <c r="AP311" s="615"/>
      <c r="AQ311" s="615"/>
      <c r="AR311" s="615"/>
      <c r="AS311" s="615"/>
    </row>
    <row r="312" spans="12:45">
      <c r="L312" s="615"/>
      <c r="M312" s="615"/>
      <c r="AB312" s="615"/>
      <c r="AC312" s="615"/>
      <c r="AD312" s="615"/>
      <c r="AE312" s="615"/>
      <c r="AF312" s="615"/>
      <c r="AG312" s="615"/>
      <c r="AH312" s="615"/>
      <c r="AI312" s="615"/>
      <c r="AJ312" s="615"/>
      <c r="AK312" s="615"/>
      <c r="AL312" s="615"/>
      <c r="AM312" s="615"/>
      <c r="AN312" s="615"/>
      <c r="AO312" s="615"/>
      <c r="AP312" s="615"/>
      <c r="AQ312" s="615"/>
      <c r="AR312" s="615"/>
      <c r="AS312" s="615"/>
    </row>
    <row r="313" spans="12:45">
      <c r="L313" s="615"/>
      <c r="M313" s="615"/>
      <c r="AD313" s="615"/>
      <c r="AE313" s="615"/>
      <c r="AF313" s="615"/>
      <c r="AG313" s="615"/>
      <c r="AH313" s="615"/>
      <c r="AI313" s="615"/>
      <c r="AJ313" s="615"/>
      <c r="AK313" s="615"/>
      <c r="AL313" s="615"/>
      <c r="AM313" s="615"/>
      <c r="AN313" s="615"/>
      <c r="AO313" s="615"/>
      <c r="AP313" s="615"/>
      <c r="AQ313" s="615"/>
      <c r="AR313" s="615"/>
      <c r="AS313" s="615"/>
    </row>
    <row r="314" spans="12:45">
      <c r="L314" s="615"/>
      <c r="M314" s="615"/>
      <c r="AD314" s="615"/>
      <c r="AE314" s="615"/>
      <c r="AF314" s="615"/>
      <c r="AG314" s="615"/>
      <c r="AH314" s="615"/>
      <c r="AI314" s="615"/>
      <c r="AJ314" s="615"/>
      <c r="AK314" s="615"/>
      <c r="AL314" s="615"/>
      <c r="AM314" s="615"/>
      <c r="AN314" s="615"/>
      <c r="AO314" s="615"/>
      <c r="AP314" s="615"/>
      <c r="AQ314" s="615"/>
      <c r="AR314" s="615"/>
      <c r="AS314" s="615"/>
    </row>
  </sheetData>
  <sheetProtection sheet="1" objects="1" scenarios="1"/>
  <mergeCells count="132">
    <mergeCell ref="O34:Q34"/>
    <mergeCell ref="S30:AA31"/>
    <mergeCell ref="A31:C31"/>
    <mergeCell ref="E31:H31"/>
    <mergeCell ref="L31:M31"/>
    <mergeCell ref="O32:Q32"/>
    <mergeCell ref="S32:AA33"/>
    <mergeCell ref="O33:Q33"/>
    <mergeCell ref="A29:M29"/>
    <mergeCell ref="O29:Q29"/>
    <mergeCell ref="A30:C30"/>
    <mergeCell ref="E30:H30"/>
    <mergeCell ref="L30:M30"/>
    <mergeCell ref="O30:Q30"/>
    <mergeCell ref="L22:M23"/>
    <mergeCell ref="O22:Q22"/>
    <mergeCell ref="O23:Q24"/>
    <mergeCell ref="A27:C27"/>
    <mergeCell ref="E27:H27"/>
    <mergeCell ref="L27:M27"/>
    <mergeCell ref="Q27:Q28"/>
    <mergeCell ref="S27:Y28"/>
    <mergeCell ref="A28:C28"/>
    <mergeCell ref="E28:H28"/>
    <mergeCell ref="L28:M28"/>
    <mergeCell ref="S23:AA25"/>
    <mergeCell ref="A24:A25"/>
    <mergeCell ref="B24:M25"/>
    <mergeCell ref="O25:Q25"/>
    <mergeCell ref="O26:Q26"/>
    <mergeCell ref="S26:AA26"/>
    <mergeCell ref="O17:Q17"/>
    <mergeCell ref="S17:AA19"/>
    <mergeCell ref="O18:Q18"/>
    <mergeCell ref="O19:Q19"/>
    <mergeCell ref="A20:A21"/>
    <mergeCell ref="B20:B21"/>
    <mergeCell ref="C20:C21"/>
    <mergeCell ref="J20:J21"/>
    <mergeCell ref="K20:K21"/>
    <mergeCell ref="L20:M21"/>
    <mergeCell ref="O20:Q20"/>
    <mergeCell ref="A18:A19"/>
    <mergeCell ref="B18:B19"/>
    <mergeCell ref="C18:C19"/>
    <mergeCell ref="J18:J19"/>
    <mergeCell ref="K18:K19"/>
    <mergeCell ref="L18:M19"/>
    <mergeCell ref="S20:AA22"/>
    <mergeCell ref="O21:Q21"/>
    <mergeCell ref="A22:A23"/>
    <mergeCell ref="B22:B23"/>
    <mergeCell ref="C22:C23"/>
    <mergeCell ref="J22:J23"/>
    <mergeCell ref="K22:K23"/>
    <mergeCell ref="O13:R13"/>
    <mergeCell ref="S13:U13"/>
    <mergeCell ref="W13:AA13"/>
    <mergeCell ref="A14:A15"/>
    <mergeCell ref="B14:B15"/>
    <mergeCell ref="C14:C15"/>
    <mergeCell ref="J14:J15"/>
    <mergeCell ref="K14:K15"/>
    <mergeCell ref="L14:M15"/>
    <mergeCell ref="O15:Q15"/>
    <mergeCell ref="A12:A13"/>
    <mergeCell ref="B12:B13"/>
    <mergeCell ref="C12:C13"/>
    <mergeCell ref="J12:J13"/>
    <mergeCell ref="K12:K13"/>
    <mergeCell ref="L12:M13"/>
    <mergeCell ref="S15:AA16"/>
    <mergeCell ref="A16:A17"/>
    <mergeCell ref="B16:B17"/>
    <mergeCell ref="C16:C17"/>
    <mergeCell ref="J16:J17"/>
    <mergeCell ref="K16:K17"/>
    <mergeCell ref="L16:M17"/>
    <mergeCell ref="O16:Q16"/>
    <mergeCell ref="O10:R10"/>
    <mergeCell ref="S10:U10"/>
    <mergeCell ref="W10:AA10"/>
    <mergeCell ref="O11:R11"/>
    <mergeCell ref="S11:U12"/>
    <mergeCell ref="W11:AA12"/>
    <mergeCell ref="O12:R12"/>
    <mergeCell ref="A10:A11"/>
    <mergeCell ref="B10:B11"/>
    <mergeCell ref="C10:C11"/>
    <mergeCell ref="J10:J11"/>
    <mergeCell ref="K10:K11"/>
    <mergeCell ref="L10:M11"/>
    <mergeCell ref="I8:I9"/>
    <mergeCell ref="J8:M8"/>
    <mergeCell ref="O8:R8"/>
    <mergeCell ref="S8:U8"/>
    <mergeCell ref="W8:AA8"/>
    <mergeCell ref="L9:M9"/>
    <mergeCell ref="O9:R9"/>
    <mergeCell ref="S9:U9"/>
    <mergeCell ref="W9:AA9"/>
    <mergeCell ref="A8:A9"/>
    <mergeCell ref="B8:B9"/>
    <mergeCell ref="C8:C9"/>
    <mergeCell ref="D8:E9"/>
    <mergeCell ref="F8:G9"/>
    <mergeCell ref="H8:H9"/>
    <mergeCell ref="A6:D6"/>
    <mergeCell ref="E6:F6"/>
    <mergeCell ref="G6:H6"/>
    <mergeCell ref="O2:T2"/>
    <mergeCell ref="A4:B4"/>
    <mergeCell ref="C4:E4"/>
    <mergeCell ref="I4:J4"/>
    <mergeCell ref="K4:L4"/>
    <mergeCell ref="B5:D5"/>
    <mergeCell ref="E5:G5"/>
    <mergeCell ref="H5:I5"/>
    <mergeCell ref="J5:L5"/>
    <mergeCell ref="C1:H1"/>
    <mergeCell ref="J1:K1"/>
    <mergeCell ref="L1:M1"/>
    <mergeCell ref="B2:G2"/>
    <mergeCell ref="H2:I2"/>
    <mergeCell ref="J2:M2"/>
    <mergeCell ref="I6:J6"/>
    <mergeCell ref="K6:L6"/>
    <mergeCell ref="A7:C7"/>
    <mergeCell ref="D7:E7"/>
    <mergeCell ref="F7:G7"/>
    <mergeCell ref="H7:J7"/>
    <mergeCell ref="K7:L7"/>
  </mergeCells>
  <dataValidations count="15">
    <dataValidation type="list" allowBlank="1" showInputMessage="1" prompt="If Mottle Color is entered, Redox Kind(s) needs to be completed." sqref="F10:F23" xr:uid="{61C0B088-410E-41BC-927C-E30DCA8DA14E}">
      <formula1>Hue</formula1>
    </dataValidation>
    <dataValidation errorStyle="information" allowBlank="1" showInputMessage="1" showErrorMessage="1" error="Check type before proceeding" prompt="Depth of standing water if encountered" sqref="M7" xr:uid="{D21A81D5-B484-40C1-9913-A1D9AEF65DC6}"/>
    <dataValidation type="decimal" errorStyle="information" showDropDown="1" showInputMessage="1" showErrorMessage="1" errorTitle="Slope" error="Check slope value" prompt="Land Slope" sqref="G4" xr:uid="{6FC641C3-2CF6-43CB-8C89-21FC64F701CC}">
      <formula1>0</formula1>
      <formula2>25</formula2>
    </dataValidation>
    <dataValidation type="list" allowBlank="1" sqref="I4" xr:uid="{7732C164-17E2-48D0-B234-3091AB57F153}">
      <formula1>SlopeShape</formula1>
    </dataValidation>
    <dataValidation type="list" allowBlank="1" showInputMessage="1" prompt="Choose from the list or add your own description with texture" sqref="B22 B18 B10 B12 B14 B16 B20" xr:uid="{4F20262C-75AF-455D-899E-569D5A95A972}">
      <formula1>SoilTexture7080</formula1>
    </dataValidation>
    <dataValidation type="list" allowBlank="1" sqref="L22 L20 L12 L14 L16 L18 L10:M11" xr:uid="{0164900E-479B-4F99-BF1C-987E7F622D59}">
      <formula1>StructureConsistence</formula1>
    </dataValidation>
    <dataValidation type="list" allowBlank="1" sqref="K22 K18 K10 K12 K14 K16 K20" xr:uid="{D59F8317-F12A-44E2-AE45-9A715C007066}">
      <formula1>StructureGrade</formula1>
    </dataValidation>
    <dataValidation type="list" allowBlank="1" sqref="J22 J18 J10 J12 J14 J16 J20" xr:uid="{70758034-883F-45F1-AD9D-52BE6C213BF7}">
      <formula1>StructureShape</formula1>
    </dataValidation>
    <dataValidation type="list" allowBlank="1" sqref="G10:G23 E10:E23" xr:uid="{39618C75-378D-40BF-B7BE-820D72138231}">
      <formula1>ValueChroma</formula1>
    </dataValidation>
    <dataValidation type="list" allowBlank="1" sqref="D10:D23" xr:uid="{B4C66AF3-4EB8-4C50-9757-7C823E0E35E9}">
      <formula1>Hue</formula1>
    </dataValidation>
    <dataValidation type="list" allowBlank="1" showInputMessage="1" showErrorMessage="1" sqref="M4" xr:uid="{14B55D2B-5585-4770-8B5D-D834536F521F}">
      <formula1>YN</formula1>
    </dataValidation>
    <dataValidation allowBlank="1" showInputMessage="1" showErrorMessage="1" prompt="From Prelim Page" sqref="B2:G2 J2:M2 H5:I5" xr:uid="{C98C0E9F-34DF-4CB2-8586-E882CDE1005A}"/>
    <dataValidation allowBlank="1" showInputMessage="1" showErrorMessage="1" prompt="Observation #" sqref="D7:E7" xr:uid="{8B3B9ECD-2778-46CF-B902-D5CD75511373}"/>
    <dataValidation allowBlank="1" showInputMessage="1" showErrorMessage="1" prompt="Location of observation" sqref="H7:J7" xr:uid="{A263069C-8D5E-48B3-B083-2F0F1626EEDC}"/>
    <dataValidation type="whole" errorStyle="information" allowBlank="1" showInputMessage="1" showErrorMessage="1" error="Enter Number not Range._x000a__x000a_If &gt;50% Rock Considered Bedrock - Zero Treatment Credit" promptTitle="Rock Fragment Percentage" prompt="Enter percentage number not a range._x000a_Reminder:_x000a_0-35% Rock = 100% Credit_x000a_35-50% Rock in Sand = 50% Credit_x000a_50+% Rock = 0% Credit" sqref="C10:C23" xr:uid="{AD20AB3C-A8E4-4066-8EC6-26D962DAA1C2}">
      <formula1>0</formula1>
      <formula2>50</formula2>
    </dataValidation>
  </dataValidations>
  <printOptions horizontalCentered="1" verticalCentered="1"/>
  <pageMargins left="0.25" right="0.25" top="0.25" bottom="0.25" header="0" footer="0"/>
  <pageSetup fitToHeight="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555201" r:id="rId4" name="Check Box 1">
              <controlPr defaultSize="0" autoFill="0" autoLine="0" autoPict="0">
                <anchor moveWithCells="1" sizeWithCells="1">
                  <from>
                    <xdr:col>4</xdr:col>
                    <xdr:colOff>123825</xdr:colOff>
                    <xdr:row>2</xdr:row>
                    <xdr:rowOff>28575</xdr:rowOff>
                  </from>
                  <to>
                    <xdr:col>6</xdr:col>
                    <xdr:colOff>114300</xdr:colOff>
                    <xdr:row>2</xdr:row>
                    <xdr:rowOff>238125</xdr:rowOff>
                  </to>
                </anchor>
              </controlPr>
            </control>
          </mc:Choice>
        </mc:AlternateContent>
        <mc:AlternateContent xmlns:mc="http://schemas.openxmlformats.org/markup-compatibility/2006">
          <mc:Choice Requires="x14">
            <control shapeId="5555202" r:id="rId5" name="Check Box 2">
              <controlPr defaultSize="0" autoFill="0" autoLine="0" autoPict="0">
                <anchor moveWithCells="1" sizeWithCells="1">
                  <from>
                    <xdr:col>5</xdr:col>
                    <xdr:colOff>266700</xdr:colOff>
                    <xdr:row>2</xdr:row>
                    <xdr:rowOff>28575</xdr:rowOff>
                  </from>
                  <to>
                    <xdr:col>7</xdr:col>
                    <xdr:colOff>257175</xdr:colOff>
                    <xdr:row>2</xdr:row>
                    <xdr:rowOff>238125</xdr:rowOff>
                  </to>
                </anchor>
              </controlPr>
            </control>
          </mc:Choice>
        </mc:AlternateContent>
        <mc:AlternateContent xmlns:mc="http://schemas.openxmlformats.org/markup-compatibility/2006">
          <mc:Choice Requires="x14">
            <control shapeId="5555203" r:id="rId6" name="Check Box 3">
              <controlPr defaultSize="0" autoFill="0" autoLine="0" autoPict="0">
                <anchor moveWithCells="1" sizeWithCells="1">
                  <from>
                    <xdr:col>6</xdr:col>
                    <xdr:colOff>447675</xdr:colOff>
                    <xdr:row>2</xdr:row>
                    <xdr:rowOff>28575</xdr:rowOff>
                  </from>
                  <to>
                    <xdr:col>7</xdr:col>
                    <xdr:colOff>952500</xdr:colOff>
                    <xdr:row>2</xdr:row>
                    <xdr:rowOff>238125</xdr:rowOff>
                  </to>
                </anchor>
              </controlPr>
            </control>
          </mc:Choice>
        </mc:AlternateContent>
        <mc:AlternateContent xmlns:mc="http://schemas.openxmlformats.org/markup-compatibility/2006">
          <mc:Choice Requires="x14">
            <control shapeId="5555204" r:id="rId7" name="Check Box 4">
              <controlPr defaultSize="0" autoFill="0" autoLine="0" autoPict="0">
                <anchor moveWithCells="1" sizeWithCells="1">
                  <from>
                    <xdr:col>7</xdr:col>
                    <xdr:colOff>428625</xdr:colOff>
                    <xdr:row>2</xdr:row>
                    <xdr:rowOff>28575</xdr:rowOff>
                  </from>
                  <to>
                    <xdr:col>8</xdr:col>
                    <xdr:colOff>485775</xdr:colOff>
                    <xdr:row>2</xdr:row>
                    <xdr:rowOff>238125</xdr:rowOff>
                  </to>
                </anchor>
              </controlPr>
            </control>
          </mc:Choice>
        </mc:AlternateContent>
        <mc:AlternateContent xmlns:mc="http://schemas.openxmlformats.org/markup-compatibility/2006">
          <mc:Choice Requires="x14">
            <control shapeId="5555205" r:id="rId8" name="Check Box 5">
              <controlPr defaultSize="0" autoFill="0" autoLine="0" autoPict="0">
                <anchor moveWithCells="1" sizeWithCells="1">
                  <from>
                    <xdr:col>7</xdr:col>
                    <xdr:colOff>819150</xdr:colOff>
                    <xdr:row>2</xdr:row>
                    <xdr:rowOff>28575</xdr:rowOff>
                  </from>
                  <to>
                    <xdr:col>9</xdr:col>
                    <xdr:colOff>114300</xdr:colOff>
                    <xdr:row>2</xdr:row>
                    <xdr:rowOff>238125</xdr:rowOff>
                  </to>
                </anchor>
              </controlPr>
            </control>
          </mc:Choice>
        </mc:AlternateContent>
        <mc:AlternateContent xmlns:mc="http://schemas.openxmlformats.org/markup-compatibility/2006">
          <mc:Choice Requires="x14">
            <control shapeId="5555206" r:id="rId9" name="Check Box 6">
              <controlPr defaultSize="0" autoFill="0" autoLine="0" autoPict="0">
                <anchor moveWithCells="1" sizeWithCells="1">
                  <from>
                    <xdr:col>8</xdr:col>
                    <xdr:colOff>485775</xdr:colOff>
                    <xdr:row>2</xdr:row>
                    <xdr:rowOff>28575</xdr:rowOff>
                  </from>
                  <to>
                    <xdr:col>9</xdr:col>
                    <xdr:colOff>733425</xdr:colOff>
                    <xdr:row>2</xdr:row>
                    <xdr:rowOff>238125</xdr:rowOff>
                  </to>
                </anchor>
              </controlPr>
            </control>
          </mc:Choice>
        </mc:AlternateContent>
        <mc:AlternateContent xmlns:mc="http://schemas.openxmlformats.org/markup-compatibility/2006">
          <mc:Choice Requires="x14">
            <control shapeId="5555207" r:id="rId10" name="Check Box 7">
              <controlPr defaultSize="0" autoFill="0" autoLine="0" autoPict="0">
                <anchor moveWithCells="1" sizeWithCells="1">
                  <from>
                    <xdr:col>9</xdr:col>
                    <xdr:colOff>352425</xdr:colOff>
                    <xdr:row>2</xdr:row>
                    <xdr:rowOff>28575</xdr:rowOff>
                  </from>
                  <to>
                    <xdr:col>10</xdr:col>
                    <xdr:colOff>600075</xdr:colOff>
                    <xdr:row>2</xdr:row>
                    <xdr:rowOff>238125</xdr:rowOff>
                  </to>
                </anchor>
              </controlPr>
            </control>
          </mc:Choice>
        </mc:AlternateContent>
        <mc:AlternateContent xmlns:mc="http://schemas.openxmlformats.org/markup-compatibility/2006">
          <mc:Choice Requires="x14">
            <control shapeId="5555208" r:id="rId11" name="Check Box 8">
              <controlPr defaultSize="0" autoFill="0" autoLine="0" autoPict="0">
                <anchor moveWithCells="1">
                  <from>
                    <xdr:col>10</xdr:col>
                    <xdr:colOff>523875</xdr:colOff>
                    <xdr:row>2</xdr:row>
                    <xdr:rowOff>28575</xdr:rowOff>
                  </from>
                  <to>
                    <xdr:col>11</xdr:col>
                    <xdr:colOff>400050</xdr:colOff>
                    <xdr:row>2</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prompt="If Redox Kind(s) are entered, Type of Indicator needs to be completed" xr:uid="{CC4AD9DE-2B8E-451A-8AA2-9B5432D866D2}">
          <x14:formula1>
            <xm:f>'Drop-Down Lists'!$L$2:$L$5</xm:f>
          </x14:formula1>
          <xm:sqref>H10:H23</xm:sqref>
        </x14:dataValidation>
        <x14:dataValidation type="list" allowBlank="1" showInputMessage="1" prompt="Indicator definitions are found on soil chart." xr:uid="{1FD692B3-7627-4424-938A-88A79C22FD72}">
          <x14:formula1>
            <xm:f>'Drop-Down Lists'!$M$2:$M$34</xm:f>
          </x14:formula1>
          <xm:sqref>I10:I23</xm:sqref>
        </x14:dataValidation>
        <x14:dataValidation type="list" allowBlank="1" showInputMessage="1" prompt="Choose from the list or add your own description" xr:uid="{4740C29E-3665-4E24-9CE9-22E9905ABF9B}">
          <x14:formula1>
            <xm:f>'Drop-Down Lists'!$U$2:$U$9</xm:f>
          </x14:formula1>
          <xm:sqref>B5:D5</xm:sqref>
        </x14:dataValidation>
        <x14:dataValidation type="list" allowBlank="1" showInputMessage="1" prompt="Choose from the list or add your own description" xr:uid="{2DD2575D-1F50-4DE7-AE87-25257E0050DF}">
          <x14:formula1>
            <xm:f>'Drop-Down Lists'!$T$2:$T$10</xm:f>
          </x14:formula1>
          <xm:sqref>C4:E4</xm:sqref>
        </x14:dataValidation>
        <x14:dataValidation type="list" allowBlank="1" showInputMessage="1" prompt="Observation Type" xr:uid="{565FA091-B0EE-416E-B6BF-C476C95C7CA6}">
          <x14:formula1>
            <xm:f>'Drop-Down Lists'!$V$2:$V$5</xm:f>
          </x14:formula1>
          <xm:sqref>F7:G7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C4259-D028-4800-8BCB-1EBB024B99A4}">
  <sheetPr>
    <tabColor rgb="FFFF6600"/>
  </sheetPr>
  <dimension ref="A1:AO321"/>
  <sheetViews>
    <sheetView view="pageBreakPreview" zoomScaleNormal="100" zoomScaleSheetLayoutView="100" workbookViewId="0"/>
  </sheetViews>
  <sheetFormatPr defaultColWidth="9.140625" defaultRowHeight="15"/>
  <cols>
    <col min="1" max="1" width="6.140625" style="1226" customWidth="1"/>
    <col min="2" max="3" width="7.7109375" style="1226" customWidth="1"/>
    <col min="4" max="4" width="1" style="1226" customWidth="1"/>
    <col min="5" max="6" width="6.140625" style="1226" customWidth="1"/>
    <col min="7" max="7" width="7.85546875" style="1226" customWidth="1"/>
    <col min="8" max="8" width="7.7109375" style="1226" customWidth="1"/>
    <col min="9" max="9" width="1.7109375" style="1226" customWidth="1"/>
    <col min="10" max="10" width="9.7109375" style="1226" customWidth="1"/>
    <col min="11" max="11" width="7.7109375" style="1226" customWidth="1"/>
    <col min="12" max="12" width="14.28515625" style="1226" customWidth="1"/>
    <col min="13" max="13" width="13.140625" style="1226" customWidth="1"/>
    <col min="14" max="14" width="1.7109375" style="1226" customWidth="1"/>
    <col min="15" max="15" width="13.42578125" style="1226" customWidth="1"/>
    <col min="16" max="17" width="9.140625" style="1226"/>
    <col min="18" max="18" width="11.42578125" style="1227" customWidth="1"/>
    <col min="19" max="23" width="9.140625" style="1227"/>
    <col min="24" max="16384" width="9.140625" style="1226"/>
  </cols>
  <sheetData>
    <row r="1" spans="1:41">
      <c r="A1" s="1258" t="s">
        <v>863</v>
      </c>
      <c r="B1" s="1257"/>
      <c r="C1" s="1256"/>
      <c r="D1" s="1255"/>
      <c r="E1" s="2708" t="s">
        <v>864</v>
      </c>
      <c r="F1" s="2709"/>
      <c r="G1" s="2710"/>
      <c r="J1" s="2558" t="s">
        <v>712</v>
      </c>
      <c r="K1" s="2559"/>
      <c r="L1" s="2559"/>
      <c r="M1" s="2560"/>
      <c r="Z1" s="1228"/>
      <c r="AA1" s="1228"/>
      <c r="AB1" s="1228"/>
      <c r="AC1" s="1228"/>
      <c r="AD1" s="1228"/>
      <c r="AE1" s="1228"/>
      <c r="AF1" s="1228"/>
      <c r="AG1" s="1228"/>
      <c r="AH1" s="1228"/>
      <c r="AI1" s="1228"/>
      <c r="AJ1" s="1228"/>
      <c r="AK1" s="1228"/>
      <c r="AL1" s="1228"/>
      <c r="AM1" s="1228"/>
      <c r="AN1" s="1228"/>
      <c r="AO1" s="1228"/>
    </row>
    <row r="2" spans="1:41">
      <c r="A2" s="1252" t="s">
        <v>132</v>
      </c>
      <c r="B2" s="1247" t="s">
        <v>389</v>
      </c>
      <c r="C2" s="1251"/>
      <c r="D2" s="1247"/>
      <c r="E2" s="1254" t="s">
        <v>865</v>
      </c>
      <c r="F2" s="2711" t="s">
        <v>866</v>
      </c>
      <c r="G2" s="2712"/>
      <c r="J2" s="2561" t="s">
        <v>713</v>
      </c>
      <c r="K2" s="2562"/>
      <c r="L2" s="2562"/>
      <c r="M2" s="2563"/>
      <c r="Z2" s="1228"/>
      <c r="AA2" s="1228"/>
      <c r="AB2" s="1228"/>
      <c r="AC2" s="1228"/>
      <c r="AD2" s="1228"/>
      <c r="AE2" s="1228"/>
      <c r="AF2" s="1228"/>
      <c r="AG2" s="1228"/>
      <c r="AH2" s="1228"/>
      <c r="AI2" s="1228"/>
      <c r="AJ2" s="1228"/>
      <c r="AK2" s="1228"/>
      <c r="AL2" s="1228"/>
      <c r="AM2" s="1228"/>
      <c r="AN2" s="1228"/>
      <c r="AO2" s="1228"/>
    </row>
    <row r="3" spans="1:41">
      <c r="A3" s="1252" t="s">
        <v>867</v>
      </c>
      <c r="B3" s="1247" t="s">
        <v>384</v>
      </c>
      <c r="C3" s="1251"/>
      <c r="D3" s="1247"/>
      <c r="E3" s="1254" t="s">
        <v>868</v>
      </c>
      <c r="F3" s="2713" t="s">
        <v>869</v>
      </c>
      <c r="G3" s="2714"/>
      <c r="J3" s="2564" t="s">
        <v>714</v>
      </c>
      <c r="K3" s="2565"/>
      <c r="L3" s="2565"/>
      <c r="M3" s="2566"/>
      <c r="Z3" s="1228"/>
      <c r="AA3" s="1228"/>
      <c r="AB3" s="1228"/>
      <c r="AC3" s="1228"/>
      <c r="AD3" s="1228"/>
      <c r="AE3" s="1228"/>
      <c r="AF3" s="1228"/>
      <c r="AG3" s="1228"/>
      <c r="AH3" s="1228"/>
      <c r="AI3" s="1228"/>
      <c r="AJ3" s="1228"/>
      <c r="AK3" s="1228"/>
      <c r="AL3" s="1228"/>
      <c r="AM3" s="1228"/>
      <c r="AN3" s="1228"/>
      <c r="AO3" s="1228"/>
    </row>
    <row r="4" spans="1:41">
      <c r="A4" s="1252" t="s">
        <v>870</v>
      </c>
      <c r="B4" s="1247" t="s">
        <v>379</v>
      </c>
      <c r="C4" s="1251"/>
      <c r="D4" s="1247"/>
      <c r="E4" s="1254" t="s">
        <v>871</v>
      </c>
      <c r="F4" s="2713" t="s">
        <v>872</v>
      </c>
      <c r="G4" s="2714"/>
      <c r="J4" s="2564" t="s">
        <v>715</v>
      </c>
      <c r="K4" s="2565"/>
      <c r="L4" s="2565"/>
      <c r="M4" s="2566"/>
      <c r="Z4" s="1228"/>
      <c r="AA4" s="1228"/>
      <c r="AB4" s="1228"/>
      <c r="AC4" s="1228"/>
      <c r="AD4" s="1228"/>
      <c r="AE4" s="1228"/>
      <c r="AF4" s="1228"/>
      <c r="AG4" s="1228"/>
      <c r="AH4" s="1228"/>
      <c r="AI4" s="1228"/>
      <c r="AJ4" s="1228"/>
      <c r="AK4" s="1228"/>
      <c r="AL4" s="1228"/>
      <c r="AM4" s="1228"/>
      <c r="AN4" s="1228"/>
      <c r="AO4" s="1228"/>
    </row>
    <row r="5" spans="1:41">
      <c r="A5" s="1252" t="s">
        <v>873</v>
      </c>
      <c r="B5" s="1247" t="s">
        <v>364</v>
      </c>
      <c r="C5" s="1251"/>
      <c r="D5" s="1247"/>
      <c r="E5" s="1253" t="s">
        <v>874</v>
      </c>
      <c r="F5" s="2715" t="s">
        <v>875</v>
      </c>
      <c r="G5" s="2716"/>
      <c r="J5" s="2564" t="s">
        <v>716</v>
      </c>
      <c r="K5" s="2565"/>
      <c r="L5" s="2565"/>
      <c r="M5" s="2566"/>
      <c r="Z5" s="1228"/>
      <c r="AA5" s="1228"/>
      <c r="AB5" s="1228"/>
      <c r="AC5" s="1228"/>
      <c r="AD5" s="1228"/>
      <c r="AE5" s="1228"/>
      <c r="AF5" s="1228"/>
      <c r="AG5" s="1228"/>
      <c r="AH5" s="1228"/>
      <c r="AI5" s="1228"/>
      <c r="AJ5" s="1228"/>
      <c r="AK5" s="1228"/>
      <c r="AL5" s="1228"/>
      <c r="AM5" s="1228"/>
      <c r="AN5" s="1228"/>
      <c r="AO5" s="1228"/>
    </row>
    <row r="6" spans="1:41">
      <c r="A6" s="1252" t="s">
        <v>876</v>
      </c>
      <c r="B6" s="1247" t="s">
        <v>374</v>
      </c>
      <c r="C6" s="1251"/>
      <c r="D6" s="1247"/>
      <c r="E6" s="1238"/>
      <c r="F6" s="1238"/>
      <c r="J6" s="2564" t="s">
        <v>717</v>
      </c>
      <c r="K6" s="2565"/>
      <c r="L6" s="2565"/>
      <c r="M6" s="2566"/>
      <c r="X6" s="1228"/>
      <c r="Y6" s="1228"/>
      <c r="Z6" s="1228"/>
      <c r="AA6" s="1228"/>
      <c r="AB6" s="1228"/>
      <c r="AC6" s="1228"/>
      <c r="AD6" s="1228"/>
      <c r="AE6" s="1228"/>
      <c r="AF6" s="1228"/>
      <c r="AG6" s="1228"/>
      <c r="AH6" s="1228"/>
      <c r="AI6" s="1228"/>
      <c r="AJ6" s="1228"/>
      <c r="AK6" s="1228"/>
      <c r="AL6" s="1228"/>
      <c r="AM6" s="1228"/>
      <c r="AN6" s="1228"/>
      <c r="AO6" s="1228"/>
    </row>
    <row r="7" spans="1:41">
      <c r="A7" s="1252" t="s">
        <v>877</v>
      </c>
      <c r="B7" s="1247" t="s">
        <v>369</v>
      </c>
      <c r="C7" s="1251"/>
      <c r="D7" s="1247"/>
      <c r="E7" s="1238"/>
      <c r="F7" s="1238"/>
      <c r="J7" s="2567" t="s">
        <v>878</v>
      </c>
      <c r="K7" s="2568"/>
      <c r="L7" s="2568"/>
      <c r="M7" s="2569"/>
      <c r="AA7" s="1228"/>
      <c r="AB7" s="1228"/>
      <c r="AC7" s="1228"/>
      <c r="AD7" s="1228"/>
      <c r="AE7" s="1228"/>
      <c r="AF7" s="1228"/>
      <c r="AG7" s="1228"/>
      <c r="AH7" s="1228"/>
      <c r="AI7" s="1228"/>
      <c r="AJ7" s="1228"/>
      <c r="AK7" s="1228"/>
      <c r="AL7" s="1228"/>
      <c r="AM7" s="1228"/>
      <c r="AN7" s="1228"/>
      <c r="AO7" s="1228"/>
    </row>
    <row r="8" spans="1:41">
      <c r="A8" s="1252" t="s">
        <v>879</v>
      </c>
      <c r="B8" s="1247" t="s">
        <v>360</v>
      </c>
      <c r="C8" s="1251"/>
      <c r="D8" s="1247"/>
      <c r="E8" s="1238"/>
      <c r="F8" s="1238"/>
      <c r="AA8" s="1228"/>
      <c r="AB8" s="1228"/>
      <c r="AC8" s="1228"/>
      <c r="AD8" s="1228"/>
      <c r="AE8" s="1228"/>
      <c r="AF8" s="1228"/>
      <c r="AG8" s="1228"/>
      <c r="AH8" s="1228"/>
      <c r="AI8" s="1228"/>
      <c r="AJ8" s="1228"/>
      <c r="AK8" s="1228"/>
      <c r="AL8" s="1228"/>
      <c r="AM8" s="1228"/>
      <c r="AN8" s="1228"/>
      <c r="AO8" s="1228"/>
    </row>
    <row r="9" spans="1:41">
      <c r="A9" s="1252" t="s">
        <v>880</v>
      </c>
      <c r="B9" s="1247" t="s">
        <v>357</v>
      </c>
      <c r="C9" s="1251"/>
      <c r="D9" s="1247"/>
      <c r="E9" s="2556" t="s">
        <v>707</v>
      </c>
      <c r="F9" s="2557"/>
      <c r="G9" s="2557"/>
      <c r="H9" s="2557"/>
      <c r="I9" s="2557"/>
      <c r="J9" s="2557"/>
      <c r="K9" s="1467"/>
      <c r="L9" s="632"/>
      <c r="M9" s="1231"/>
      <c r="AC9" s="1228"/>
      <c r="AD9" s="1228"/>
      <c r="AE9" s="1228"/>
      <c r="AF9" s="1228"/>
      <c r="AG9" s="1228"/>
      <c r="AH9" s="1228"/>
      <c r="AI9" s="1228"/>
      <c r="AJ9" s="1228"/>
      <c r="AK9" s="1228"/>
      <c r="AL9" s="1228"/>
      <c r="AM9" s="1228"/>
      <c r="AN9" s="1228"/>
      <c r="AO9" s="1228"/>
    </row>
    <row r="10" spans="1:41">
      <c r="A10" s="1252" t="s">
        <v>881</v>
      </c>
      <c r="B10" s="1247" t="s">
        <v>343</v>
      </c>
      <c r="C10" s="1251"/>
      <c r="D10" s="1247"/>
      <c r="E10" s="627" t="s">
        <v>708</v>
      </c>
      <c r="H10" s="1238"/>
      <c r="I10" s="1238"/>
      <c r="J10" s="1238"/>
      <c r="K10" s="1238"/>
      <c r="M10" s="1240"/>
      <c r="AC10" s="1228"/>
      <c r="AD10" s="1228"/>
      <c r="AE10" s="1228"/>
      <c r="AF10" s="1228"/>
      <c r="AG10" s="1228"/>
      <c r="AH10" s="1228"/>
      <c r="AI10" s="1228"/>
      <c r="AJ10" s="1228"/>
      <c r="AK10" s="1228"/>
      <c r="AL10" s="1228"/>
      <c r="AM10" s="1228"/>
      <c r="AN10" s="1228"/>
      <c r="AO10" s="1228"/>
    </row>
    <row r="11" spans="1:41">
      <c r="A11" s="1252" t="s">
        <v>882</v>
      </c>
      <c r="B11" s="1247" t="s">
        <v>883</v>
      </c>
      <c r="C11" s="1251"/>
      <c r="D11" s="1247"/>
      <c r="E11" s="627" t="s">
        <v>709</v>
      </c>
      <c r="H11" s="1238"/>
      <c r="I11" s="1238"/>
      <c r="J11" s="1238"/>
      <c r="K11" s="1238"/>
      <c r="L11" s="1238"/>
      <c r="M11" s="1240"/>
      <c r="AC11" s="1228"/>
      <c r="AD11" s="1228"/>
      <c r="AE11" s="1228"/>
      <c r="AF11" s="1228"/>
      <c r="AG11" s="1228"/>
      <c r="AH11" s="1228"/>
      <c r="AI11" s="1228"/>
      <c r="AJ11" s="1228"/>
      <c r="AK11" s="1228"/>
      <c r="AL11" s="1228"/>
      <c r="AM11" s="1228"/>
      <c r="AN11" s="1228"/>
      <c r="AO11" s="1228"/>
    </row>
    <row r="12" spans="1:41">
      <c r="A12" s="1252" t="s">
        <v>884</v>
      </c>
      <c r="B12" s="1247" t="s">
        <v>885</v>
      </c>
      <c r="C12" s="1251"/>
      <c r="D12" s="1247"/>
      <c r="E12" s="627" t="s">
        <v>710</v>
      </c>
      <c r="H12" s="1238"/>
      <c r="I12" s="1238"/>
      <c r="J12" s="1238"/>
      <c r="K12" s="1238"/>
      <c r="L12" s="1238"/>
      <c r="M12" s="1240"/>
      <c r="AC12" s="1228"/>
      <c r="AD12" s="1228"/>
      <c r="AE12" s="1228"/>
      <c r="AF12" s="1228"/>
      <c r="AG12" s="1228"/>
      <c r="AH12" s="1228"/>
      <c r="AI12" s="1228"/>
      <c r="AJ12" s="1228"/>
      <c r="AK12" s="1228"/>
      <c r="AL12" s="1228"/>
      <c r="AM12" s="1228"/>
      <c r="AN12" s="1228"/>
      <c r="AO12" s="1228"/>
    </row>
    <row r="13" spans="1:41">
      <c r="A13" s="1250" t="s">
        <v>886</v>
      </c>
      <c r="B13" s="1246" t="s">
        <v>887</v>
      </c>
      <c r="C13" s="1249"/>
      <c r="D13" s="1247"/>
      <c r="E13" s="628" t="s">
        <v>711</v>
      </c>
      <c r="F13" s="1468"/>
      <c r="G13" s="1468"/>
      <c r="H13" s="629"/>
      <c r="I13" s="629"/>
      <c r="J13" s="629"/>
      <c r="K13" s="629"/>
      <c r="L13" s="629"/>
      <c r="M13" s="1248"/>
      <c r="R13" s="1226"/>
      <c r="U13" s="1226"/>
      <c r="V13" s="1226"/>
      <c r="W13" s="1226"/>
      <c r="AC13" s="1228"/>
      <c r="AD13" s="1228"/>
      <c r="AE13" s="1228"/>
      <c r="AF13" s="1228"/>
      <c r="AG13" s="1228"/>
      <c r="AH13" s="1228"/>
      <c r="AI13" s="1228"/>
      <c r="AJ13" s="1228"/>
      <c r="AK13" s="1228"/>
      <c r="AL13" s="1228"/>
      <c r="AM13" s="1228"/>
      <c r="AN13" s="1228"/>
      <c r="AO13" s="1228"/>
    </row>
    <row r="14" spans="1:41" ht="5.0999999999999996" customHeight="1">
      <c r="A14" s="625"/>
      <c r="B14" s="1247"/>
      <c r="C14" s="1247"/>
      <c r="D14" s="1246"/>
      <c r="E14" s="1238"/>
      <c r="F14" s="1238"/>
      <c r="G14" s="1245"/>
      <c r="H14" s="1245"/>
      <c r="U14" s="1226"/>
      <c r="V14" s="1226"/>
      <c r="W14" s="1226"/>
      <c r="X14" s="1228"/>
      <c r="Y14" s="1228"/>
      <c r="Z14" s="1228"/>
      <c r="AA14" s="1228"/>
      <c r="AB14" s="1228"/>
      <c r="AC14" s="1228"/>
      <c r="AD14" s="1228"/>
      <c r="AE14" s="1228"/>
      <c r="AF14" s="1228"/>
      <c r="AG14" s="1228"/>
      <c r="AH14" s="1228"/>
      <c r="AI14" s="1228"/>
      <c r="AJ14" s="1228"/>
      <c r="AK14" s="1228"/>
      <c r="AL14" s="1228"/>
      <c r="AM14" s="1228"/>
      <c r="AN14" s="1228"/>
      <c r="AO14" s="1228"/>
    </row>
    <row r="15" spans="1:41" ht="15" customHeight="1">
      <c r="A15" s="1235" t="s">
        <v>733</v>
      </c>
      <c r="B15" s="1234"/>
      <c r="C15" s="1233"/>
      <c r="D15" s="1232"/>
      <c r="E15" s="1241"/>
      <c r="F15" s="1241"/>
      <c r="G15" s="632"/>
      <c r="H15" s="632"/>
      <c r="I15" s="632"/>
      <c r="J15" s="632"/>
      <c r="K15" s="632"/>
      <c r="L15" s="632"/>
      <c r="M15" s="623"/>
      <c r="N15" s="1238"/>
      <c r="O15" s="1238"/>
      <c r="P15" s="1238"/>
      <c r="Q15" s="1238"/>
      <c r="U15" s="1226"/>
      <c r="V15" s="1226"/>
      <c r="W15" s="1226"/>
      <c r="X15" s="1228"/>
      <c r="Y15" s="1228"/>
      <c r="Z15" s="1228"/>
      <c r="AA15" s="1228"/>
      <c r="AB15" s="1228"/>
      <c r="AC15" s="1228"/>
      <c r="AD15" s="1228"/>
      <c r="AE15" s="1228"/>
      <c r="AF15" s="1228"/>
      <c r="AG15" s="1228"/>
      <c r="AH15" s="1228"/>
      <c r="AI15" s="1228"/>
      <c r="AJ15" s="1228"/>
      <c r="AK15" s="1228"/>
      <c r="AL15" s="1228"/>
      <c r="AM15" s="1228"/>
      <c r="AN15" s="1228"/>
      <c r="AO15" s="1228"/>
    </row>
    <row r="16" spans="1:41" ht="15" customHeight="1">
      <c r="A16" s="2717" t="s">
        <v>150</v>
      </c>
      <c r="B16" s="2718"/>
      <c r="C16" s="2718"/>
      <c r="D16" s="1230"/>
      <c r="E16" s="2605" t="s">
        <v>734</v>
      </c>
      <c r="F16" s="2605"/>
      <c r="G16" s="2605"/>
      <c r="H16" s="2605"/>
      <c r="I16" s="2605"/>
      <c r="J16" s="2605"/>
      <c r="K16" s="2605"/>
      <c r="L16" s="2605"/>
      <c r="M16" s="2606"/>
      <c r="N16" s="1242"/>
      <c r="O16" s="1242"/>
      <c r="P16" s="1242"/>
      <c r="Q16" s="1242"/>
      <c r="U16" s="1226"/>
      <c r="V16" s="1244"/>
      <c r="W16" s="1226"/>
      <c r="AD16" s="1228"/>
      <c r="AE16" s="1228"/>
      <c r="AF16" s="1228"/>
      <c r="AG16" s="1228"/>
      <c r="AH16" s="1228"/>
      <c r="AI16" s="1228"/>
      <c r="AJ16" s="1228"/>
      <c r="AK16" s="1228"/>
      <c r="AL16" s="1228"/>
      <c r="AM16" s="1228"/>
      <c r="AN16" s="1228"/>
      <c r="AO16" s="1228"/>
    </row>
    <row r="17" spans="1:41" ht="15" customHeight="1">
      <c r="A17" s="2592"/>
      <c r="B17" s="2591"/>
      <c r="C17" s="2591"/>
      <c r="D17" s="1230"/>
      <c r="E17" s="2605"/>
      <c r="F17" s="2605"/>
      <c r="G17" s="2605"/>
      <c r="H17" s="2605"/>
      <c r="I17" s="2605"/>
      <c r="J17" s="2605"/>
      <c r="K17" s="2605"/>
      <c r="L17" s="2605"/>
      <c r="M17" s="2606"/>
      <c r="T17" s="1226"/>
      <c r="U17" s="1226"/>
      <c r="V17" s="1226"/>
      <c r="W17" s="1226"/>
      <c r="AD17" s="1228"/>
      <c r="AE17" s="1228"/>
      <c r="AF17" s="1228"/>
      <c r="AG17" s="1228"/>
      <c r="AH17" s="1228"/>
      <c r="AI17" s="1228"/>
      <c r="AJ17" s="1228"/>
      <c r="AK17" s="1228"/>
      <c r="AL17" s="1228"/>
      <c r="AM17" s="1228"/>
      <c r="AN17" s="1228"/>
      <c r="AO17" s="1228"/>
    </row>
    <row r="18" spans="1:41" ht="15" customHeight="1">
      <c r="A18" s="2592" t="s">
        <v>206</v>
      </c>
      <c r="B18" s="2591"/>
      <c r="C18" s="2591"/>
      <c r="D18" s="1230"/>
      <c r="E18" s="2605" t="s">
        <v>735</v>
      </c>
      <c r="F18" s="2605"/>
      <c r="G18" s="2605"/>
      <c r="H18" s="2605"/>
      <c r="I18" s="2605"/>
      <c r="J18" s="2605"/>
      <c r="K18" s="2605"/>
      <c r="L18" s="2605"/>
      <c r="M18" s="2606"/>
      <c r="T18" s="1226"/>
      <c r="U18" s="1226"/>
      <c r="V18" s="1226"/>
      <c r="W18" s="1226"/>
      <c r="AD18" s="1228"/>
      <c r="AE18" s="1228"/>
      <c r="AF18" s="1228"/>
      <c r="AG18" s="1228"/>
      <c r="AH18" s="1228"/>
      <c r="AI18" s="1228"/>
      <c r="AJ18" s="1228"/>
      <c r="AK18" s="1228"/>
      <c r="AL18" s="1228"/>
      <c r="AM18" s="1228"/>
      <c r="AN18" s="1228"/>
      <c r="AO18" s="1228"/>
    </row>
    <row r="19" spans="1:41" ht="15" customHeight="1">
      <c r="A19" s="2592"/>
      <c r="B19" s="2591"/>
      <c r="C19" s="2591"/>
      <c r="D19" s="1230"/>
      <c r="E19" s="2605"/>
      <c r="F19" s="2605"/>
      <c r="G19" s="2605"/>
      <c r="H19" s="2605"/>
      <c r="I19" s="2605"/>
      <c r="J19" s="2605"/>
      <c r="K19" s="2605"/>
      <c r="L19" s="2605"/>
      <c r="M19" s="2606"/>
      <c r="T19" s="1226"/>
      <c r="U19" s="1226"/>
      <c r="V19" s="1226"/>
      <c r="W19" s="1226"/>
      <c r="AD19" s="1228"/>
      <c r="AE19" s="1228"/>
      <c r="AF19" s="1228"/>
      <c r="AG19" s="1228"/>
      <c r="AH19" s="1228"/>
      <c r="AI19" s="1228"/>
      <c r="AJ19" s="1228"/>
      <c r="AK19" s="1228"/>
      <c r="AL19" s="1228"/>
      <c r="AM19" s="1228"/>
      <c r="AN19" s="1228"/>
      <c r="AO19" s="1228"/>
    </row>
    <row r="20" spans="1:41" ht="15" customHeight="1">
      <c r="A20" s="2592"/>
      <c r="B20" s="2591"/>
      <c r="C20" s="2591"/>
      <c r="D20" s="1230"/>
      <c r="E20" s="2605"/>
      <c r="F20" s="2605"/>
      <c r="G20" s="2605"/>
      <c r="H20" s="2605"/>
      <c r="I20" s="2605"/>
      <c r="J20" s="2605"/>
      <c r="K20" s="2605"/>
      <c r="L20" s="2605"/>
      <c r="M20" s="2606"/>
      <c r="T20" s="1226"/>
      <c r="U20" s="1226"/>
      <c r="V20" s="1226"/>
      <c r="W20" s="1226"/>
      <c r="AD20" s="1228"/>
      <c r="AE20" s="1228"/>
      <c r="AF20" s="1228"/>
      <c r="AG20" s="1228"/>
      <c r="AH20" s="1228"/>
      <c r="AI20" s="1228"/>
      <c r="AJ20" s="1228"/>
      <c r="AK20" s="1228"/>
      <c r="AL20" s="1228"/>
      <c r="AM20" s="1228"/>
      <c r="AN20" s="1228"/>
      <c r="AO20" s="1228"/>
    </row>
    <row r="21" spans="1:41" ht="15" customHeight="1">
      <c r="A21" s="2592" t="s">
        <v>247</v>
      </c>
      <c r="B21" s="2591"/>
      <c r="C21" s="2591"/>
      <c r="D21" s="1230"/>
      <c r="E21" s="2605" t="s">
        <v>736</v>
      </c>
      <c r="F21" s="2605"/>
      <c r="G21" s="2605"/>
      <c r="H21" s="2605"/>
      <c r="I21" s="2605"/>
      <c r="J21" s="2605"/>
      <c r="K21" s="2605"/>
      <c r="L21" s="2605"/>
      <c r="M21" s="2606"/>
      <c r="T21" s="1226"/>
      <c r="U21" s="1226"/>
      <c r="V21" s="1226"/>
      <c r="W21" s="1226"/>
      <c r="Y21" s="1228"/>
      <c r="Z21" s="1228"/>
      <c r="AA21" s="1228"/>
      <c r="AB21" s="1228"/>
      <c r="AC21" s="1228"/>
      <c r="AD21" s="1228"/>
      <c r="AE21" s="1228"/>
      <c r="AF21" s="1228"/>
      <c r="AG21" s="1228"/>
      <c r="AH21" s="1228"/>
      <c r="AI21" s="1228"/>
      <c r="AJ21" s="1228"/>
      <c r="AK21" s="1228"/>
      <c r="AL21" s="1228"/>
      <c r="AM21" s="1228"/>
      <c r="AN21" s="1228"/>
      <c r="AO21" s="1228"/>
    </row>
    <row r="22" spans="1:41" ht="15" customHeight="1">
      <c r="A22" s="2592"/>
      <c r="B22" s="2591"/>
      <c r="C22" s="2591"/>
      <c r="D22" s="1230"/>
      <c r="E22" s="2605"/>
      <c r="F22" s="2605"/>
      <c r="G22" s="2605"/>
      <c r="H22" s="2605"/>
      <c r="I22" s="2605"/>
      <c r="J22" s="2605"/>
      <c r="K22" s="2605"/>
      <c r="L22" s="2605"/>
      <c r="M22" s="2606"/>
      <c r="N22" s="1243"/>
      <c r="O22" s="1243"/>
      <c r="P22" s="1243"/>
      <c r="Q22" s="1243"/>
      <c r="U22" s="1226"/>
      <c r="V22" s="1226"/>
      <c r="W22" s="1226"/>
      <c r="Y22" s="1228"/>
      <c r="Z22" s="1228"/>
      <c r="AA22" s="1228"/>
      <c r="AB22" s="1228"/>
      <c r="AC22" s="1228"/>
      <c r="AD22" s="1228"/>
      <c r="AE22" s="1228"/>
      <c r="AF22" s="1228"/>
      <c r="AG22" s="1228"/>
      <c r="AH22" s="1228"/>
      <c r="AI22" s="1228"/>
      <c r="AJ22" s="1228"/>
      <c r="AK22" s="1228"/>
      <c r="AL22" s="1228"/>
      <c r="AM22" s="1228"/>
      <c r="AN22" s="1228"/>
      <c r="AO22" s="1228"/>
    </row>
    <row r="23" spans="1:41" ht="15" customHeight="1">
      <c r="A23" s="2592"/>
      <c r="B23" s="2591"/>
      <c r="C23" s="2591"/>
      <c r="D23" s="1230"/>
      <c r="E23" s="2605"/>
      <c r="F23" s="2605"/>
      <c r="G23" s="2605"/>
      <c r="H23" s="2605"/>
      <c r="I23" s="2605"/>
      <c r="J23" s="2605"/>
      <c r="K23" s="2605"/>
      <c r="L23" s="2605"/>
      <c r="M23" s="2606"/>
      <c r="N23" s="1243"/>
      <c r="Q23" s="1114"/>
      <c r="R23" s="1114"/>
      <c r="U23" s="1226"/>
      <c r="V23" s="1226"/>
      <c r="W23" s="1226"/>
      <c r="Y23" s="1228"/>
      <c r="Z23" s="1228"/>
      <c r="AA23" s="1228"/>
      <c r="AB23" s="1228"/>
      <c r="AC23" s="1228"/>
      <c r="AD23" s="1228"/>
      <c r="AE23" s="1228"/>
      <c r="AF23" s="1228"/>
      <c r="AG23" s="1228"/>
      <c r="AH23" s="1228"/>
      <c r="AI23" s="1228"/>
      <c r="AJ23" s="1228"/>
      <c r="AK23" s="1228"/>
      <c r="AL23" s="1228"/>
      <c r="AM23" s="1228"/>
      <c r="AN23" s="1228"/>
      <c r="AO23" s="1228"/>
    </row>
    <row r="24" spans="1:41" ht="15" customHeight="1">
      <c r="A24" s="2592" t="s">
        <v>275</v>
      </c>
      <c r="B24" s="2591"/>
      <c r="C24" s="2591"/>
      <c r="D24" s="1230"/>
      <c r="E24" s="2605" t="s">
        <v>737</v>
      </c>
      <c r="F24" s="2605"/>
      <c r="G24" s="2605"/>
      <c r="H24" s="2605"/>
      <c r="I24" s="2605"/>
      <c r="J24" s="2605"/>
      <c r="K24" s="2605"/>
      <c r="L24" s="2605"/>
      <c r="M24" s="2606"/>
      <c r="N24" s="1242"/>
      <c r="O24" s="2708" t="s">
        <v>888</v>
      </c>
      <c r="P24" s="2709"/>
      <c r="Q24" s="2709"/>
      <c r="R24" s="2710"/>
      <c r="U24" s="1226"/>
      <c r="V24" s="1226"/>
      <c r="W24" s="1226"/>
      <c r="Y24" s="1228"/>
      <c r="Z24" s="1228"/>
      <c r="AA24" s="1228"/>
      <c r="AB24" s="1228"/>
      <c r="AC24" s="1228"/>
      <c r="AD24" s="1228"/>
      <c r="AE24" s="1228"/>
      <c r="AF24" s="1228"/>
      <c r="AG24" s="1228"/>
      <c r="AH24" s="1228"/>
      <c r="AI24" s="1228"/>
      <c r="AJ24" s="1228"/>
      <c r="AK24" s="1228"/>
      <c r="AL24" s="1228"/>
      <c r="AM24" s="1228"/>
      <c r="AN24" s="1228"/>
      <c r="AO24" s="1228"/>
    </row>
    <row r="25" spans="1:41" ht="15" customHeight="1">
      <c r="A25" s="2592"/>
      <c r="B25" s="2591"/>
      <c r="C25" s="2591"/>
      <c r="D25" s="1230"/>
      <c r="E25" s="2605"/>
      <c r="F25" s="2605"/>
      <c r="G25" s="2605"/>
      <c r="H25" s="2605"/>
      <c r="I25" s="2605"/>
      <c r="J25" s="2605"/>
      <c r="K25" s="2605"/>
      <c r="L25" s="2605"/>
      <c r="M25" s="2606"/>
      <c r="N25" s="1242"/>
      <c r="O25" s="2719" t="s">
        <v>889</v>
      </c>
      <c r="P25" s="2720"/>
      <c r="Q25" s="2720"/>
      <c r="R25" s="2721"/>
      <c r="X25" s="1228"/>
      <c r="Y25" s="1228"/>
      <c r="Z25" s="1228"/>
      <c r="AA25" s="1228"/>
      <c r="AB25" s="1228"/>
      <c r="AC25" s="1228"/>
      <c r="AD25" s="1228"/>
      <c r="AE25" s="1228"/>
      <c r="AF25" s="1228"/>
      <c r="AG25" s="1228"/>
      <c r="AH25" s="1228"/>
      <c r="AI25" s="1228"/>
      <c r="AJ25" s="1228"/>
      <c r="AK25" s="1228"/>
      <c r="AL25" s="1228"/>
      <c r="AM25" s="1228"/>
      <c r="AN25" s="1228"/>
      <c r="AO25" s="1228"/>
    </row>
    <row r="26" spans="1:41" ht="15" customHeight="1">
      <c r="A26" s="2592"/>
      <c r="B26" s="2591"/>
      <c r="C26" s="2591"/>
      <c r="D26" s="1230"/>
      <c r="E26" s="2605"/>
      <c r="F26" s="2605"/>
      <c r="G26" s="2605"/>
      <c r="H26" s="2605"/>
      <c r="I26" s="2605"/>
      <c r="J26" s="2605"/>
      <c r="K26" s="2605"/>
      <c r="L26" s="2605"/>
      <c r="M26" s="2606"/>
      <c r="N26" s="1242"/>
      <c r="O26" s="2722"/>
      <c r="P26" s="2605"/>
      <c r="Q26" s="2605"/>
      <c r="R26" s="2606"/>
      <c r="X26" s="1228"/>
      <c r="Y26" s="1228"/>
      <c r="Z26" s="1228"/>
      <c r="AA26" s="1228"/>
      <c r="AB26" s="1228"/>
      <c r="AC26" s="1228"/>
      <c r="AD26" s="1228"/>
      <c r="AE26" s="1228"/>
      <c r="AF26" s="1228"/>
      <c r="AG26" s="1228"/>
      <c r="AH26" s="1228"/>
      <c r="AI26" s="1228"/>
      <c r="AJ26" s="1228"/>
      <c r="AK26" s="1228"/>
      <c r="AL26" s="1228"/>
      <c r="AM26" s="1228"/>
      <c r="AN26" s="1228"/>
      <c r="AO26" s="1228"/>
    </row>
    <row r="27" spans="1:41" ht="15" customHeight="1">
      <c r="A27" s="2592" t="s">
        <v>738</v>
      </c>
      <c r="B27" s="2591"/>
      <c r="C27" s="2591"/>
      <c r="D27" s="1230"/>
      <c r="E27" s="2605" t="s">
        <v>739</v>
      </c>
      <c r="F27" s="2605"/>
      <c r="G27" s="2605"/>
      <c r="H27" s="2605"/>
      <c r="I27" s="2605"/>
      <c r="J27" s="2605"/>
      <c r="K27" s="2605"/>
      <c r="L27" s="2605"/>
      <c r="M27" s="2606"/>
      <c r="N27" s="1239"/>
      <c r="O27" s="2722"/>
      <c r="P27" s="2605"/>
      <c r="Q27" s="2605"/>
      <c r="R27" s="2606"/>
      <c r="X27" s="1228"/>
      <c r="Y27" s="1228"/>
      <c r="Z27" s="1228"/>
      <c r="AA27" s="1228"/>
      <c r="AB27" s="1228"/>
      <c r="AC27" s="1228"/>
      <c r="AD27" s="1228"/>
      <c r="AE27" s="1228"/>
      <c r="AF27" s="1228"/>
      <c r="AG27" s="1228"/>
      <c r="AH27" s="1228"/>
      <c r="AI27" s="1228"/>
      <c r="AJ27" s="1228"/>
      <c r="AK27" s="1228"/>
      <c r="AL27" s="1228"/>
      <c r="AM27" s="1228"/>
      <c r="AN27" s="1228"/>
      <c r="AO27" s="1228"/>
    </row>
    <row r="28" spans="1:41" ht="15" customHeight="1">
      <c r="A28" s="2726" t="s">
        <v>276</v>
      </c>
      <c r="B28" s="2727"/>
      <c r="C28" s="2727"/>
      <c r="D28" s="1229"/>
      <c r="E28" s="631" t="s">
        <v>747</v>
      </c>
      <c r="F28" s="631"/>
      <c r="G28" s="631"/>
      <c r="H28" s="631"/>
      <c r="I28" s="631"/>
      <c r="J28" s="631"/>
      <c r="K28" s="631"/>
      <c r="L28" s="629"/>
      <c r="M28" s="630"/>
      <c r="O28" s="2722"/>
      <c r="P28" s="2605"/>
      <c r="Q28" s="2605"/>
      <c r="R28" s="2606"/>
      <c r="X28" s="1228"/>
      <c r="Y28" s="1228"/>
      <c r="Z28" s="1228"/>
      <c r="AA28" s="1228"/>
      <c r="AB28" s="1228"/>
      <c r="AC28" s="1228"/>
      <c r="AD28" s="1228"/>
      <c r="AE28" s="1228"/>
      <c r="AF28" s="1228"/>
      <c r="AG28" s="1228"/>
      <c r="AH28" s="1228"/>
      <c r="AI28" s="1228"/>
      <c r="AJ28" s="1228"/>
      <c r="AK28" s="1228"/>
      <c r="AL28" s="1228"/>
      <c r="AM28" s="1228"/>
      <c r="AN28" s="1228"/>
      <c r="AO28" s="1228"/>
    </row>
    <row r="29" spans="1:41" ht="5.0999999999999996" customHeight="1">
      <c r="O29" s="2722"/>
      <c r="P29" s="2605"/>
      <c r="Q29" s="2605"/>
      <c r="R29" s="2606"/>
      <c r="X29" s="1228"/>
      <c r="Y29" s="1228"/>
      <c r="Z29" s="1228"/>
      <c r="AA29" s="1228"/>
      <c r="AB29" s="1228"/>
      <c r="AC29" s="1228"/>
      <c r="AD29" s="1228"/>
      <c r="AE29" s="1228"/>
      <c r="AF29" s="1228"/>
      <c r="AG29" s="1228"/>
      <c r="AH29" s="1228"/>
      <c r="AI29" s="1228"/>
      <c r="AJ29" s="1228"/>
      <c r="AK29" s="1228"/>
      <c r="AL29" s="1228"/>
      <c r="AM29" s="1228"/>
      <c r="AN29" s="1228"/>
      <c r="AO29" s="1228"/>
    </row>
    <row r="30" spans="1:41">
      <c r="A30" s="1235" t="s">
        <v>740</v>
      </c>
      <c r="B30" s="1234"/>
      <c r="C30" s="1233"/>
      <c r="D30" s="1232"/>
      <c r="E30" s="1241"/>
      <c r="F30" s="1241"/>
      <c r="G30" s="632"/>
      <c r="H30" s="632"/>
      <c r="I30" s="632"/>
      <c r="J30" s="632"/>
      <c r="K30" s="632"/>
      <c r="L30" s="632"/>
      <c r="M30" s="623"/>
      <c r="O30" s="2723"/>
      <c r="P30" s="2724"/>
      <c r="Q30" s="2724"/>
      <c r="R30" s="2725"/>
      <c r="X30" s="1228"/>
      <c r="Y30" s="1228"/>
      <c r="Z30" s="1228"/>
      <c r="AA30" s="1228"/>
      <c r="AB30" s="1228"/>
      <c r="AC30" s="1228"/>
      <c r="AD30" s="1228"/>
      <c r="AE30" s="1228"/>
      <c r="AF30" s="1228"/>
      <c r="AG30" s="1228"/>
      <c r="AH30" s="1228"/>
      <c r="AI30" s="1228"/>
      <c r="AJ30" s="1228"/>
      <c r="AK30" s="1228"/>
      <c r="AL30" s="1228"/>
      <c r="AM30" s="1228"/>
      <c r="AN30" s="1228"/>
      <c r="AO30" s="1228"/>
    </row>
    <row r="31" spans="1:41">
      <c r="A31" s="2717" t="s">
        <v>96</v>
      </c>
      <c r="B31" s="2718"/>
      <c r="C31" s="2718"/>
      <c r="D31" s="1230"/>
      <c r="E31" s="2565" t="s">
        <v>741</v>
      </c>
      <c r="F31" s="2565"/>
      <c r="G31" s="2565"/>
      <c r="H31" s="2565"/>
      <c r="I31" s="2565"/>
      <c r="J31" s="2565"/>
      <c r="K31" s="2565"/>
      <c r="M31" s="1240"/>
      <c r="X31" s="1228"/>
      <c r="Y31" s="1228"/>
      <c r="Z31" s="1228"/>
      <c r="AA31" s="1228"/>
      <c r="AB31" s="1228"/>
      <c r="AC31" s="1228"/>
      <c r="AD31" s="1228"/>
      <c r="AE31" s="1228"/>
      <c r="AF31" s="1228"/>
      <c r="AG31" s="1228"/>
      <c r="AH31" s="1228"/>
      <c r="AI31" s="1228"/>
      <c r="AJ31" s="1228"/>
      <c r="AK31" s="1228"/>
      <c r="AL31" s="1228"/>
      <c r="AM31" s="1228"/>
      <c r="AN31" s="1228"/>
      <c r="AO31" s="1228"/>
    </row>
    <row r="32" spans="1:41" ht="15" customHeight="1">
      <c r="A32" s="2592" t="s">
        <v>151</v>
      </c>
      <c r="B32" s="2591"/>
      <c r="C32" s="2591"/>
      <c r="D32" s="1230"/>
      <c r="E32" s="1239" t="s">
        <v>742</v>
      </c>
      <c r="F32" s="1239"/>
      <c r="G32" s="1239"/>
      <c r="H32" s="1239"/>
      <c r="I32" s="1239"/>
      <c r="J32" s="1239"/>
      <c r="K32" s="1239"/>
      <c r="L32" s="1238"/>
      <c r="M32" s="626"/>
      <c r="X32" s="1228"/>
      <c r="Y32" s="1228"/>
      <c r="Z32" s="1228"/>
      <c r="AA32" s="1228"/>
      <c r="AB32" s="1228"/>
      <c r="AC32" s="1228"/>
      <c r="AD32" s="1228"/>
      <c r="AE32" s="1228"/>
      <c r="AF32" s="1228"/>
      <c r="AG32" s="1228"/>
      <c r="AH32" s="1228"/>
      <c r="AI32" s="1228"/>
      <c r="AJ32" s="1228"/>
      <c r="AK32" s="1228"/>
      <c r="AL32" s="1228"/>
      <c r="AM32" s="1228"/>
      <c r="AN32" s="1228"/>
      <c r="AO32" s="1228"/>
    </row>
    <row r="33" spans="1:41">
      <c r="A33" s="2592" t="s">
        <v>207</v>
      </c>
      <c r="B33" s="2591"/>
      <c r="C33" s="2591"/>
      <c r="D33" s="1230"/>
      <c r="E33" s="2599" t="s">
        <v>743</v>
      </c>
      <c r="F33" s="2599"/>
      <c r="G33" s="2599"/>
      <c r="H33" s="2599"/>
      <c r="I33" s="2599"/>
      <c r="J33" s="2599"/>
      <c r="K33" s="2599"/>
      <c r="L33" s="2599"/>
      <c r="M33" s="2600"/>
      <c r="AG33" s="1228"/>
      <c r="AH33" s="1228"/>
      <c r="AI33" s="1228"/>
      <c r="AJ33" s="1228"/>
      <c r="AK33" s="1228"/>
      <c r="AL33" s="1228"/>
      <c r="AM33" s="1228"/>
      <c r="AN33" s="1228"/>
      <c r="AO33" s="1228"/>
    </row>
    <row r="34" spans="1:41" ht="15" customHeight="1">
      <c r="A34" s="1237"/>
      <c r="B34" s="1236"/>
      <c r="C34" s="1236"/>
      <c r="D34" s="1230"/>
      <c r="E34" s="2599"/>
      <c r="F34" s="2599"/>
      <c r="G34" s="2599"/>
      <c r="H34" s="2599"/>
      <c r="I34" s="2599"/>
      <c r="J34" s="2599"/>
      <c r="K34" s="2599"/>
      <c r="L34" s="2599"/>
      <c r="M34" s="2600"/>
      <c r="AG34" s="1228"/>
      <c r="AH34" s="1228"/>
      <c r="AI34" s="1228"/>
      <c r="AJ34" s="1228"/>
      <c r="AK34" s="1228"/>
      <c r="AL34" s="1228"/>
      <c r="AM34" s="1228"/>
      <c r="AN34" s="1228"/>
      <c r="AO34" s="1228"/>
    </row>
    <row r="35" spans="1:41">
      <c r="A35" s="2592" t="s">
        <v>248</v>
      </c>
      <c r="B35" s="2591"/>
      <c r="C35" s="2591"/>
      <c r="D35" s="1230"/>
      <c r="E35" s="2593" t="s">
        <v>746</v>
      </c>
      <c r="F35" s="2593"/>
      <c r="G35" s="2593"/>
      <c r="H35" s="2593"/>
      <c r="I35" s="2593"/>
      <c r="J35" s="2593"/>
      <c r="K35" s="2593"/>
      <c r="L35" s="2593"/>
      <c r="M35" s="2594"/>
      <c r="AG35" s="1228"/>
      <c r="AH35" s="1228"/>
      <c r="AI35" s="1228"/>
      <c r="AJ35" s="1228"/>
      <c r="AK35" s="1228"/>
      <c r="AL35" s="1228"/>
      <c r="AM35" s="1228"/>
      <c r="AN35" s="1228"/>
      <c r="AO35" s="1228"/>
    </row>
    <row r="36" spans="1:41">
      <c r="A36" s="2592"/>
      <c r="B36" s="2591"/>
      <c r="C36" s="2591"/>
      <c r="D36" s="1230"/>
      <c r="E36" s="2593"/>
      <c r="F36" s="2593"/>
      <c r="G36" s="2593"/>
      <c r="H36" s="2593"/>
      <c r="I36" s="2593"/>
      <c r="J36" s="2593"/>
      <c r="K36" s="2593"/>
      <c r="L36" s="2593"/>
      <c r="M36" s="2594"/>
      <c r="AG36" s="1228"/>
      <c r="AH36" s="1228"/>
      <c r="AI36" s="1228"/>
      <c r="AJ36" s="1228"/>
      <c r="AK36" s="1228"/>
      <c r="AL36" s="1228"/>
      <c r="AM36" s="1228"/>
      <c r="AN36" s="1228"/>
      <c r="AO36" s="1228"/>
    </row>
    <row r="37" spans="1:41" ht="15" customHeight="1">
      <c r="A37" s="2728" t="s">
        <v>95</v>
      </c>
      <c r="B37" s="2729"/>
      <c r="C37" s="2729"/>
      <c r="D37" s="2390"/>
      <c r="E37" s="1468" t="s">
        <v>2664</v>
      </c>
      <c r="F37" s="1468"/>
      <c r="G37" s="1468"/>
      <c r="H37" s="1468"/>
      <c r="I37" s="1468"/>
      <c r="J37" s="1468"/>
      <c r="K37" s="1468"/>
      <c r="L37" s="1468"/>
      <c r="M37" s="1248"/>
      <c r="AG37" s="1228"/>
      <c r="AH37" s="1228"/>
      <c r="AI37" s="1228"/>
      <c r="AJ37" s="1228"/>
      <c r="AK37" s="1228"/>
      <c r="AL37" s="1228"/>
      <c r="AM37" s="1228"/>
      <c r="AN37" s="1228"/>
      <c r="AO37" s="1228"/>
    </row>
    <row r="38" spans="1:41" ht="5.0999999999999996" customHeight="1">
      <c r="AG38" s="1228"/>
      <c r="AH38" s="1228"/>
      <c r="AI38" s="1228"/>
      <c r="AJ38" s="1228"/>
      <c r="AK38" s="1228"/>
      <c r="AL38" s="1228"/>
      <c r="AM38" s="1228"/>
      <c r="AN38" s="1228"/>
      <c r="AO38" s="1228"/>
    </row>
    <row r="39" spans="1:41">
      <c r="A39" s="1235" t="s">
        <v>727</v>
      </c>
      <c r="B39" s="1234"/>
      <c r="C39" s="1233"/>
      <c r="D39" s="1232"/>
      <c r="E39" s="1232"/>
      <c r="F39" s="1232"/>
      <c r="G39" s="624"/>
      <c r="H39" s="624"/>
      <c r="I39" s="2391"/>
      <c r="J39" s="2391"/>
      <c r="K39" s="2391"/>
      <c r="L39" s="1231"/>
      <c r="AG39" s="1228"/>
      <c r="AH39" s="1228"/>
      <c r="AI39" s="1228"/>
      <c r="AJ39" s="1228"/>
      <c r="AK39" s="1228"/>
      <c r="AL39" s="1228"/>
      <c r="AM39" s="1228"/>
      <c r="AN39" s="1228"/>
      <c r="AO39" s="1228"/>
    </row>
    <row r="40" spans="1:41">
      <c r="A40" s="2592" t="s">
        <v>96</v>
      </c>
      <c r="B40" s="2591"/>
      <c r="C40" s="2591"/>
      <c r="D40" s="1230"/>
      <c r="E40" s="2565" t="s">
        <v>728</v>
      </c>
      <c r="F40" s="2565"/>
      <c r="G40" s="2565"/>
      <c r="H40" s="2565"/>
      <c r="I40" s="2565"/>
      <c r="L40" s="1240"/>
      <c r="AG40" s="1228"/>
      <c r="AH40" s="1228"/>
      <c r="AI40" s="1228"/>
      <c r="AJ40" s="1228"/>
      <c r="AK40" s="1228"/>
      <c r="AL40" s="1228"/>
      <c r="AM40" s="1228"/>
      <c r="AN40" s="1228"/>
      <c r="AO40" s="1228"/>
    </row>
    <row r="41" spans="1:41">
      <c r="A41" s="2730" t="s">
        <v>2662</v>
      </c>
      <c r="B41" s="2731"/>
      <c r="C41" s="2731"/>
      <c r="D41" s="1230"/>
      <c r="E41" s="1239" t="s">
        <v>2665</v>
      </c>
      <c r="F41" s="1239"/>
      <c r="G41" s="1239"/>
      <c r="H41" s="1239"/>
      <c r="I41" s="1239"/>
      <c r="L41" s="1240"/>
      <c r="AG41" s="1228"/>
      <c r="AH41" s="1228"/>
      <c r="AI41" s="1228"/>
      <c r="AJ41" s="1228"/>
      <c r="AK41" s="1228"/>
      <c r="AL41" s="1228"/>
      <c r="AM41" s="1228"/>
      <c r="AN41" s="1228"/>
      <c r="AO41" s="1228"/>
    </row>
    <row r="42" spans="1:41">
      <c r="A42" s="2592" t="s">
        <v>152</v>
      </c>
      <c r="B42" s="2591"/>
      <c r="C42" s="2591"/>
      <c r="D42" s="1230"/>
      <c r="E42" s="2565" t="s">
        <v>729</v>
      </c>
      <c r="F42" s="2565"/>
      <c r="G42" s="2565"/>
      <c r="H42" s="2565"/>
      <c r="I42" s="2565"/>
      <c r="L42" s="1240"/>
      <c r="X42" s="1228"/>
      <c r="Y42" s="1228"/>
      <c r="Z42" s="1228"/>
      <c r="AA42" s="1228"/>
      <c r="AB42" s="1228"/>
      <c r="AC42" s="1228"/>
      <c r="AD42" s="1228"/>
      <c r="AE42" s="1228"/>
      <c r="AF42" s="1228"/>
      <c r="AG42" s="1228"/>
      <c r="AH42" s="1228"/>
      <c r="AI42" s="1228"/>
      <c r="AJ42" s="1228"/>
      <c r="AK42" s="1228"/>
      <c r="AL42" s="1228"/>
      <c r="AM42" s="1228"/>
      <c r="AN42" s="1228"/>
      <c r="AO42" s="1228"/>
    </row>
    <row r="43" spans="1:41" ht="15" customHeight="1">
      <c r="A43" s="2592" t="s">
        <v>208</v>
      </c>
      <c r="B43" s="2591"/>
      <c r="C43" s="2591"/>
      <c r="D43" s="1230"/>
      <c r="E43" s="2565" t="s">
        <v>730</v>
      </c>
      <c r="F43" s="2565"/>
      <c r="G43" s="2565"/>
      <c r="H43" s="2565"/>
      <c r="I43" s="2565"/>
      <c r="L43" s="1240"/>
      <c r="X43" s="1228"/>
      <c r="Y43" s="1228"/>
      <c r="Z43" s="1228"/>
      <c r="AA43" s="1228"/>
      <c r="AB43" s="1228"/>
      <c r="AC43" s="1228"/>
      <c r="AD43" s="1228"/>
      <c r="AE43" s="1228"/>
      <c r="AF43" s="1228"/>
      <c r="AG43" s="1228"/>
      <c r="AH43" s="1228"/>
      <c r="AI43" s="1228"/>
      <c r="AJ43" s="1228"/>
      <c r="AK43" s="1228"/>
      <c r="AL43" s="1228"/>
      <c r="AM43" s="1228"/>
      <c r="AN43" s="1228"/>
      <c r="AO43" s="1228"/>
    </row>
    <row r="44" spans="1:41" ht="15" customHeight="1">
      <c r="A44" s="2592" t="s">
        <v>249</v>
      </c>
      <c r="B44" s="2591"/>
      <c r="C44" s="2591"/>
      <c r="D44" s="1230"/>
      <c r="E44" s="2605" t="s">
        <v>731</v>
      </c>
      <c r="F44" s="2605"/>
      <c r="G44" s="2605"/>
      <c r="H44" s="2605"/>
      <c r="I44" s="2605"/>
      <c r="J44" s="2605"/>
      <c r="K44" s="2605"/>
      <c r="L44" s="2606"/>
      <c r="P44" s="2504" t="str">
        <f>'Drop-Down Lists'!A2</f>
        <v>v 05.01.2026</v>
      </c>
      <c r="Q44" s="2504"/>
      <c r="X44" s="1228"/>
      <c r="Y44" s="1228"/>
      <c r="Z44" s="1228"/>
      <c r="AA44" s="1228"/>
      <c r="AB44" s="1228"/>
      <c r="AC44" s="1228"/>
      <c r="AD44" s="1228"/>
      <c r="AE44" s="1228"/>
      <c r="AF44" s="1228"/>
      <c r="AG44" s="1228"/>
      <c r="AH44" s="1228"/>
      <c r="AI44" s="1228"/>
      <c r="AJ44" s="1228"/>
      <c r="AK44" s="1228"/>
      <c r="AL44" s="1228"/>
      <c r="AM44" s="1228"/>
      <c r="AN44" s="1228"/>
      <c r="AO44" s="1228"/>
    </row>
    <row r="45" spans="1:41">
      <c r="A45" s="2595" t="s">
        <v>277</v>
      </c>
      <c r="B45" s="2596"/>
      <c r="C45" s="2596"/>
      <c r="D45" s="1229"/>
      <c r="E45" s="2597" t="s">
        <v>732</v>
      </c>
      <c r="F45" s="2597"/>
      <c r="G45" s="2597"/>
      <c r="H45" s="2597"/>
      <c r="I45" s="2597"/>
      <c r="J45" s="1468"/>
      <c r="K45" s="1468"/>
      <c r="L45" s="1248"/>
      <c r="X45" s="1228"/>
      <c r="Y45" s="1228"/>
      <c r="Z45" s="1228"/>
      <c r="AA45" s="1228"/>
      <c r="AB45" s="1228"/>
      <c r="AC45" s="1228"/>
      <c r="AD45" s="1228"/>
      <c r="AE45" s="1228"/>
      <c r="AF45" s="1228"/>
      <c r="AG45" s="1228"/>
      <c r="AH45" s="1228"/>
      <c r="AI45" s="1228"/>
      <c r="AJ45" s="1228"/>
      <c r="AK45" s="1228"/>
      <c r="AL45" s="1228"/>
      <c r="AM45" s="1228"/>
      <c r="AN45" s="1228"/>
      <c r="AO45" s="1228"/>
    </row>
    <row r="46" spans="1:41">
      <c r="X46" s="1228"/>
      <c r="Y46" s="1228"/>
      <c r="Z46" s="1228"/>
      <c r="AA46" s="1228"/>
      <c r="AB46" s="1228"/>
      <c r="AC46" s="1228"/>
      <c r="AD46" s="1228"/>
      <c r="AE46" s="1228"/>
      <c r="AF46" s="1228"/>
      <c r="AG46" s="1228"/>
      <c r="AH46" s="1228"/>
      <c r="AI46" s="1228"/>
      <c r="AJ46" s="1228"/>
      <c r="AK46" s="1228"/>
      <c r="AL46" s="1228"/>
      <c r="AM46" s="1228"/>
      <c r="AN46" s="1228"/>
      <c r="AO46" s="1228"/>
    </row>
    <row r="47" spans="1:41">
      <c r="P47" s="1228"/>
      <c r="Q47" s="1228"/>
      <c r="X47" s="1228"/>
      <c r="Y47" s="1228"/>
      <c r="Z47" s="1228"/>
      <c r="AA47" s="1228"/>
      <c r="AB47" s="1228"/>
      <c r="AC47" s="1228"/>
      <c r="AD47" s="1228"/>
      <c r="AE47" s="1228"/>
      <c r="AF47" s="1228"/>
      <c r="AG47" s="1228"/>
      <c r="AH47" s="1228"/>
      <c r="AI47" s="1228"/>
      <c r="AJ47" s="1228"/>
      <c r="AK47" s="1228"/>
      <c r="AL47" s="1228"/>
      <c r="AM47" s="1228"/>
      <c r="AN47" s="1228"/>
      <c r="AO47" s="1228"/>
    </row>
    <row r="48" spans="1:41">
      <c r="P48" s="1228"/>
      <c r="Q48" s="1228"/>
      <c r="X48" s="1228"/>
      <c r="Y48" s="1228"/>
      <c r="Z48" s="1228"/>
      <c r="AA48" s="1228"/>
      <c r="AB48" s="1228"/>
      <c r="AC48" s="1228"/>
      <c r="AD48" s="1228"/>
      <c r="AE48" s="1228"/>
      <c r="AF48" s="1228"/>
      <c r="AG48" s="1228"/>
      <c r="AH48" s="1228"/>
      <c r="AI48" s="1228"/>
      <c r="AJ48" s="1228"/>
      <c r="AK48" s="1228"/>
      <c r="AL48" s="1228"/>
      <c r="AM48" s="1228"/>
      <c r="AN48" s="1228"/>
      <c r="AO48" s="1228"/>
    </row>
    <row r="49" spans="16:41">
      <c r="P49" s="1228"/>
      <c r="Q49" s="1228"/>
      <c r="X49" s="1228"/>
      <c r="Y49" s="1228"/>
      <c r="Z49" s="1228"/>
      <c r="AA49" s="1228"/>
      <c r="AB49" s="1228"/>
      <c r="AC49" s="1228"/>
      <c r="AD49" s="1228"/>
      <c r="AE49" s="1228"/>
      <c r="AF49" s="1228"/>
      <c r="AG49" s="1228"/>
      <c r="AH49" s="1228"/>
      <c r="AI49" s="1228"/>
      <c r="AJ49" s="1228"/>
      <c r="AK49" s="1228"/>
      <c r="AL49" s="1228"/>
      <c r="AM49" s="1228"/>
      <c r="AN49" s="1228"/>
      <c r="AO49" s="1228"/>
    </row>
    <row r="50" spans="16:41">
      <c r="P50" s="1228"/>
      <c r="Q50" s="1228"/>
      <c r="X50" s="1228"/>
      <c r="Y50" s="1228"/>
      <c r="Z50" s="1228"/>
      <c r="AA50" s="1228"/>
      <c r="AB50" s="1228"/>
      <c r="AC50" s="1228"/>
      <c r="AD50" s="1228"/>
      <c r="AE50" s="1228"/>
      <c r="AF50" s="1228"/>
      <c r="AG50" s="1228"/>
      <c r="AH50" s="1228"/>
      <c r="AI50" s="1228"/>
      <c r="AJ50" s="1228"/>
      <c r="AK50" s="1228"/>
      <c r="AL50" s="1228"/>
      <c r="AM50" s="1228"/>
      <c r="AN50" s="1228"/>
      <c r="AO50" s="1228"/>
    </row>
    <row r="51" spans="16:41">
      <c r="P51" s="1228"/>
      <c r="Q51" s="1228"/>
      <c r="X51" s="1228"/>
      <c r="Y51" s="1228"/>
      <c r="Z51" s="1228"/>
      <c r="AA51" s="1228"/>
      <c r="AB51" s="1228"/>
      <c r="AC51" s="1228"/>
      <c r="AD51" s="1228"/>
      <c r="AE51" s="1228"/>
      <c r="AF51" s="1228"/>
      <c r="AG51" s="1228"/>
      <c r="AH51" s="1228"/>
      <c r="AI51" s="1228"/>
      <c r="AJ51" s="1228"/>
      <c r="AK51" s="1228"/>
      <c r="AL51" s="1228"/>
      <c r="AM51" s="1228"/>
      <c r="AN51" s="1228"/>
      <c r="AO51" s="1228"/>
    </row>
    <row r="52" spans="16:41">
      <c r="P52" s="1228"/>
      <c r="Q52" s="1228"/>
      <c r="X52" s="1228"/>
      <c r="Y52" s="1228"/>
      <c r="Z52" s="1228"/>
      <c r="AA52" s="1228"/>
      <c r="AB52" s="1228"/>
      <c r="AC52" s="1228"/>
      <c r="AD52" s="1228"/>
      <c r="AE52" s="1228"/>
      <c r="AF52" s="1228"/>
      <c r="AG52" s="1228"/>
      <c r="AH52" s="1228"/>
      <c r="AI52" s="1228"/>
      <c r="AJ52" s="1228"/>
      <c r="AK52" s="1228"/>
      <c r="AL52" s="1228"/>
      <c r="AM52" s="1228"/>
      <c r="AN52" s="1228"/>
      <c r="AO52" s="1228"/>
    </row>
    <row r="53" spans="16:41">
      <c r="P53" s="1228"/>
      <c r="Q53" s="1228"/>
      <c r="X53" s="1228"/>
      <c r="Y53" s="1228"/>
      <c r="Z53" s="1228"/>
      <c r="AA53" s="1228"/>
      <c r="AB53" s="1228"/>
      <c r="AC53" s="1228"/>
      <c r="AD53" s="1228"/>
      <c r="AE53" s="1228"/>
      <c r="AF53" s="1228"/>
      <c r="AG53" s="1228"/>
      <c r="AH53" s="1228"/>
      <c r="AI53" s="1228"/>
      <c r="AJ53" s="1228"/>
      <c r="AK53" s="1228"/>
      <c r="AL53" s="1228"/>
      <c r="AM53" s="1228"/>
      <c r="AN53" s="1228"/>
      <c r="AO53" s="1228"/>
    </row>
    <row r="54" spans="16:41">
      <c r="P54" s="1228"/>
      <c r="Q54" s="1228"/>
      <c r="X54" s="1228"/>
      <c r="Y54" s="1228"/>
      <c r="Z54" s="1228"/>
      <c r="AA54" s="1228"/>
      <c r="AB54" s="1228"/>
      <c r="AC54" s="1228"/>
      <c r="AD54" s="1228"/>
      <c r="AE54" s="1228"/>
      <c r="AF54" s="1228"/>
      <c r="AG54" s="1228"/>
      <c r="AH54" s="1228"/>
      <c r="AI54" s="1228"/>
      <c r="AJ54" s="1228"/>
      <c r="AK54" s="1228"/>
      <c r="AL54" s="1228"/>
      <c r="AM54" s="1228"/>
      <c r="AN54" s="1228"/>
      <c r="AO54" s="1228"/>
    </row>
    <row r="55" spans="16:41">
      <c r="P55" s="1228"/>
      <c r="Q55" s="1228"/>
      <c r="X55" s="1228"/>
      <c r="Y55" s="1228"/>
      <c r="Z55" s="1228"/>
      <c r="AA55" s="1228"/>
      <c r="AB55" s="1228"/>
      <c r="AC55" s="1228"/>
      <c r="AD55" s="1228"/>
      <c r="AE55" s="1228"/>
      <c r="AF55" s="1228"/>
      <c r="AG55" s="1228"/>
      <c r="AH55" s="1228"/>
      <c r="AI55" s="1228"/>
      <c r="AJ55" s="1228"/>
      <c r="AK55" s="1228"/>
      <c r="AL55" s="1228"/>
      <c r="AM55" s="1228"/>
      <c r="AN55" s="1228"/>
      <c r="AO55" s="1228"/>
    </row>
    <row r="56" spans="16:41">
      <c r="P56" s="1228"/>
      <c r="Q56" s="1228"/>
      <c r="X56" s="1228"/>
      <c r="Y56" s="1228"/>
      <c r="Z56" s="1228"/>
      <c r="AA56" s="1228"/>
      <c r="AB56" s="1228"/>
      <c r="AC56" s="1228"/>
      <c r="AD56" s="1228"/>
      <c r="AE56" s="1228"/>
      <c r="AF56" s="1228"/>
      <c r="AG56" s="1228"/>
      <c r="AH56" s="1228"/>
      <c r="AI56" s="1228"/>
      <c r="AJ56" s="1228"/>
      <c r="AK56" s="1228"/>
      <c r="AL56" s="1228"/>
      <c r="AM56" s="1228"/>
      <c r="AN56" s="1228"/>
      <c r="AO56" s="1228"/>
    </row>
    <row r="57" spans="16:41">
      <c r="P57" s="1228"/>
      <c r="Q57" s="1228"/>
      <c r="X57" s="1228"/>
      <c r="Y57" s="1228"/>
      <c r="Z57" s="1228"/>
      <c r="AA57" s="1228"/>
      <c r="AB57" s="1228"/>
      <c r="AC57" s="1228"/>
      <c r="AD57" s="1228"/>
      <c r="AE57" s="1228"/>
      <c r="AF57" s="1228"/>
      <c r="AG57" s="1228"/>
      <c r="AH57" s="1228"/>
      <c r="AI57" s="1228"/>
      <c r="AJ57" s="1228"/>
      <c r="AK57" s="1228"/>
      <c r="AL57" s="1228"/>
      <c r="AM57" s="1228"/>
      <c r="AN57" s="1228"/>
      <c r="AO57" s="1228"/>
    </row>
    <row r="58" spans="16:41">
      <c r="P58" s="1228"/>
      <c r="Q58" s="1228"/>
      <c r="X58" s="1228"/>
      <c r="Y58" s="1228"/>
      <c r="Z58" s="1228"/>
      <c r="AA58" s="1228"/>
      <c r="AB58" s="1228"/>
      <c r="AC58" s="1228"/>
      <c r="AD58" s="1228"/>
      <c r="AE58" s="1228"/>
      <c r="AF58" s="1228"/>
      <c r="AG58" s="1228"/>
      <c r="AH58" s="1228"/>
      <c r="AI58" s="1228"/>
      <c r="AJ58" s="1228"/>
      <c r="AK58" s="1228"/>
      <c r="AL58" s="1228"/>
      <c r="AM58" s="1228"/>
      <c r="AN58" s="1228"/>
      <c r="AO58" s="1228"/>
    </row>
    <row r="59" spans="16:41">
      <c r="P59" s="1228"/>
      <c r="Q59" s="1228"/>
      <c r="X59" s="1228"/>
      <c r="Y59" s="1228"/>
      <c r="Z59" s="1228"/>
      <c r="AA59" s="1228"/>
      <c r="AB59" s="1228"/>
      <c r="AC59" s="1228"/>
      <c r="AD59" s="1228"/>
      <c r="AE59" s="1228"/>
      <c r="AF59" s="1228"/>
      <c r="AG59" s="1228"/>
      <c r="AH59" s="1228"/>
      <c r="AI59" s="1228"/>
      <c r="AJ59" s="1228"/>
      <c r="AK59" s="1228"/>
      <c r="AL59" s="1228"/>
      <c r="AM59" s="1228"/>
      <c r="AN59" s="1228"/>
      <c r="AO59" s="1228"/>
    </row>
    <row r="60" spans="16:41">
      <c r="P60" s="1228"/>
      <c r="Q60" s="1228"/>
      <c r="X60" s="1228"/>
      <c r="Y60" s="1228"/>
      <c r="Z60" s="1228"/>
      <c r="AA60" s="1228"/>
      <c r="AB60" s="1228"/>
      <c r="AC60" s="1228"/>
      <c r="AD60" s="1228"/>
      <c r="AE60" s="1228"/>
      <c r="AF60" s="1228"/>
      <c r="AG60" s="1228"/>
      <c r="AH60" s="1228"/>
      <c r="AI60" s="1228"/>
      <c r="AJ60" s="1228"/>
      <c r="AK60" s="1228"/>
      <c r="AL60" s="1228"/>
      <c r="AM60" s="1228"/>
      <c r="AN60" s="1228"/>
      <c r="AO60" s="1228"/>
    </row>
    <row r="61" spans="16:41">
      <c r="P61" s="1228"/>
      <c r="Q61" s="1228"/>
      <c r="X61" s="1228"/>
      <c r="Y61" s="1228"/>
      <c r="Z61" s="1228"/>
      <c r="AA61" s="1228"/>
      <c r="AB61" s="1228"/>
      <c r="AC61" s="1228"/>
      <c r="AD61" s="1228"/>
      <c r="AE61" s="1228"/>
      <c r="AF61" s="1228"/>
      <c r="AG61" s="1228"/>
      <c r="AH61" s="1228"/>
      <c r="AI61" s="1228"/>
      <c r="AJ61" s="1228"/>
      <c r="AK61" s="1228"/>
      <c r="AL61" s="1228"/>
      <c r="AM61" s="1228"/>
      <c r="AN61" s="1228"/>
      <c r="AO61" s="1228"/>
    </row>
    <row r="62" spans="16:41">
      <c r="P62" s="1228"/>
      <c r="Q62" s="1228"/>
      <c r="X62" s="1228"/>
      <c r="Y62" s="1228"/>
      <c r="Z62" s="1228"/>
      <c r="AA62" s="1228"/>
      <c r="AB62" s="1228"/>
      <c r="AC62" s="1228"/>
      <c r="AD62" s="1228"/>
      <c r="AE62" s="1228"/>
      <c r="AF62" s="1228"/>
      <c r="AG62" s="1228"/>
      <c r="AH62" s="1228"/>
      <c r="AI62" s="1228"/>
      <c r="AJ62" s="1228"/>
      <c r="AK62" s="1228"/>
      <c r="AL62" s="1228"/>
      <c r="AM62" s="1228"/>
      <c r="AN62" s="1228"/>
      <c r="AO62" s="1228"/>
    </row>
    <row r="63" spans="16:41">
      <c r="P63" s="1228"/>
      <c r="Q63" s="1228"/>
      <c r="X63" s="1228"/>
      <c r="Y63" s="1228"/>
      <c r="Z63" s="1228"/>
      <c r="AA63" s="1228"/>
      <c r="AB63" s="1228"/>
      <c r="AC63" s="1228"/>
      <c r="AD63" s="1228"/>
      <c r="AE63" s="1228"/>
      <c r="AF63" s="1228"/>
      <c r="AG63" s="1228"/>
      <c r="AH63" s="1228"/>
      <c r="AI63" s="1228"/>
      <c r="AJ63" s="1228"/>
      <c r="AK63" s="1228"/>
      <c r="AL63" s="1228"/>
      <c r="AM63" s="1228"/>
      <c r="AN63" s="1228"/>
      <c r="AO63" s="1228"/>
    </row>
    <row r="64" spans="16:41">
      <c r="P64" s="1228"/>
      <c r="Q64" s="1228"/>
      <c r="X64" s="1228"/>
      <c r="Y64" s="1228"/>
      <c r="Z64" s="1228"/>
      <c r="AA64" s="1228"/>
      <c r="AB64" s="1228"/>
      <c r="AC64" s="1228"/>
      <c r="AD64" s="1228"/>
      <c r="AE64" s="1228"/>
      <c r="AF64" s="1228"/>
      <c r="AG64" s="1228"/>
      <c r="AH64" s="1228"/>
      <c r="AI64" s="1228"/>
      <c r="AJ64" s="1228"/>
      <c r="AK64" s="1228"/>
      <c r="AL64" s="1228"/>
      <c r="AM64" s="1228"/>
      <c r="AN64" s="1228"/>
      <c r="AO64" s="1228"/>
    </row>
    <row r="65" spans="16:41">
      <c r="P65" s="1228"/>
      <c r="Q65" s="1228"/>
      <c r="X65" s="1228"/>
      <c r="Y65" s="1228"/>
      <c r="Z65" s="1228"/>
      <c r="AA65" s="1228"/>
      <c r="AB65" s="1228"/>
      <c r="AC65" s="1228"/>
      <c r="AD65" s="1228"/>
      <c r="AE65" s="1228"/>
      <c r="AF65" s="1228"/>
      <c r="AG65" s="1228"/>
      <c r="AH65" s="1228"/>
      <c r="AI65" s="1228"/>
      <c r="AJ65" s="1228"/>
      <c r="AK65" s="1228"/>
      <c r="AL65" s="1228"/>
      <c r="AM65" s="1228"/>
      <c r="AN65" s="1228"/>
      <c r="AO65" s="1228"/>
    </row>
    <row r="66" spans="16:41">
      <c r="P66" s="1228"/>
      <c r="Q66" s="1228"/>
      <c r="X66" s="1228"/>
      <c r="Y66" s="1228"/>
      <c r="Z66" s="1228"/>
      <c r="AA66" s="1228"/>
      <c r="AB66" s="1228"/>
      <c r="AC66" s="1228"/>
      <c r="AD66" s="1228"/>
      <c r="AE66" s="1228"/>
      <c r="AF66" s="1228"/>
      <c r="AG66" s="1228"/>
      <c r="AH66" s="1228"/>
      <c r="AI66" s="1228"/>
      <c r="AJ66" s="1228"/>
      <c r="AK66" s="1228"/>
      <c r="AL66" s="1228"/>
      <c r="AM66" s="1228"/>
      <c r="AN66" s="1228"/>
      <c r="AO66" s="1228"/>
    </row>
    <row r="67" spans="16:41">
      <c r="P67" s="1228"/>
      <c r="Q67" s="1228"/>
      <c r="X67" s="1228"/>
      <c r="Y67" s="1228"/>
      <c r="Z67" s="1228"/>
      <c r="AA67" s="1228"/>
      <c r="AB67" s="1228"/>
      <c r="AC67" s="1228"/>
      <c r="AD67" s="1228"/>
      <c r="AE67" s="1228"/>
      <c r="AF67" s="1228"/>
      <c r="AG67" s="1228"/>
      <c r="AH67" s="1228"/>
      <c r="AI67" s="1228"/>
      <c r="AJ67" s="1228"/>
      <c r="AK67" s="1228"/>
      <c r="AL67" s="1228"/>
      <c r="AM67" s="1228"/>
      <c r="AN67" s="1228"/>
      <c r="AO67" s="1228"/>
    </row>
    <row r="68" spans="16:41">
      <c r="P68" s="1228"/>
      <c r="Q68" s="1228"/>
      <c r="X68" s="1228"/>
      <c r="Y68" s="1228"/>
      <c r="Z68" s="1228"/>
      <c r="AA68" s="1228"/>
      <c r="AB68" s="1228"/>
      <c r="AC68" s="1228"/>
      <c r="AD68" s="1228"/>
      <c r="AE68" s="1228"/>
      <c r="AF68" s="1228"/>
      <c r="AG68" s="1228"/>
      <c r="AH68" s="1228"/>
      <c r="AI68" s="1228"/>
      <c r="AJ68" s="1228"/>
      <c r="AK68" s="1228"/>
      <c r="AL68" s="1228"/>
      <c r="AM68" s="1228"/>
      <c r="AN68" s="1228"/>
      <c r="AO68" s="1228"/>
    </row>
    <row r="69" spans="16:41">
      <c r="P69" s="1228"/>
      <c r="Q69" s="1228"/>
      <c r="X69" s="1228"/>
      <c r="Y69" s="1228"/>
      <c r="Z69" s="1228"/>
      <c r="AA69" s="1228"/>
      <c r="AB69" s="1228"/>
      <c r="AC69" s="1228"/>
      <c r="AD69" s="1228"/>
      <c r="AE69" s="1228"/>
      <c r="AF69" s="1228"/>
      <c r="AG69" s="1228"/>
      <c r="AH69" s="1228"/>
      <c r="AI69" s="1228"/>
      <c r="AJ69" s="1228"/>
      <c r="AK69" s="1228"/>
      <c r="AL69" s="1228"/>
      <c r="AM69" s="1228"/>
      <c r="AN69" s="1228"/>
      <c r="AO69" s="1228"/>
    </row>
    <row r="70" spans="16:41">
      <c r="P70" s="1228"/>
      <c r="Q70" s="1228"/>
      <c r="X70" s="1228"/>
      <c r="Y70" s="1228"/>
      <c r="Z70" s="1228"/>
      <c r="AA70" s="1228"/>
      <c r="AB70" s="1228"/>
      <c r="AC70" s="1228"/>
      <c r="AD70" s="1228"/>
      <c r="AE70" s="1228"/>
      <c r="AF70" s="1228"/>
      <c r="AG70" s="1228"/>
      <c r="AH70" s="1228"/>
      <c r="AI70" s="1228"/>
      <c r="AJ70" s="1228"/>
      <c r="AK70" s="1228"/>
      <c r="AL70" s="1228"/>
      <c r="AM70" s="1228"/>
      <c r="AN70" s="1228"/>
      <c r="AO70" s="1228"/>
    </row>
    <row r="71" spans="16:41">
      <c r="P71" s="1228"/>
      <c r="Q71" s="1228"/>
      <c r="X71" s="1228"/>
      <c r="Y71" s="1228"/>
      <c r="Z71" s="1228"/>
      <c r="AA71" s="1228"/>
      <c r="AB71" s="1228"/>
      <c r="AC71" s="1228"/>
      <c r="AD71" s="1228"/>
      <c r="AE71" s="1228"/>
      <c r="AF71" s="1228"/>
      <c r="AG71" s="1228"/>
      <c r="AH71" s="1228"/>
      <c r="AI71" s="1228"/>
      <c r="AJ71" s="1228"/>
      <c r="AK71" s="1228"/>
      <c r="AL71" s="1228"/>
      <c r="AM71" s="1228"/>
      <c r="AN71" s="1228"/>
      <c r="AO71" s="1228"/>
    </row>
    <row r="72" spans="16:41">
      <c r="P72" s="1228"/>
      <c r="Q72" s="1228"/>
      <c r="X72" s="1228"/>
      <c r="Y72" s="1228"/>
      <c r="Z72" s="1228"/>
      <c r="AA72" s="1228"/>
      <c r="AB72" s="1228"/>
      <c r="AC72" s="1228"/>
      <c r="AD72" s="1228"/>
      <c r="AE72" s="1228"/>
      <c r="AF72" s="1228"/>
      <c r="AG72" s="1228"/>
      <c r="AH72" s="1228"/>
      <c r="AI72" s="1228"/>
      <c r="AJ72" s="1228"/>
      <c r="AK72" s="1228"/>
      <c r="AL72" s="1228"/>
      <c r="AM72" s="1228"/>
      <c r="AN72" s="1228"/>
      <c r="AO72" s="1228"/>
    </row>
    <row r="73" spans="16:41">
      <c r="P73" s="1228"/>
      <c r="Q73" s="1228"/>
      <c r="X73" s="1228"/>
      <c r="Y73" s="1228"/>
      <c r="Z73" s="1228"/>
      <c r="AA73" s="1228"/>
      <c r="AB73" s="1228"/>
      <c r="AC73" s="1228"/>
      <c r="AD73" s="1228"/>
      <c r="AE73" s="1228"/>
      <c r="AF73" s="1228"/>
      <c r="AG73" s="1228"/>
      <c r="AH73" s="1228"/>
      <c r="AI73" s="1228"/>
      <c r="AJ73" s="1228"/>
      <c r="AK73" s="1228"/>
      <c r="AL73" s="1228"/>
      <c r="AM73" s="1228"/>
      <c r="AN73" s="1228"/>
      <c r="AO73" s="1228"/>
    </row>
    <row r="74" spans="16:41">
      <c r="P74" s="1228"/>
      <c r="Q74" s="1228"/>
      <c r="X74" s="1228"/>
      <c r="Y74" s="1228"/>
      <c r="Z74" s="1228"/>
      <c r="AA74" s="1228"/>
      <c r="AB74" s="1228"/>
      <c r="AC74" s="1228"/>
      <c r="AD74" s="1228"/>
      <c r="AE74" s="1228"/>
      <c r="AF74" s="1228"/>
      <c r="AG74" s="1228"/>
      <c r="AH74" s="1228"/>
      <c r="AI74" s="1228"/>
      <c r="AJ74" s="1228"/>
      <c r="AK74" s="1228"/>
      <c r="AL74" s="1228"/>
      <c r="AM74" s="1228"/>
      <c r="AN74" s="1228"/>
      <c r="AO74" s="1228"/>
    </row>
    <row r="75" spans="16:41">
      <c r="P75" s="1228"/>
      <c r="Q75" s="1228"/>
      <c r="X75" s="1228"/>
      <c r="Y75" s="1228"/>
      <c r="Z75" s="1228"/>
      <c r="AA75" s="1228"/>
      <c r="AB75" s="1228"/>
      <c r="AC75" s="1228"/>
      <c r="AD75" s="1228"/>
      <c r="AE75" s="1228"/>
      <c r="AF75" s="1228"/>
      <c r="AG75" s="1228"/>
      <c r="AH75" s="1228"/>
      <c r="AI75" s="1228"/>
      <c r="AJ75" s="1228"/>
      <c r="AK75" s="1228"/>
      <c r="AL75" s="1228"/>
      <c r="AM75" s="1228"/>
      <c r="AN75" s="1228"/>
      <c r="AO75" s="1228"/>
    </row>
    <row r="76" spans="16:41">
      <c r="P76" s="1228"/>
      <c r="Q76" s="1228"/>
      <c r="X76" s="1228"/>
      <c r="Y76" s="1228"/>
      <c r="Z76" s="1228"/>
      <c r="AA76" s="1228"/>
      <c r="AB76" s="1228"/>
      <c r="AC76" s="1228"/>
      <c r="AD76" s="1228"/>
      <c r="AE76" s="1228"/>
      <c r="AF76" s="1228"/>
      <c r="AG76" s="1228"/>
      <c r="AH76" s="1228"/>
      <c r="AI76" s="1228"/>
      <c r="AJ76" s="1228"/>
      <c r="AK76" s="1228"/>
      <c r="AL76" s="1228"/>
      <c r="AM76" s="1228"/>
      <c r="AN76" s="1228"/>
      <c r="AO76" s="1228"/>
    </row>
    <row r="77" spans="16:41">
      <c r="P77" s="1228"/>
      <c r="Q77" s="1228"/>
      <c r="X77" s="1228"/>
      <c r="Y77" s="1228"/>
      <c r="Z77" s="1228"/>
      <c r="AA77" s="1228"/>
      <c r="AB77" s="1228"/>
      <c r="AC77" s="1228"/>
      <c r="AD77" s="1228"/>
      <c r="AE77" s="1228"/>
      <c r="AF77" s="1228"/>
      <c r="AG77" s="1228"/>
      <c r="AH77" s="1228"/>
      <c r="AI77" s="1228"/>
      <c r="AJ77" s="1228"/>
      <c r="AK77" s="1228"/>
      <c r="AL77" s="1228"/>
      <c r="AM77" s="1228"/>
      <c r="AN77" s="1228"/>
      <c r="AO77" s="1228"/>
    </row>
    <row r="78" spans="16:41">
      <c r="P78" s="1228"/>
      <c r="Q78" s="1228"/>
      <c r="X78" s="1228"/>
      <c r="Y78" s="1228"/>
      <c r="Z78" s="1228"/>
      <c r="AA78" s="1228"/>
      <c r="AB78" s="1228"/>
      <c r="AC78" s="1228"/>
      <c r="AD78" s="1228"/>
      <c r="AE78" s="1228"/>
      <c r="AF78" s="1228"/>
      <c r="AG78" s="1228"/>
      <c r="AH78" s="1228"/>
      <c r="AI78" s="1228"/>
      <c r="AJ78" s="1228"/>
      <c r="AK78" s="1228"/>
      <c r="AL78" s="1228"/>
      <c r="AM78" s="1228"/>
      <c r="AN78" s="1228"/>
      <c r="AO78" s="1228"/>
    </row>
    <row r="79" spans="16:41">
      <c r="P79" s="1228"/>
      <c r="Q79" s="1228"/>
      <c r="X79" s="1228"/>
      <c r="Y79" s="1228"/>
      <c r="Z79" s="1228"/>
      <c r="AA79" s="1228"/>
      <c r="AB79" s="1228"/>
      <c r="AC79" s="1228"/>
      <c r="AD79" s="1228"/>
      <c r="AE79" s="1228"/>
      <c r="AF79" s="1228"/>
      <c r="AG79" s="1228"/>
      <c r="AH79" s="1228"/>
      <c r="AI79" s="1228"/>
      <c r="AJ79" s="1228"/>
      <c r="AK79" s="1228"/>
      <c r="AL79" s="1228"/>
      <c r="AM79" s="1228"/>
      <c r="AN79" s="1228"/>
      <c r="AO79" s="1228"/>
    </row>
    <row r="80" spans="16:41">
      <c r="P80" s="1228"/>
      <c r="Q80" s="1228"/>
      <c r="X80" s="1228"/>
      <c r="Y80" s="1228"/>
      <c r="Z80" s="1228"/>
      <c r="AA80" s="1228"/>
      <c r="AB80" s="1228"/>
      <c r="AC80" s="1228"/>
      <c r="AD80" s="1228"/>
      <c r="AE80" s="1228"/>
      <c r="AF80" s="1228"/>
      <c r="AG80" s="1228"/>
      <c r="AH80" s="1228"/>
      <c r="AI80" s="1228"/>
      <c r="AJ80" s="1228"/>
      <c r="AK80" s="1228"/>
      <c r="AL80" s="1228"/>
      <c r="AM80" s="1228"/>
      <c r="AN80" s="1228"/>
      <c r="AO80" s="1228"/>
    </row>
    <row r="81" spans="16:41">
      <c r="P81" s="1228"/>
      <c r="Q81" s="1228"/>
      <c r="X81" s="1228"/>
      <c r="Y81" s="1228"/>
      <c r="Z81" s="1228"/>
      <c r="AA81" s="1228"/>
      <c r="AB81" s="1228"/>
      <c r="AC81" s="1228"/>
      <c r="AD81" s="1228"/>
      <c r="AE81" s="1228"/>
      <c r="AF81" s="1228"/>
      <c r="AG81" s="1228"/>
      <c r="AH81" s="1228"/>
      <c r="AI81" s="1228"/>
      <c r="AJ81" s="1228"/>
      <c r="AK81" s="1228"/>
      <c r="AL81" s="1228"/>
      <c r="AM81" s="1228"/>
      <c r="AN81" s="1228"/>
      <c r="AO81" s="1228"/>
    </row>
    <row r="82" spans="16:41">
      <c r="P82" s="1228"/>
      <c r="Q82" s="1228"/>
      <c r="X82" s="1228"/>
      <c r="Y82" s="1228"/>
      <c r="Z82" s="1228"/>
      <c r="AA82" s="1228"/>
      <c r="AB82" s="1228"/>
      <c r="AC82" s="1228"/>
      <c r="AD82" s="1228"/>
      <c r="AE82" s="1228"/>
      <c r="AF82" s="1228"/>
      <c r="AG82" s="1228"/>
      <c r="AH82" s="1228"/>
      <c r="AI82" s="1228"/>
      <c r="AJ82" s="1228"/>
      <c r="AK82" s="1228"/>
      <c r="AL82" s="1228"/>
      <c r="AM82" s="1228"/>
      <c r="AN82" s="1228"/>
      <c r="AO82" s="1228"/>
    </row>
    <row r="83" spans="16:41">
      <c r="P83" s="1228"/>
      <c r="Q83" s="1228"/>
      <c r="X83" s="1228"/>
      <c r="Y83" s="1228"/>
      <c r="Z83" s="1228"/>
      <c r="AA83" s="1228"/>
      <c r="AB83" s="1228"/>
      <c r="AC83" s="1228"/>
      <c r="AD83" s="1228"/>
      <c r="AE83" s="1228"/>
      <c r="AF83" s="1228"/>
      <c r="AG83" s="1228"/>
      <c r="AH83" s="1228"/>
      <c r="AI83" s="1228"/>
      <c r="AJ83" s="1228"/>
      <c r="AK83" s="1228"/>
      <c r="AL83" s="1228"/>
      <c r="AM83" s="1228"/>
      <c r="AN83" s="1228"/>
      <c r="AO83" s="1228"/>
    </row>
    <row r="84" spans="16:41">
      <c r="P84" s="1228"/>
      <c r="Q84" s="1228"/>
      <c r="X84" s="1228"/>
      <c r="Y84" s="1228"/>
      <c r="Z84" s="1228"/>
      <c r="AA84" s="1228"/>
      <c r="AB84" s="1228"/>
      <c r="AC84" s="1228"/>
      <c r="AD84" s="1228"/>
      <c r="AE84" s="1228"/>
      <c r="AF84" s="1228"/>
      <c r="AG84" s="1228"/>
      <c r="AH84" s="1228"/>
      <c r="AI84" s="1228"/>
      <c r="AJ84" s="1228"/>
      <c r="AK84" s="1228"/>
      <c r="AL84" s="1228"/>
      <c r="AM84" s="1228"/>
      <c r="AN84" s="1228"/>
      <c r="AO84" s="1228"/>
    </row>
    <row r="85" spans="16:41">
      <c r="P85" s="1228"/>
      <c r="Q85" s="1228"/>
      <c r="X85" s="1228"/>
      <c r="Y85" s="1228"/>
      <c r="Z85" s="1228"/>
      <c r="AA85" s="1228"/>
      <c r="AB85" s="1228"/>
      <c r="AC85" s="1228"/>
      <c r="AD85" s="1228"/>
      <c r="AE85" s="1228"/>
      <c r="AF85" s="1228"/>
      <c r="AG85" s="1228"/>
      <c r="AH85" s="1228"/>
      <c r="AI85" s="1228"/>
      <c r="AJ85" s="1228"/>
      <c r="AK85" s="1228"/>
      <c r="AL85" s="1228"/>
      <c r="AM85" s="1228"/>
      <c r="AN85" s="1228"/>
      <c r="AO85" s="1228"/>
    </row>
    <row r="86" spans="16:41">
      <c r="P86" s="1228"/>
      <c r="Q86" s="1228"/>
      <c r="X86" s="1228"/>
      <c r="Y86" s="1228"/>
      <c r="Z86" s="1228"/>
      <c r="AA86" s="1228"/>
      <c r="AB86" s="1228"/>
      <c r="AC86" s="1228"/>
      <c r="AD86" s="1228"/>
      <c r="AE86" s="1228"/>
      <c r="AF86" s="1228"/>
      <c r="AG86" s="1228"/>
      <c r="AH86" s="1228"/>
      <c r="AI86" s="1228"/>
      <c r="AJ86" s="1228"/>
      <c r="AK86" s="1228"/>
      <c r="AL86" s="1228"/>
      <c r="AM86" s="1228"/>
      <c r="AN86" s="1228"/>
      <c r="AO86" s="1228"/>
    </row>
    <row r="87" spans="16:41">
      <c r="P87" s="1228"/>
      <c r="Q87" s="1228"/>
      <c r="X87" s="1228"/>
      <c r="Y87" s="1228"/>
      <c r="Z87" s="1228"/>
      <c r="AA87" s="1228"/>
      <c r="AB87" s="1228"/>
      <c r="AC87" s="1228"/>
      <c r="AD87" s="1228"/>
      <c r="AE87" s="1228"/>
      <c r="AF87" s="1228"/>
      <c r="AG87" s="1228"/>
      <c r="AH87" s="1228"/>
      <c r="AI87" s="1228"/>
      <c r="AJ87" s="1228"/>
      <c r="AK87" s="1228"/>
      <c r="AL87" s="1228"/>
      <c r="AM87" s="1228"/>
      <c r="AN87" s="1228"/>
      <c r="AO87" s="1228"/>
    </row>
    <row r="88" spans="16:41">
      <c r="P88" s="1228"/>
      <c r="Q88" s="1228"/>
      <c r="X88" s="1228"/>
      <c r="Y88" s="1228"/>
      <c r="Z88" s="1228"/>
      <c r="AA88" s="1228"/>
      <c r="AB88" s="1228"/>
      <c r="AC88" s="1228"/>
      <c r="AD88" s="1228"/>
      <c r="AE88" s="1228"/>
      <c r="AF88" s="1228"/>
      <c r="AG88" s="1228"/>
      <c r="AH88" s="1228"/>
      <c r="AI88" s="1228"/>
      <c r="AJ88" s="1228"/>
      <c r="AK88" s="1228"/>
      <c r="AL88" s="1228"/>
      <c r="AM88" s="1228"/>
      <c r="AN88" s="1228"/>
      <c r="AO88" s="1228"/>
    </row>
    <row r="89" spans="16:41">
      <c r="P89" s="1228"/>
      <c r="Q89" s="1228"/>
      <c r="X89" s="1228"/>
      <c r="Y89" s="1228"/>
      <c r="Z89" s="1228"/>
      <c r="AA89" s="1228"/>
      <c r="AB89" s="1228"/>
      <c r="AC89" s="1228"/>
      <c r="AD89" s="1228"/>
      <c r="AE89" s="1228"/>
      <c r="AF89" s="1228"/>
      <c r="AG89" s="1228"/>
      <c r="AH89" s="1228"/>
      <c r="AI89" s="1228"/>
      <c r="AJ89" s="1228"/>
      <c r="AK89" s="1228"/>
      <c r="AL89" s="1228"/>
      <c r="AM89" s="1228"/>
      <c r="AN89" s="1228"/>
      <c r="AO89" s="1228"/>
    </row>
    <row r="90" spans="16:41">
      <c r="P90" s="1228"/>
      <c r="Q90" s="1228"/>
      <c r="X90" s="1228"/>
      <c r="Y90" s="1228"/>
      <c r="Z90" s="1228"/>
      <c r="AA90" s="1228"/>
      <c r="AB90" s="1228"/>
      <c r="AC90" s="1228"/>
      <c r="AD90" s="1228"/>
      <c r="AE90" s="1228"/>
      <c r="AF90" s="1228"/>
      <c r="AG90" s="1228"/>
      <c r="AH90" s="1228"/>
      <c r="AI90" s="1228"/>
      <c r="AJ90" s="1228"/>
      <c r="AK90" s="1228"/>
      <c r="AL90" s="1228"/>
      <c r="AM90" s="1228"/>
      <c r="AN90" s="1228"/>
      <c r="AO90" s="1228"/>
    </row>
    <row r="91" spans="16:41">
      <c r="P91" s="1228"/>
      <c r="Q91" s="1228"/>
      <c r="X91" s="1228"/>
      <c r="Y91" s="1228"/>
      <c r="Z91" s="1228"/>
      <c r="AA91" s="1228"/>
      <c r="AB91" s="1228"/>
      <c r="AC91" s="1228"/>
      <c r="AD91" s="1228"/>
      <c r="AE91" s="1228"/>
      <c r="AF91" s="1228"/>
      <c r="AG91" s="1228"/>
      <c r="AH91" s="1228"/>
      <c r="AI91" s="1228"/>
      <c r="AJ91" s="1228"/>
      <c r="AK91" s="1228"/>
      <c r="AL91" s="1228"/>
      <c r="AM91" s="1228"/>
      <c r="AN91" s="1228"/>
      <c r="AO91" s="1228"/>
    </row>
    <row r="92" spans="16:41">
      <c r="P92" s="1228"/>
      <c r="Q92" s="1228"/>
      <c r="X92" s="1228"/>
      <c r="Y92" s="1228"/>
      <c r="Z92" s="1228"/>
      <c r="AA92" s="1228"/>
      <c r="AB92" s="1228"/>
      <c r="AC92" s="1228"/>
      <c r="AD92" s="1228"/>
      <c r="AE92" s="1228"/>
      <c r="AF92" s="1228"/>
      <c r="AG92" s="1228"/>
      <c r="AH92" s="1228"/>
      <c r="AI92" s="1228"/>
      <c r="AJ92" s="1228"/>
      <c r="AK92" s="1228"/>
      <c r="AL92" s="1228"/>
      <c r="AM92" s="1228"/>
      <c r="AN92" s="1228"/>
      <c r="AO92" s="1228"/>
    </row>
    <row r="93" spans="16:41">
      <c r="P93" s="1228"/>
      <c r="Q93" s="1228"/>
      <c r="X93" s="1228"/>
      <c r="Y93" s="1228"/>
      <c r="Z93" s="1228"/>
      <c r="AA93" s="1228"/>
      <c r="AB93" s="1228"/>
      <c r="AC93" s="1228"/>
      <c r="AD93" s="1228"/>
      <c r="AE93" s="1228"/>
      <c r="AF93" s="1228"/>
      <c r="AG93" s="1228"/>
      <c r="AH93" s="1228"/>
      <c r="AI93" s="1228"/>
      <c r="AJ93" s="1228"/>
      <c r="AK93" s="1228"/>
      <c r="AL93" s="1228"/>
      <c r="AM93" s="1228"/>
      <c r="AN93" s="1228"/>
      <c r="AO93" s="1228"/>
    </row>
    <row r="94" spans="16:41">
      <c r="P94" s="1228"/>
      <c r="Q94" s="1228"/>
      <c r="X94" s="1228"/>
      <c r="Y94" s="1228"/>
      <c r="Z94" s="1228"/>
      <c r="AA94" s="1228"/>
      <c r="AB94" s="1228"/>
      <c r="AC94" s="1228"/>
      <c r="AD94" s="1228"/>
      <c r="AE94" s="1228"/>
      <c r="AF94" s="1228"/>
      <c r="AG94" s="1228"/>
      <c r="AH94" s="1228"/>
      <c r="AI94" s="1228"/>
      <c r="AJ94" s="1228"/>
      <c r="AK94" s="1228"/>
      <c r="AL94" s="1228"/>
      <c r="AM94" s="1228"/>
      <c r="AN94" s="1228"/>
      <c r="AO94" s="1228"/>
    </row>
    <row r="95" spans="16:41">
      <c r="P95" s="1228"/>
      <c r="Q95" s="1228"/>
      <c r="X95" s="1228"/>
      <c r="Y95" s="1228"/>
      <c r="Z95" s="1228"/>
      <c r="AA95" s="1228"/>
      <c r="AB95" s="1228"/>
      <c r="AC95" s="1228"/>
      <c r="AD95" s="1228"/>
      <c r="AE95" s="1228"/>
      <c r="AF95" s="1228"/>
      <c r="AG95" s="1228"/>
      <c r="AH95" s="1228"/>
      <c r="AI95" s="1228"/>
      <c r="AJ95" s="1228"/>
      <c r="AK95" s="1228"/>
      <c r="AL95" s="1228"/>
      <c r="AM95" s="1228"/>
      <c r="AN95" s="1228"/>
      <c r="AO95" s="1228"/>
    </row>
    <row r="96" spans="16:41">
      <c r="P96" s="1228"/>
      <c r="Q96" s="1228"/>
      <c r="X96" s="1228"/>
      <c r="Y96" s="1228"/>
      <c r="Z96" s="1228"/>
      <c r="AA96" s="1228"/>
      <c r="AB96" s="1228"/>
      <c r="AC96" s="1228"/>
      <c r="AD96" s="1228"/>
      <c r="AE96" s="1228"/>
      <c r="AF96" s="1228"/>
      <c r="AG96" s="1228"/>
      <c r="AH96" s="1228"/>
      <c r="AI96" s="1228"/>
      <c r="AJ96" s="1228"/>
      <c r="AK96" s="1228"/>
      <c r="AL96" s="1228"/>
      <c r="AM96" s="1228"/>
      <c r="AN96" s="1228"/>
      <c r="AO96" s="1228"/>
    </row>
    <row r="97" spans="16:41">
      <c r="P97" s="1228"/>
      <c r="Q97" s="1228"/>
      <c r="X97" s="1228"/>
      <c r="Y97" s="1228"/>
      <c r="Z97" s="1228"/>
      <c r="AA97" s="1228"/>
      <c r="AB97" s="1228"/>
      <c r="AC97" s="1228"/>
      <c r="AD97" s="1228"/>
      <c r="AE97" s="1228"/>
      <c r="AF97" s="1228"/>
      <c r="AG97" s="1228"/>
      <c r="AH97" s="1228"/>
      <c r="AI97" s="1228"/>
      <c r="AJ97" s="1228"/>
      <c r="AK97" s="1228"/>
      <c r="AL97" s="1228"/>
      <c r="AM97" s="1228"/>
      <c r="AN97" s="1228"/>
      <c r="AO97" s="1228"/>
    </row>
    <row r="98" spans="16:41">
      <c r="P98" s="1228"/>
      <c r="Q98" s="1228"/>
      <c r="X98" s="1228"/>
      <c r="Y98" s="1228"/>
      <c r="Z98" s="1228"/>
      <c r="AA98" s="1228"/>
      <c r="AB98" s="1228"/>
      <c r="AC98" s="1228"/>
      <c r="AD98" s="1228"/>
      <c r="AE98" s="1228"/>
      <c r="AF98" s="1228"/>
      <c r="AG98" s="1228"/>
      <c r="AH98" s="1228"/>
      <c r="AI98" s="1228"/>
      <c r="AJ98" s="1228"/>
      <c r="AK98" s="1228"/>
      <c r="AL98" s="1228"/>
      <c r="AM98" s="1228"/>
      <c r="AN98" s="1228"/>
      <c r="AO98" s="1228"/>
    </row>
    <row r="99" spans="16:41">
      <c r="P99" s="1228"/>
      <c r="Q99" s="1228"/>
      <c r="X99" s="1228"/>
      <c r="Y99" s="1228"/>
      <c r="Z99" s="1228"/>
      <c r="AA99" s="1228"/>
      <c r="AB99" s="1228"/>
      <c r="AC99" s="1228"/>
      <c r="AD99" s="1228"/>
      <c r="AE99" s="1228"/>
      <c r="AF99" s="1228"/>
      <c r="AG99" s="1228"/>
      <c r="AH99" s="1228"/>
      <c r="AI99" s="1228"/>
      <c r="AJ99" s="1228"/>
      <c r="AK99" s="1228"/>
      <c r="AL99" s="1228"/>
      <c r="AM99" s="1228"/>
      <c r="AN99" s="1228"/>
      <c r="AO99" s="1228"/>
    </row>
    <row r="100" spans="16:41">
      <c r="P100" s="1228"/>
      <c r="Q100" s="1228"/>
      <c r="X100" s="1228"/>
      <c r="Y100" s="1228"/>
      <c r="Z100" s="1228"/>
      <c r="AA100" s="1228"/>
      <c r="AB100" s="1228"/>
      <c r="AC100" s="1228"/>
      <c r="AD100" s="1228"/>
      <c r="AE100" s="1228"/>
      <c r="AF100" s="1228"/>
      <c r="AG100" s="1228"/>
      <c r="AH100" s="1228"/>
      <c r="AI100" s="1228"/>
      <c r="AJ100" s="1228"/>
      <c r="AK100" s="1228"/>
      <c r="AL100" s="1228"/>
      <c r="AM100" s="1228"/>
      <c r="AN100" s="1228"/>
      <c r="AO100" s="1228"/>
    </row>
    <row r="101" spans="16:41">
      <c r="P101" s="1228"/>
      <c r="Q101" s="1228"/>
      <c r="X101" s="1228"/>
      <c r="Y101" s="1228"/>
      <c r="Z101" s="1228"/>
      <c r="AA101" s="1228"/>
      <c r="AB101" s="1228"/>
      <c r="AC101" s="1228"/>
      <c r="AD101" s="1228"/>
      <c r="AE101" s="1228"/>
      <c r="AF101" s="1228"/>
      <c r="AG101" s="1228"/>
      <c r="AH101" s="1228"/>
      <c r="AI101" s="1228"/>
      <c r="AJ101" s="1228"/>
      <c r="AK101" s="1228"/>
      <c r="AL101" s="1228"/>
      <c r="AM101" s="1228"/>
      <c r="AN101" s="1228"/>
      <c r="AO101" s="1228"/>
    </row>
    <row r="102" spans="16:41">
      <c r="P102" s="1228"/>
      <c r="Q102" s="1228"/>
      <c r="X102" s="1228"/>
      <c r="Y102" s="1228"/>
      <c r="Z102" s="1228"/>
      <c r="AA102" s="1228"/>
      <c r="AB102" s="1228"/>
      <c r="AC102" s="1228"/>
      <c r="AD102" s="1228"/>
      <c r="AE102" s="1228"/>
      <c r="AF102" s="1228"/>
      <c r="AG102" s="1228"/>
      <c r="AH102" s="1228"/>
      <c r="AI102" s="1228"/>
      <c r="AJ102" s="1228"/>
      <c r="AK102" s="1228"/>
      <c r="AL102" s="1228"/>
      <c r="AM102" s="1228"/>
      <c r="AN102" s="1228"/>
      <c r="AO102" s="1228"/>
    </row>
    <row r="103" spans="16:41">
      <c r="P103" s="1228"/>
      <c r="Q103" s="1228"/>
      <c r="X103" s="1228"/>
      <c r="Y103" s="1228"/>
      <c r="Z103" s="1228"/>
      <c r="AA103" s="1228"/>
      <c r="AB103" s="1228"/>
      <c r="AC103" s="1228"/>
      <c r="AD103" s="1228"/>
      <c r="AE103" s="1228"/>
      <c r="AF103" s="1228"/>
      <c r="AG103" s="1228"/>
      <c r="AH103" s="1228"/>
      <c r="AI103" s="1228"/>
      <c r="AJ103" s="1228"/>
      <c r="AK103" s="1228"/>
      <c r="AL103" s="1228"/>
      <c r="AM103" s="1228"/>
      <c r="AN103" s="1228"/>
      <c r="AO103" s="1228"/>
    </row>
    <row r="104" spans="16:41">
      <c r="P104" s="1228"/>
      <c r="Q104" s="1228"/>
      <c r="X104" s="1228"/>
      <c r="Y104" s="1228"/>
      <c r="Z104" s="1228"/>
      <c r="AA104" s="1228"/>
      <c r="AB104" s="1228"/>
      <c r="AC104" s="1228"/>
      <c r="AD104" s="1228"/>
      <c r="AE104" s="1228"/>
      <c r="AF104" s="1228"/>
      <c r="AG104" s="1228"/>
      <c r="AH104" s="1228"/>
      <c r="AI104" s="1228"/>
      <c r="AJ104" s="1228"/>
      <c r="AK104" s="1228"/>
      <c r="AL104" s="1228"/>
      <c r="AM104" s="1228"/>
      <c r="AN104" s="1228"/>
      <c r="AO104" s="1228"/>
    </row>
    <row r="105" spans="16:41">
      <c r="P105" s="1228"/>
      <c r="Q105" s="1228"/>
      <c r="X105" s="1228"/>
      <c r="Y105" s="1228"/>
      <c r="Z105" s="1228"/>
      <c r="AA105" s="1228"/>
      <c r="AB105" s="1228"/>
      <c r="AC105" s="1228"/>
      <c r="AD105" s="1228"/>
      <c r="AE105" s="1228"/>
      <c r="AF105" s="1228"/>
      <c r="AG105" s="1228"/>
      <c r="AH105" s="1228"/>
      <c r="AI105" s="1228"/>
      <c r="AJ105" s="1228"/>
      <c r="AK105" s="1228"/>
      <c r="AL105" s="1228"/>
      <c r="AM105" s="1228"/>
      <c r="AN105" s="1228"/>
      <c r="AO105" s="1228"/>
    </row>
    <row r="106" spans="16:41">
      <c r="P106" s="1228"/>
      <c r="Q106" s="1228"/>
      <c r="X106" s="1228"/>
      <c r="Y106" s="1228"/>
      <c r="Z106" s="1228"/>
      <c r="AA106" s="1228"/>
      <c r="AB106" s="1228"/>
      <c r="AC106" s="1228"/>
      <c r="AD106" s="1228"/>
      <c r="AE106" s="1228"/>
      <c r="AF106" s="1228"/>
      <c r="AG106" s="1228"/>
      <c r="AH106" s="1228"/>
      <c r="AI106" s="1228"/>
      <c r="AJ106" s="1228"/>
      <c r="AK106" s="1228"/>
      <c r="AL106" s="1228"/>
      <c r="AM106" s="1228"/>
      <c r="AN106" s="1228"/>
      <c r="AO106" s="1228"/>
    </row>
    <row r="107" spans="16:41">
      <c r="P107" s="1228"/>
      <c r="Q107" s="1228"/>
      <c r="X107" s="1228"/>
      <c r="Y107" s="1228"/>
      <c r="Z107" s="1228"/>
      <c r="AA107" s="1228"/>
      <c r="AB107" s="1228"/>
      <c r="AC107" s="1228"/>
      <c r="AD107" s="1228"/>
      <c r="AE107" s="1228"/>
      <c r="AF107" s="1228"/>
      <c r="AG107" s="1228"/>
      <c r="AH107" s="1228"/>
      <c r="AI107" s="1228"/>
      <c r="AJ107" s="1228"/>
      <c r="AK107" s="1228"/>
      <c r="AL107" s="1228"/>
      <c r="AM107" s="1228"/>
      <c r="AN107" s="1228"/>
      <c r="AO107" s="1228"/>
    </row>
    <row r="108" spans="16:41">
      <c r="P108" s="1228"/>
      <c r="Q108" s="1228"/>
      <c r="X108" s="1228"/>
      <c r="Y108" s="1228"/>
      <c r="Z108" s="1228"/>
      <c r="AA108" s="1228"/>
      <c r="AB108" s="1228"/>
      <c r="AC108" s="1228"/>
      <c r="AD108" s="1228"/>
      <c r="AE108" s="1228"/>
      <c r="AF108" s="1228"/>
      <c r="AG108" s="1228"/>
      <c r="AH108" s="1228"/>
      <c r="AI108" s="1228"/>
      <c r="AJ108" s="1228"/>
      <c r="AK108" s="1228"/>
      <c r="AL108" s="1228"/>
      <c r="AM108" s="1228"/>
      <c r="AN108" s="1228"/>
      <c r="AO108" s="1228"/>
    </row>
    <row r="109" spans="16:41">
      <c r="P109" s="1228"/>
      <c r="Q109" s="1228"/>
      <c r="X109" s="1228"/>
      <c r="Y109" s="1228"/>
      <c r="Z109" s="1228"/>
      <c r="AA109" s="1228"/>
      <c r="AB109" s="1228"/>
      <c r="AC109" s="1228"/>
      <c r="AD109" s="1228"/>
      <c r="AE109" s="1228"/>
      <c r="AF109" s="1228"/>
      <c r="AG109" s="1228"/>
      <c r="AH109" s="1228"/>
      <c r="AI109" s="1228"/>
      <c r="AJ109" s="1228"/>
      <c r="AK109" s="1228"/>
      <c r="AL109" s="1228"/>
      <c r="AM109" s="1228"/>
      <c r="AN109" s="1228"/>
      <c r="AO109" s="1228"/>
    </row>
    <row r="110" spans="16:41">
      <c r="P110" s="1228"/>
      <c r="Q110" s="1228"/>
      <c r="X110" s="1228"/>
      <c r="Y110" s="1228"/>
      <c r="Z110" s="1228"/>
      <c r="AA110" s="1228"/>
      <c r="AB110" s="1228"/>
      <c r="AC110" s="1228"/>
      <c r="AD110" s="1228"/>
      <c r="AE110" s="1228"/>
      <c r="AF110" s="1228"/>
      <c r="AG110" s="1228"/>
      <c r="AH110" s="1228"/>
      <c r="AI110" s="1228"/>
      <c r="AJ110" s="1228"/>
      <c r="AK110" s="1228"/>
      <c r="AL110" s="1228"/>
      <c r="AM110" s="1228"/>
      <c r="AN110" s="1228"/>
      <c r="AO110" s="1228"/>
    </row>
    <row r="111" spans="16:41">
      <c r="P111" s="1228"/>
      <c r="Q111" s="1228"/>
      <c r="X111" s="1228"/>
      <c r="Y111" s="1228"/>
      <c r="Z111" s="1228"/>
      <c r="AA111" s="1228"/>
      <c r="AB111" s="1228"/>
      <c r="AC111" s="1228"/>
      <c r="AD111" s="1228"/>
      <c r="AE111" s="1228"/>
      <c r="AF111" s="1228"/>
      <c r="AG111" s="1228"/>
      <c r="AH111" s="1228"/>
      <c r="AI111" s="1228"/>
      <c r="AJ111" s="1228"/>
      <c r="AK111" s="1228"/>
      <c r="AL111" s="1228"/>
      <c r="AM111" s="1228"/>
      <c r="AN111" s="1228"/>
      <c r="AO111" s="1228"/>
    </row>
    <row r="112" spans="16:41">
      <c r="P112" s="1228"/>
      <c r="Q112" s="1228"/>
      <c r="X112" s="1228"/>
      <c r="Y112" s="1228"/>
      <c r="Z112" s="1228"/>
      <c r="AA112" s="1228"/>
      <c r="AB112" s="1228"/>
      <c r="AC112" s="1228"/>
      <c r="AD112" s="1228"/>
      <c r="AE112" s="1228"/>
      <c r="AF112" s="1228"/>
      <c r="AG112" s="1228"/>
      <c r="AH112" s="1228"/>
      <c r="AI112" s="1228"/>
      <c r="AJ112" s="1228"/>
      <c r="AK112" s="1228"/>
      <c r="AL112" s="1228"/>
      <c r="AM112" s="1228"/>
      <c r="AN112" s="1228"/>
      <c r="AO112" s="1228"/>
    </row>
    <row r="113" spans="16:41">
      <c r="P113" s="1228"/>
      <c r="Q113" s="1228"/>
      <c r="X113" s="1228"/>
      <c r="Y113" s="1228"/>
      <c r="Z113" s="1228"/>
      <c r="AA113" s="1228"/>
      <c r="AB113" s="1228"/>
      <c r="AC113" s="1228"/>
      <c r="AD113" s="1228"/>
      <c r="AE113" s="1228"/>
      <c r="AF113" s="1228"/>
      <c r="AG113" s="1228"/>
      <c r="AH113" s="1228"/>
      <c r="AI113" s="1228"/>
      <c r="AJ113" s="1228"/>
      <c r="AK113" s="1228"/>
      <c r="AL113" s="1228"/>
      <c r="AM113" s="1228"/>
      <c r="AN113" s="1228"/>
      <c r="AO113" s="1228"/>
    </row>
    <row r="114" spans="16:41">
      <c r="P114" s="1228"/>
      <c r="Q114" s="1228"/>
      <c r="X114" s="1228"/>
      <c r="Y114" s="1228"/>
      <c r="Z114" s="1228"/>
      <c r="AA114" s="1228"/>
      <c r="AB114" s="1228"/>
      <c r="AC114" s="1228"/>
      <c r="AD114" s="1228"/>
      <c r="AE114" s="1228"/>
      <c r="AF114" s="1228"/>
      <c r="AG114" s="1228"/>
      <c r="AH114" s="1228"/>
      <c r="AI114" s="1228"/>
      <c r="AJ114" s="1228"/>
      <c r="AK114" s="1228"/>
      <c r="AL114" s="1228"/>
      <c r="AM114" s="1228"/>
      <c r="AN114" s="1228"/>
      <c r="AO114" s="1228"/>
    </row>
    <row r="115" spans="16:41">
      <c r="P115" s="1228"/>
      <c r="Q115" s="1228"/>
      <c r="X115" s="1228"/>
      <c r="Y115" s="1228"/>
      <c r="Z115" s="1228"/>
      <c r="AA115" s="1228"/>
      <c r="AB115" s="1228"/>
      <c r="AC115" s="1228"/>
      <c r="AD115" s="1228"/>
      <c r="AE115" s="1228"/>
      <c r="AF115" s="1228"/>
      <c r="AG115" s="1228"/>
      <c r="AH115" s="1228"/>
      <c r="AI115" s="1228"/>
      <c r="AJ115" s="1228"/>
      <c r="AK115" s="1228"/>
      <c r="AL115" s="1228"/>
      <c r="AM115" s="1228"/>
      <c r="AN115" s="1228"/>
      <c r="AO115" s="1228"/>
    </row>
    <row r="116" spans="16:41">
      <c r="P116" s="1228"/>
      <c r="Q116" s="1228"/>
      <c r="X116" s="1228"/>
      <c r="Y116" s="1228"/>
      <c r="Z116" s="1228"/>
      <c r="AA116" s="1228"/>
      <c r="AB116" s="1228"/>
      <c r="AC116" s="1228"/>
      <c r="AD116" s="1228"/>
      <c r="AE116" s="1228"/>
      <c r="AF116" s="1228"/>
      <c r="AG116" s="1228"/>
      <c r="AH116" s="1228"/>
      <c r="AI116" s="1228"/>
      <c r="AJ116" s="1228"/>
      <c r="AK116" s="1228"/>
      <c r="AL116" s="1228"/>
      <c r="AM116" s="1228"/>
      <c r="AN116" s="1228"/>
      <c r="AO116" s="1228"/>
    </row>
    <row r="117" spans="16:41">
      <c r="P117" s="1228"/>
      <c r="Q117" s="1228"/>
      <c r="X117" s="1228"/>
      <c r="Y117" s="1228"/>
      <c r="Z117" s="1228"/>
      <c r="AA117" s="1228"/>
      <c r="AB117" s="1228"/>
      <c r="AC117" s="1228"/>
      <c r="AD117" s="1228"/>
      <c r="AE117" s="1228"/>
      <c r="AF117" s="1228"/>
      <c r="AG117" s="1228"/>
      <c r="AH117" s="1228"/>
      <c r="AI117" s="1228"/>
      <c r="AJ117" s="1228"/>
      <c r="AK117" s="1228"/>
      <c r="AL117" s="1228"/>
      <c r="AM117" s="1228"/>
      <c r="AN117" s="1228"/>
      <c r="AO117" s="1228"/>
    </row>
    <row r="118" spans="16:41">
      <c r="P118" s="1228"/>
      <c r="Q118" s="1228"/>
      <c r="X118" s="1228"/>
      <c r="Y118" s="1228"/>
      <c r="Z118" s="1228"/>
      <c r="AA118" s="1228"/>
      <c r="AB118" s="1228"/>
      <c r="AC118" s="1228"/>
      <c r="AD118" s="1228"/>
      <c r="AE118" s="1228"/>
      <c r="AF118" s="1228"/>
      <c r="AG118" s="1228"/>
      <c r="AH118" s="1228"/>
      <c r="AI118" s="1228"/>
      <c r="AJ118" s="1228"/>
      <c r="AK118" s="1228"/>
      <c r="AL118" s="1228"/>
      <c r="AM118" s="1228"/>
      <c r="AN118" s="1228"/>
      <c r="AO118" s="1228"/>
    </row>
    <row r="119" spans="16:41">
      <c r="P119" s="1228"/>
      <c r="Q119" s="1228"/>
      <c r="X119" s="1228"/>
      <c r="Y119" s="1228"/>
      <c r="Z119" s="1228"/>
      <c r="AA119" s="1228"/>
      <c r="AB119" s="1228"/>
      <c r="AC119" s="1228"/>
      <c r="AD119" s="1228"/>
      <c r="AE119" s="1228"/>
      <c r="AF119" s="1228"/>
      <c r="AG119" s="1228"/>
      <c r="AH119" s="1228"/>
      <c r="AI119" s="1228"/>
      <c r="AJ119" s="1228"/>
      <c r="AK119" s="1228"/>
      <c r="AL119" s="1228"/>
      <c r="AM119" s="1228"/>
      <c r="AN119" s="1228"/>
      <c r="AO119" s="1228"/>
    </row>
    <row r="120" spans="16:41">
      <c r="P120" s="1228"/>
      <c r="Q120" s="1228"/>
      <c r="X120" s="1228"/>
      <c r="Y120" s="1228"/>
      <c r="Z120" s="1228"/>
      <c r="AA120" s="1228"/>
      <c r="AB120" s="1228"/>
      <c r="AC120" s="1228"/>
      <c r="AD120" s="1228"/>
      <c r="AE120" s="1228"/>
      <c r="AF120" s="1228"/>
      <c r="AG120" s="1228"/>
      <c r="AH120" s="1228"/>
      <c r="AI120" s="1228"/>
      <c r="AJ120" s="1228"/>
      <c r="AK120" s="1228"/>
      <c r="AL120" s="1228"/>
      <c r="AM120" s="1228"/>
      <c r="AN120" s="1228"/>
      <c r="AO120" s="1228"/>
    </row>
    <row r="121" spans="16:41">
      <c r="P121" s="1228"/>
      <c r="Q121" s="1228"/>
      <c r="X121" s="1228"/>
      <c r="Y121" s="1228"/>
      <c r="Z121" s="1228"/>
      <c r="AA121" s="1228"/>
      <c r="AB121" s="1228"/>
      <c r="AC121" s="1228"/>
      <c r="AD121" s="1228"/>
      <c r="AE121" s="1228"/>
      <c r="AF121" s="1228"/>
      <c r="AG121" s="1228"/>
      <c r="AH121" s="1228"/>
      <c r="AI121" s="1228"/>
      <c r="AJ121" s="1228"/>
      <c r="AK121" s="1228"/>
      <c r="AL121" s="1228"/>
      <c r="AM121" s="1228"/>
      <c r="AN121" s="1228"/>
      <c r="AO121" s="1228"/>
    </row>
    <row r="122" spans="16:41">
      <c r="P122" s="1228"/>
      <c r="Q122" s="1228"/>
      <c r="X122" s="1228"/>
      <c r="Y122" s="1228"/>
      <c r="Z122" s="1228"/>
      <c r="AA122" s="1228"/>
      <c r="AB122" s="1228"/>
      <c r="AC122" s="1228"/>
      <c r="AD122" s="1228"/>
      <c r="AE122" s="1228"/>
      <c r="AF122" s="1228"/>
      <c r="AG122" s="1228"/>
      <c r="AH122" s="1228"/>
      <c r="AI122" s="1228"/>
      <c r="AJ122" s="1228"/>
      <c r="AK122" s="1228"/>
      <c r="AL122" s="1228"/>
      <c r="AM122" s="1228"/>
      <c r="AN122" s="1228"/>
      <c r="AO122" s="1228"/>
    </row>
    <row r="123" spans="16:41">
      <c r="P123" s="1228"/>
      <c r="Q123" s="1228"/>
      <c r="X123" s="1228"/>
      <c r="Y123" s="1228"/>
      <c r="Z123" s="1228"/>
      <c r="AA123" s="1228"/>
      <c r="AB123" s="1228"/>
      <c r="AC123" s="1228"/>
      <c r="AD123" s="1228"/>
      <c r="AE123" s="1228"/>
      <c r="AF123" s="1228"/>
      <c r="AG123" s="1228"/>
      <c r="AH123" s="1228"/>
      <c r="AI123" s="1228"/>
      <c r="AJ123" s="1228"/>
      <c r="AK123" s="1228"/>
      <c r="AL123" s="1228"/>
      <c r="AM123" s="1228"/>
      <c r="AN123" s="1228"/>
      <c r="AO123" s="1228"/>
    </row>
    <row r="124" spans="16:41">
      <c r="P124" s="1228"/>
      <c r="Q124" s="1228"/>
      <c r="X124" s="1228"/>
      <c r="Y124" s="1228"/>
      <c r="Z124" s="1228"/>
      <c r="AA124" s="1228"/>
      <c r="AB124" s="1228"/>
      <c r="AC124" s="1228"/>
      <c r="AD124" s="1228"/>
      <c r="AE124" s="1228"/>
      <c r="AF124" s="1228"/>
      <c r="AG124" s="1228"/>
      <c r="AH124" s="1228"/>
      <c r="AI124" s="1228"/>
      <c r="AJ124" s="1228"/>
      <c r="AK124" s="1228"/>
      <c r="AL124" s="1228"/>
      <c r="AM124" s="1228"/>
      <c r="AN124" s="1228"/>
      <c r="AO124" s="1228"/>
    </row>
    <row r="125" spans="16:41">
      <c r="P125" s="1228"/>
      <c r="Q125" s="1228"/>
      <c r="X125" s="1228"/>
      <c r="Y125" s="1228"/>
      <c r="Z125" s="1228"/>
      <c r="AA125" s="1228"/>
      <c r="AB125" s="1228"/>
      <c r="AC125" s="1228"/>
      <c r="AD125" s="1228"/>
      <c r="AE125" s="1228"/>
      <c r="AF125" s="1228"/>
      <c r="AG125" s="1228"/>
      <c r="AH125" s="1228"/>
      <c r="AI125" s="1228"/>
      <c r="AJ125" s="1228"/>
      <c r="AK125" s="1228"/>
      <c r="AL125" s="1228"/>
      <c r="AM125" s="1228"/>
      <c r="AN125" s="1228"/>
      <c r="AO125" s="1228"/>
    </row>
    <row r="126" spans="16:41">
      <c r="P126" s="1228"/>
      <c r="Q126" s="1228"/>
      <c r="X126" s="1228"/>
      <c r="Y126" s="1228"/>
      <c r="Z126" s="1228"/>
      <c r="AA126" s="1228"/>
      <c r="AB126" s="1228"/>
      <c r="AC126" s="1228"/>
      <c r="AD126" s="1228"/>
      <c r="AE126" s="1228"/>
      <c r="AF126" s="1228"/>
      <c r="AG126" s="1228"/>
      <c r="AH126" s="1228"/>
      <c r="AI126" s="1228"/>
      <c r="AJ126" s="1228"/>
      <c r="AK126" s="1228"/>
      <c r="AL126" s="1228"/>
      <c r="AM126" s="1228"/>
      <c r="AN126" s="1228"/>
      <c r="AO126" s="1228"/>
    </row>
    <row r="127" spans="16:41">
      <c r="P127" s="1228"/>
      <c r="Q127" s="1228"/>
      <c r="X127" s="1228"/>
      <c r="Y127" s="1228"/>
      <c r="Z127" s="1228"/>
      <c r="AA127" s="1228"/>
      <c r="AB127" s="1228"/>
      <c r="AC127" s="1228"/>
      <c r="AD127" s="1228"/>
      <c r="AE127" s="1228"/>
      <c r="AF127" s="1228"/>
      <c r="AG127" s="1228"/>
      <c r="AH127" s="1228"/>
      <c r="AI127" s="1228"/>
      <c r="AJ127" s="1228"/>
      <c r="AK127" s="1228"/>
      <c r="AL127" s="1228"/>
      <c r="AM127" s="1228"/>
      <c r="AN127" s="1228"/>
      <c r="AO127" s="1228"/>
    </row>
    <row r="128" spans="16:41">
      <c r="P128" s="1228"/>
      <c r="Q128" s="1228"/>
      <c r="X128" s="1228"/>
      <c r="Y128" s="1228"/>
      <c r="Z128" s="1228"/>
      <c r="AA128" s="1228"/>
      <c r="AB128" s="1228"/>
      <c r="AC128" s="1228"/>
      <c r="AD128" s="1228"/>
      <c r="AE128" s="1228"/>
      <c r="AF128" s="1228"/>
      <c r="AG128" s="1228"/>
      <c r="AH128" s="1228"/>
      <c r="AI128" s="1228"/>
      <c r="AJ128" s="1228"/>
      <c r="AK128" s="1228"/>
      <c r="AL128" s="1228"/>
      <c r="AM128" s="1228"/>
      <c r="AN128" s="1228"/>
      <c r="AO128" s="1228"/>
    </row>
    <row r="129" spans="16:41">
      <c r="P129" s="1228"/>
      <c r="Q129" s="1228"/>
      <c r="X129" s="1228"/>
      <c r="Y129" s="1228"/>
      <c r="Z129" s="1228"/>
      <c r="AA129" s="1228"/>
      <c r="AB129" s="1228"/>
      <c r="AC129" s="1228"/>
      <c r="AD129" s="1228"/>
      <c r="AE129" s="1228"/>
      <c r="AF129" s="1228"/>
      <c r="AG129" s="1228"/>
      <c r="AH129" s="1228"/>
      <c r="AI129" s="1228"/>
      <c r="AJ129" s="1228"/>
      <c r="AK129" s="1228"/>
      <c r="AL129" s="1228"/>
      <c r="AM129" s="1228"/>
      <c r="AN129" s="1228"/>
      <c r="AO129" s="1228"/>
    </row>
    <row r="130" spans="16:41">
      <c r="P130" s="1228"/>
      <c r="Q130" s="1228"/>
      <c r="X130" s="1228"/>
      <c r="Y130" s="1228"/>
      <c r="Z130" s="1228"/>
      <c r="AA130" s="1228"/>
      <c r="AB130" s="1228"/>
      <c r="AC130" s="1228"/>
      <c r="AD130" s="1228"/>
      <c r="AE130" s="1228"/>
      <c r="AF130" s="1228"/>
      <c r="AG130" s="1228"/>
      <c r="AH130" s="1228"/>
      <c r="AI130" s="1228"/>
      <c r="AJ130" s="1228"/>
      <c r="AK130" s="1228"/>
      <c r="AL130" s="1228"/>
      <c r="AM130" s="1228"/>
      <c r="AN130" s="1228"/>
      <c r="AO130" s="1228"/>
    </row>
    <row r="131" spans="16:41">
      <c r="P131" s="1228"/>
      <c r="Q131" s="1228"/>
      <c r="X131" s="1228"/>
      <c r="Y131" s="1228"/>
      <c r="Z131" s="1228"/>
      <c r="AA131" s="1228"/>
      <c r="AB131" s="1228"/>
      <c r="AC131" s="1228"/>
      <c r="AD131" s="1228"/>
      <c r="AE131" s="1228"/>
      <c r="AF131" s="1228"/>
      <c r="AG131" s="1228"/>
      <c r="AH131" s="1228"/>
      <c r="AI131" s="1228"/>
      <c r="AJ131" s="1228"/>
      <c r="AK131" s="1228"/>
      <c r="AL131" s="1228"/>
      <c r="AM131" s="1228"/>
      <c r="AN131" s="1228"/>
      <c r="AO131" s="1228"/>
    </row>
    <row r="132" spans="16:41">
      <c r="P132" s="1228"/>
      <c r="Q132" s="1228"/>
      <c r="X132" s="1228"/>
      <c r="Y132" s="1228"/>
      <c r="Z132" s="1228"/>
      <c r="AA132" s="1228"/>
      <c r="AB132" s="1228"/>
      <c r="AC132" s="1228"/>
      <c r="AD132" s="1228"/>
      <c r="AE132" s="1228"/>
      <c r="AF132" s="1228"/>
      <c r="AG132" s="1228"/>
      <c r="AH132" s="1228"/>
      <c r="AI132" s="1228"/>
      <c r="AJ132" s="1228"/>
      <c r="AK132" s="1228"/>
      <c r="AL132" s="1228"/>
      <c r="AM132" s="1228"/>
      <c r="AN132" s="1228"/>
      <c r="AO132" s="1228"/>
    </row>
    <row r="133" spans="16:41">
      <c r="P133" s="1228"/>
      <c r="Q133" s="1228"/>
      <c r="X133" s="1228"/>
      <c r="Y133" s="1228"/>
      <c r="Z133" s="1228"/>
      <c r="AA133" s="1228"/>
      <c r="AB133" s="1228"/>
      <c r="AC133" s="1228"/>
      <c r="AD133" s="1228"/>
      <c r="AE133" s="1228"/>
      <c r="AF133" s="1228"/>
      <c r="AG133" s="1228"/>
      <c r="AH133" s="1228"/>
      <c r="AI133" s="1228"/>
      <c r="AJ133" s="1228"/>
      <c r="AK133" s="1228"/>
      <c r="AL133" s="1228"/>
      <c r="AM133" s="1228"/>
      <c r="AN133" s="1228"/>
      <c r="AO133" s="1228"/>
    </row>
    <row r="134" spans="16:41">
      <c r="P134" s="1228"/>
      <c r="Q134" s="1228"/>
      <c r="X134" s="1228"/>
      <c r="Y134" s="1228"/>
      <c r="Z134" s="1228"/>
      <c r="AA134" s="1228"/>
      <c r="AB134" s="1228"/>
      <c r="AC134" s="1228"/>
      <c r="AD134" s="1228"/>
      <c r="AE134" s="1228"/>
      <c r="AF134" s="1228"/>
      <c r="AG134" s="1228"/>
      <c r="AH134" s="1228"/>
      <c r="AI134" s="1228"/>
      <c r="AJ134" s="1228"/>
      <c r="AK134" s="1228"/>
      <c r="AL134" s="1228"/>
      <c r="AM134" s="1228"/>
      <c r="AN134" s="1228"/>
      <c r="AO134" s="1228"/>
    </row>
    <row r="135" spans="16:41">
      <c r="P135" s="1228"/>
      <c r="Q135" s="1228"/>
      <c r="X135" s="1228"/>
      <c r="Y135" s="1228"/>
      <c r="Z135" s="1228"/>
      <c r="AA135" s="1228"/>
      <c r="AB135" s="1228"/>
      <c r="AC135" s="1228"/>
      <c r="AD135" s="1228"/>
      <c r="AE135" s="1228"/>
      <c r="AF135" s="1228"/>
      <c r="AG135" s="1228"/>
      <c r="AH135" s="1228"/>
      <c r="AI135" s="1228"/>
      <c r="AJ135" s="1228"/>
      <c r="AK135" s="1228"/>
      <c r="AL135" s="1228"/>
      <c r="AM135" s="1228"/>
      <c r="AN135" s="1228"/>
      <c r="AO135" s="1228"/>
    </row>
    <row r="136" spans="16:41">
      <c r="P136" s="1228"/>
      <c r="Q136" s="1228"/>
      <c r="X136" s="1228"/>
      <c r="Y136" s="1228"/>
      <c r="Z136" s="1228"/>
      <c r="AA136" s="1228"/>
      <c r="AB136" s="1228"/>
      <c r="AC136" s="1228"/>
      <c r="AD136" s="1228"/>
      <c r="AE136" s="1228"/>
      <c r="AF136" s="1228"/>
      <c r="AG136" s="1228"/>
      <c r="AH136" s="1228"/>
      <c r="AI136" s="1228"/>
      <c r="AJ136" s="1228"/>
      <c r="AK136" s="1228"/>
      <c r="AL136" s="1228"/>
      <c r="AM136" s="1228"/>
      <c r="AN136" s="1228"/>
      <c r="AO136" s="1228"/>
    </row>
    <row r="137" spans="16:41">
      <c r="P137" s="1228"/>
      <c r="Q137" s="1228"/>
      <c r="X137" s="1228"/>
      <c r="Y137" s="1228"/>
      <c r="Z137" s="1228"/>
      <c r="AA137" s="1228"/>
      <c r="AB137" s="1228"/>
      <c r="AC137" s="1228"/>
      <c r="AD137" s="1228"/>
      <c r="AE137" s="1228"/>
      <c r="AF137" s="1228"/>
      <c r="AG137" s="1228"/>
      <c r="AH137" s="1228"/>
      <c r="AI137" s="1228"/>
      <c r="AJ137" s="1228"/>
      <c r="AK137" s="1228"/>
      <c r="AL137" s="1228"/>
      <c r="AM137" s="1228"/>
      <c r="AN137" s="1228"/>
      <c r="AO137" s="1228"/>
    </row>
    <row r="138" spans="16:41">
      <c r="P138" s="1228"/>
      <c r="Q138" s="1228"/>
      <c r="X138" s="1228"/>
      <c r="Y138" s="1228"/>
      <c r="Z138" s="1228"/>
      <c r="AA138" s="1228"/>
      <c r="AB138" s="1228"/>
      <c r="AC138" s="1228"/>
      <c r="AD138" s="1228"/>
      <c r="AE138" s="1228"/>
      <c r="AF138" s="1228"/>
      <c r="AG138" s="1228"/>
      <c r="AH138" s="1228"/>
      <c r="AI138" s="1228"/>
      <c r="AJ138" s="1228"/>
      <c r="AK138" s="1228"/>
      <c r="AL138" s="1228"/>
      <c r="AM138" s="1228"/>
      <c r="AN138" s="1228"/>
      <c r="AO138" s="1228"/>
    </row>
    <row r="139" spans="16:41">
      <c r="P139" s="1228"/>
      <c r="Q139" s="1228"/>
      <c r="X139" s="1228"/>
      <c r="Y139" s="1228"/>
      <c r="Z139" s="1228"/>
      <c r="AA139" s="1228"/>
      <c r="AB139" s="1228"/>
      <c r="AC139" s="1228"/>
      <c r="AD139" s="1228"/>
      <c r="AE139" s="1228"/>
      <c r="AF139" s="1228"/>
      <c r="AG139" s="1228"/>
      <c r="AH139" s="1228"/>
      <c r="AI139" s="1228"/>
      <c r="AJ139" s="1228"/>
      <c r="AK139" s="1228"/>
      <c r="AL139" s="1228"/>
      <c r="AM139" s="1228"/>
      <c r="AN139" s="1228"/>
      <c r="AO139" s="1228"/>
    </row>
    <row r="140" spans="16:41">
      <c r="P140" s="1228"/>
      <c r="Q140" s="1228"/>
      <c r="X140" s="1228"/>
      <c r="Y140" s="1228"/>
      <c r="Z140" s="1228"/>
      <c r="AA140" s="1228"/>
      <c r="AB140" s="1228"/>
      <c r="AC140" s="1228"/>
      <c r="AD140" s="1228"/>
      <c r="AE140" s="1228"/>
      <c r="AF140" s="1228"/>
      <c r="AG140" s="1228"/>
      <c r="AH140" s="1228"/>
      <c r="AI140" s="1228"/>
      <c r="AJ140" s="1228"/>
      <c r="AK140" s="1228"/>
      <c r="AL140" s="1228"/>
      <c r="AM140" s="1228"/>
      <c r="AN140" s="1228"/>
      <c r="AO140" s="1228"/>
    </row>
    <row r="141" spans="16:41">
      <c r="P141" s="1228"/>
      <c r="Q141" s="1228"/>
      <c r="X141" s="1228"/>
      <c r="Y141" s="1228"/>
      <c r="Z141" s="1228"/>
      <c r="AA141" s="1228"/>
      <c r="AB141" s="1228"/>
      <c r="AC141" s="1228"/>
      <c r="AD141" s="1228"/>
      <c r="AE141" s="1228"/>
      <c r="AF141" s="1228"/>
      <c r="AG141" s="1228"/>
      <c r="AH141" s="1228"/>
      <c r="AI141" s="1228"/>
      <c r="AJ141" s="1228"/>
      <c r="AK141" s="1228"/>
      <c r="AL141" s="1228"/>
      <c r="AM141" s="1228"/>
      <c r="AN141" s="1228"/>
      <c r="AO141" s="1228"/>
    </row>
    <row r="142" spans="16:41">
      <c r="P142" s="1228"/>
      <c r="Q142" s="1228"/>
      <c r="X142" s="1228"/>
      <c r="Y142" s="1228"/>
      <c r="Z142" s="1228"/>
      <c r="AA142" s="1228"/>
      <c r="AB142" s="1228"/>
      <c r="AC142" s="1228"/>
      <c r="AD142" s="1228"/>
      <c r="AE142" s="1228"/>
      <c r="AF142" s="1228"/>
      <c r="AG142" s="1228"/>
      <c r="AH142" s="1228"/>
      <c r="AI142" s="1228"/>
      <c r="AJ142" s="1228"/>
      <c r="AK142" s="1228"/>
      <c r="AL142" s="1228"/>
      <c r="AM142" s="1228"/>
      <c r="AN142" s="1228"/>
      <c r="AO142" s="1228"/>
    </row>
    <row r="143" spans="16:41">
      <c r="P143" s="1228"/>
      <c r="Q143" s="1228"/>
      <c r="X143" s="1228"/>
      <c r="Y143" s="1228"/>
      <c r="Z143" s="1228"/>
      <c r="AA143" s="1228"/>
      <c r="AB143" s="1228"/>
      <c r="AC143" s="1228"/>
      <c r="AD143" s="1228"/>
      <c r="AE143" s="1228"/>
      <c r="AF143" s="1228"/>
      <c r="AG143" s="1228"/>
      <c r="AH143" s="1228"/>
      <c r="AI143" s="1228"/>
      <c r="AJ143" s="1228"/>
      <c r="AK143" s="1228"/>
      <c r="AL143" s="1228"/>
      <c r="AM143" s="1228"/>
      <c r="AN143" s="1228"/>
      <c r="AO143" s="1228"/>
    </row>
    <row r="144" spans="16:41">
      <c r="P144" s="1228"/>
      <c r="Q144" s="1228"/>
      <c r="X144" s="1228"/>
      <c r="Y144" s="1228"/>
      <c r="Z144" s="1228"/>
      <c r="AA144" s="1228"/>
      <c r="AB144" s="1228"/>
      <c r="AC144" s="1228"/>
      <c r="AD144" s="1228"/>
      <c r="AE144" s="1228"/>
      <c r="AF144" s="1228"/>
      <c r="AG144" s="1228"/>
      <c r="AH144" s="1228"/>
      <c r="AI144" s="1228"/>
      <c r="AJ144" s="1228"/>
      <c r="AK144" s="1228"/>
      <c r="AL144" s="1228"/>
      <c r="AM144" s="1228"/>
      <c r="AN144" s="1228"/>
      <c r="AO144" s="1228"/>
    </row>
    <row r="145" spans="16:41">
      <c r="P145" s="1228"/>
      <c r="Q145" s="1228"/>
      <c r="X145" s="1228"/>
      <c r="Y145" s="1228"/>
      <c r="Z145" s="1228"/>
      <c r="AA145" s="1228"/>
      <c r="AB145" s="1228"/>
      <c r="AC145" s="1228"/>
      <c r="AD145" s="1228"/>
      <c r="AE145" s="1228"/>
      <c r="AF145" s="1228"/>
      <c r="AG145" s="1228"/>
      <c r="AH145" s="1228"/>
      <c r="AI145" s="1228"/>
      <c r="AJ145" s="1228"/>
      <c r="AK145" s="1228"/>
      <c r="AL145" s="1228"/>
      <c r="AM145" s="1228"/>
      <c r="AN145" s="1228"/>
      <c r="AO145" s="1228"/>
    </row>
    <row r="146" spans="16:41">
      <c r="P146" s="1228"/>
      <c r="Q146" s="1228"/>
      <c r="X146" s="1228"/>
      <c r="Y146" s="1228"/>
      <c r="Z146" s="1228"/>
      <c r="AA146" s="1228"/>
      <c r="AB146" s="1228"/>
      <c r="AC146" s="1228"/>
      <c r="AD146" s="1228"/>
      <c r="AE146" s="1228"/>
      <c r="AF146" s="1228"/>
      <c r="AG146" s="1228"/>
      <c r="AH146" s="1228"/>
      <c r="AI146" s="1228"/>
      <c r="AJ146" s="1228"/>
      <c r="AK146" s="1228"/>
      <c r="AL146" s="1228"/>
      <c r="AM146" s="1228"/>
      <c r="AN146" s="1228"/>
      <c r="AO146" s="1228"/>
    </row>
    <row r="147" spans="16:41">
      <c r="P147" s="1228"/>
      <c r="Q147" s="1228"/>
      <c r="X147" s="1228"/>
      <c r="Y147" s="1228"/>
      <c r="Z147" s="1228"/>
      <c r="AA147" s="1228"/>
      <c r="AB147" s="1228"/>
      <c r="AC147" s="1228"/>
      <c r="AD147" s="1228"/>
      <c r="AE147" s="1228"/>
      <c r="AF147" s="1228"/>
      <c r="AG147" s="1228"/>
      <c r="AH147" s="1228"/>
      <c r="AI147" s="1228"/>
      <c r="AJ147" s="1228"/>
      <c r="AK147" s="1228"/>
      <c r="AL147" s="1228"/>
      <c r="AM147" s="1228"/>
      <c r="AN147" s="1228"/>
      <c r="AO147" s="1228"/>
    </row>
    <row r="148" spans="16:41">
      <c r="P148" s="1228"/>
      <c r="Q148" s="1228"/>
      <c r="X148" s="1228"/>
      <c r="Y148" s="1228"/>
      <c r="Z148" s="1228"/>
      <c r="AA148" s="1228"/>
      <c r="AB148" s="1228"/>
      <c r="AC148" s="1228"/>
      <c r="AD148" s="1228"/>
      <c r="AE148" s="1228"/>
      <c r="AF148" s="1228"/>
      <c r="AG148" s="1228"/>
      <c r="AH148" s="1228"/>
      <c r="AI148" s="1228"/>
      <c r="AJ148" s="1228"/>
      <c r="AK148" s="1228"/>
      <c r="AL148" s="1228"/>
      <c r="AM148" s="1228"/>
      <c r="AN148" s="1228"/>
      <c r="AO148" s="1228"/>
    </row>
    <row r="149" spans="16:41">
      <c r="P149" s="1228"/>
      <c r="Q149" s="1228"/>
      <c r="X149" s="1228"/>
      <c r="Y149" s="1228"/>
      <c r="Z149" s="1228"/>
      <c r="AA149" s="1228"/>
      <c r="AB149" s="1228"/>
      <c r="AC149" s="1228"/>
      <c r="AD149" s="1228"/>
      <c r="AE149" s="1228"/>
      <c r="AF149" s="1228"/>
      <c r="AG149" s="1228"/>
      <c r="AH149" s="1228"/>
      <c r="AI149" s="1228"/>
      <c r="AJ149" s="1228"/>
      <c r="AK149" s="1228"/>
      <c r="AL149" s="1228"/>
      <c r="AM149" s="1228"/>
      <c r="AN149" s="1228"/>
      <c r="AO149" s="1228"/>
    </row>
    <row r="150" spans="16:41">
      <c r="P150" s="1228"/>
      <c r="Q150" s="1228"/>
      <c r="X150" s="1228"/>
      <c r="Y150" s="1228"/>
      <c r="Z150" s="1228"/>
      <c r="AA150" s="1228"/>
      <c r="AB150" s="1228"/>
      <c r="AC150" s="1228"/>
      <c r="AD150" s="1228"/>
      <c r="AE150" s="1228"/>
      <c r="AF150" s="1228"/>
      <c r="AG150" s="1228"/>
      <c r="AH150" s="1228"/>
      <c r="AI150" s="1228"/>
      <c r="AJ150" s="1228"/>
      <c r="AK150" s="1228"/>
      <c r="AL150" s="1228"/>
      <c r="AM150" s="1228"/>
      <c r="AN150" s="1228"/>
      <c r="AO150" s="1228"/>
    </row>
    <row r="151" spans="16:41">
      <c r="P151" s="1228"/>
      <c r="Q151" s="1228"/>
      <c r="X151" s="1228"/>
      <c r="Y151" s="1228"/>
      <c r="Z151" s="1228"/>
      <c r="AA151" s="1228"/>
      <c r="AB151" s="1228"/>
      <c r="AC151" s="1228"/>
      <c r="AD151" s="1228"/>
      <c r="AE151" s="1228"/>
      <c r="AF151" s="1228"/>
      <c r="AG151" s="1228"/>
      <c r="AH151" s="1228"/>
      <c r="AI151" s="1228"/>
      <c r="AJ151" s="1228"/>
      <c r="AK151" s="1228"/>
      <c r="AL151" s="1228"/>
      <c r="AM151" s="1228"/>
      <c r="AN151" s="1228"/>
      <c r="AO151" s="1228"/>
    </row>
    <row r="152" spans="16:41">
      <c r="P152" s="1228"/>
      <c r="Q152" s="1228"/>
      <c r="X152" s="1228"/>
      <c r="Y152" s="1228"/>
      <c r="Z152" s="1228"/>
      <c r="AA152" s="1228"/>
      <c r="AB152" s="1228"/>
      <c r="AC152" s="1228"/>
      <c r="AD152" s="1228"/>
      <c r="AE152" s="1228"/>
      <c r="AF152" s="1228"/>
      <c r="AG152" s="1228"/>
      <c r="AH152" s="1228"/>
      <c r="AI152" s="1228"/>
      <c r="AJ152" s="1228"/>
      <c r="AK152" s="1228"/>
      <c r="AL152" s="1228"/>
      <c r="AM152" s="1228"/>
      <c r="AN152" s="1228"/>
      <c r="AO152" s="1228"/>
    </row>
    <row r="153" spans="16:41">
      <c r="P153" s="1228"/>
      <c r="Q153" s="1228"/>
      <c r="X153" s="1228"/>
      <c r="Y153" s="1228"/>
      <c r="Z153" s="1228"/>
      <c r="AA153" s="1228"/>
      <c r="AB153" s="1228"/>
      <c r="AC153" s="1228"/>
      <c r="AD153" s="1228"/>
      <c r="AE153" s="1228"/>
      <c r="AF153" s="1228"/>
      <c r="AG153" s="1228"/>
      <c r="AH153" s="1228"/>
      <c r="AI153" s="1228"/>
      <c r="AJ153" s="1228"/>
      <c r="AK153" s="1228"/>
      <c r="AL153" s="1228"/>
      <c r="AM153" s="1228"/>
      <c r="AN153" s="1228"/>
      <c r="AO153" s="1228"/>
    </row>
    <row r="154" spans="16:41">
      <c r="P154" s="1228"/>
      <c r="Q154" s="1228"/>
      <c r="X154" s="1228"/>
      <c r="Y154" s="1228"/>
      <c r="Z154" s="1228"/>
      <c r="AA154" s="1228"/>
      <c r="AB154" s="1228"/>
      <c r="AC154" s="1228"/>
      <c r="AD154" s="1228"/>
      <c r="AE154" s="1228"/>
      <c r="AF154" s="1228"/>
      <c r="AG154" s="1228"/>
      <c r="AH154" s="1228"/>
      <c r="AI154" s="1228"/>
      <c r="AJ154" s="1228"/>
      <c r="AK154" s="1228"/>
      <c r="AL154" s="1228"/>
      <c r="AM154" s="1228"/>
      <c r="AN154" s="1228"/>
      <c r="AO154" s="1228"/>
    </row>
    <row r="155" spans="16:41">
      <c r="P155" s="1228"/>
      <c r="Q155" s="1228"/>
      <c r="X155" s="1228"/>
      <c r="Y155" s="1228"/>
      <c r="Z155" s="1228"/>
      <c r="AA155" s="1228"/>
      <c r="AB155" s="1228"/>
      <c r="AC155" s="1228"/>
      <c r="AD155" s="1228"/>
      <c r="AE155" s="1228"/>
      <c r="AF155" s="1228"/>
      <c r="AG155" s="1228"/>
      <c r="AH155" s="1228"/>
      <c r="AI155" s="1228"/>
      <c r="AJ155" s="1228"/>
      <c r="AK155" s="1228"/>
      <c r="AL155" s="1228"/>
      <c r="AM155" s="1228"/>
      <c r="AN155" s="1228"/>
      <c r="AO155" s="1228"/>
    </row>
    <row r="156" spans="16:41">
      <c r="P156" s="1228"/>
      <c r="Q156" s="1228"/>
      <c r="X156" s="1228"/>
      <c r="Y156" s="1228"/>
      <c r="Z156" s="1228"/>
      <c r="AA156" s="1228"/>
      <c r="AB156" s="1228"/>
      <c r="AC156" s="1228"/>
      <c r="AD156" s="1228"/>
      <c r="AE156" s="1228"/>
      <c r="AF156" s="1228"/>
      <c r="AG156" s="1228"/>
      <c r="AH156" s="1228"/>
      <c r="AI156" s="1228"/>
      <c r="AJ156" s="1228"/>
      <c r="AK156" s="1228"/>
      <c r="AL156" s="1228"/>
      <c r="AM156" s="1228"/>
      <c r="AN156" s="1228"/>
      <c r="AO156" s="1228"/>
    </row>
    <row r="157" spans="16:41">
      <c r="P157" s="1228"/>
      <c r="Q157" s="1228"/>
      <c r="X157" s="1228"/>
      <c r="Y157" s="1228"/>
      <c r="Z157" s="1228"/>
      <c r="AA157" s="1228"/>
      <c r="AB157" s="1228"/>
      <c r="AC157" s="1228"/>
      <c r="AD157" s="1228"/>
      <c r="AE157" s="1228"/>
      <c r="AF157" s="1228"/>
      <c r="AG157" s="1228"/>
      <c r="AH157" s="1228"/>
      <c r="AI157" s="1228"/>
      <c r="AJ157" s="1228"/>
      <c r="AK157" s="1228"/>
      <c r="AL157" s="1228"/>
      <c r="AM157" s="1228"/>
      <c r="AN157" s="1228"/>
      <c r="AO157" s="1228"/>
    </row>
    <row r="158" spans="16:41">
      <c r="P158" s="1228"/>
      <c r="Q158" s="1228"/>
      <c r="X158" s="1228"/>
      <c r="Y158" s="1228"/>
      <c r="Z158" s="1228"/>
      <c r="AA158" s="1228"/>
      <c r="AB158" s="1228"/>
      <c r="AC158" s="1228"/>
      <c r="AD158" s="1228"/>
      <c r="AE158" s="1228"/>
      <c r="AF158" s="1228"/>
      <c r="AG158" s="1228"/>
      <c r="AH158" s="1228"/>
      <c r="AI158" s="1228"/>
      <c r="AJ158" s="1228"/>
      <c r="AK158" s="1228"/>
      <c r="AL158" s="1228"/>
      <c r="AM158" s="1228"/>
      <c r="AN158" s="1228"/>
      <c r="AO158" s="1228"/>
    </row>
    <row r="159" spans="16:41">
      <c r="P159" s="1228"/>
      <c r="Q159" s="1228"/>
      <c r="X159" s="1228"/>
      <c r="Y159" s="1228"/>
      <c r="Z159" s="1228"/>
      <c r="AA159" s="1228"/>
      <c r="AB159" s="1228"/>
      <c r="AC159" s="1228"/>
      <c r="AD159" s="1228"/>
      <c r="AE159" s="1228"/>
      <c r="AF159" s="1228"/>
      <c r="AG159" s="1228"/>
      <c r="AH159" s="1228"/>
      <c r="AI159" s="1228"/>
      <c r="AJ159" s="1228"/>
      <c r="AK159" s="1228"/>
      <c r="AL159" s="1228"/>
      <c r="AM159" s="1228"/>
      <c r="AN159" s="1228"/>
      <c r="AO159" s="1228"/>
    </row>
    <row r="160" spans="16:41">
      <c r="P160" s="1228"/>
      <c r="Q160" s="1228"/>
      <c r="X160" s="1228"/>
      <c r="Y160" s="1228"/>
      <c r="Z160" s="1228"/>
      <c r="AA160" s="1228"/>
      <c r="AB160" s="1228"/>
      <c r="AC160" s="1228"/>
      <c r="AD160" s="1228"/>
      <c r="AE160" s="1228"/>
      <c r="AF160" s="1228"/>
      <c r="AG160" s="1228"/>
      <c r="AH160" s="1228"/>
      <c r="AI160" s="1228"/>
      <c r="AJ160" s="1228"/>
      <c r="AK160" s="1228"/>
      <c r="AL160" s="1228"/>
      <c r="AM160" s="1228"/>
      <c r="AN160" s="1228"/>
      <c r="AO160" s="1228"/>
    </row>
    <row r="161" spans="16:41">
      <c r="P161" s="1228"/>
      <c r="Q161" s="1228"/>
      <c r="X161" s="1228"/>
      <c r="Y161" s="1228"/>
      <c r="Z161" s="1228"/>
      <c r="AA161" s="1228"/>
      <c r="AB161" s="1228"/>
      <c r="AC161" s="1228"/>
      <c r="AD161" s="1228"/>
      <c r="AE161" s="1228"/>
      <c r="AF161" s="1228"/>
      <c r="AG161" s="1228"/>
      <c r="AH161" s="1228"/>
      <c r="AI161" s="1228"/>
      <c r="AJ161" s="1228"/>
      <c r="AK161" s="1228"/>
      <c r="AL161" s="1228"/>
      <c r="AM161" s="1228"/>
      <c r="AN161" s="1228"/>
      <c r="AO161" s="1228"/>
    </row>
    <row r="162" spans="16:41">
      <c r="P162" s="1228"/>
      <c r="Q162" s="1228"/>
      <c r="X162" s="1228"/>
      <c r="Y162" s="1228"/>
      <c r="Z162" s="1228"/>
      <c r="AA162" s="1228"/>
      <c r="AB162" s="1228"/>
      <c r="AC162" s="1228"/>
      <c r="AD162" s="1228"/>
      <c r="AE162" s="1228"/>
      <c r="AF162" s="1228"/>
      <c r="AG162" s="1228"/>
      <c r="AH162" s="1228"/>
      <c r="AI162" s="1228"/>
      <c r="AJ162" s="1228"/>
      <c r="AK162" s="1228"/>
      <c r="AL162" s="1228"/>
      <c r="AM162" s="1228"/>
      <c r="AN162" s="1228"/>
      <c r="AO162" s="1228"/>
    </row>
    <row r="163" spans="16:41">
      <c r="P163" s="1228"/>
      <c r="Q163" s="1228"/>
      <c r="X163" s="1228"/>
      <c r="Y163" s="1228"/>
      <c r="Z163" s="1228"/>
      <c r="AA163" s="1228"/>
      <c r="AB163" s="1228"/>
      <c r="AC163" s="1228"/>
      <c r="AD163" s="1228"/>
      <c r="AE163" s="1228"/>
      <c r="AF163" s="1228"/>
      <c r="AG163" s="1228"/>
      <c r="AH163" s="1228"/>
      <c r="AI163" s="1228"/>
      <c r="AJ163" s="1228"/>
      <c r="AK163" s="1228"/>
      <c r="AL163" s="1228"/>
      <c r="AM163" s="1228"/>
      <c r="AN163" s="1228"/>
      <c r="AO163" s="1228"/>
    </row>
    <row r="164" spans="16:41">
      <c r="P164" s="1228"/>
      <c r="Q164" s="1228"/>
      <c r="X164" s="1228"/>
      <c r="Y164" s="1228"/>
      <c r="Z164" s="1228"/>
      <c r="AA164" s="1228"/>
      <c r="AB164" s="1228"/>
      <c r="AC164" s="1228"/>
      <c r="AD164" s="1228"/>
      <c r="AE164" s="1228"/>
      <c r="AF164" s="1228"/>
      <c r="AG164" s="1228"/>
      <c r="AH164" s="1228"/>
      <c r="AI164" s="1228"/>
      <c r="AJ164" s="1228"/>
      <c r="AK164" s="1228"/>
      <c r="AL164" s="1228"/>
      <c r="AM164" s="1228"/>
      <c r="AN164" s="1228"/>
      <c r="AO164" s="1228"/>
    </row>
    <row r="165" spans="16:41">
      <c r="P165" s="1228"/>
      <c r="Q165" s="1228"/>
      <c r="X165" s="1228"/>
      <c r="Y165" s="1228"/>
      <c r="Z165" s="1228"/>
      <c r="AA165" s="1228"/>
      <c r="AB165" s="1228"/>
      <c r="AC165" s="1228"/>
      <c r="AD165" s="1228"/>
      <c r="AE165" s="1228"/>
      <c r="AF165" s="1228"/>
      <c r="AG165" s="1228"/>
      <c r="AH165" s="1228"/>
      <c r="AI165" s="1228"/>
      <c r="AJ165" s="1228"/>
      <c r="AK165" s="1228"/>
      <c r="AL165" s="1228"/>
      <c r="AM165" s="1228"/>
      <c r="AN165" s="1228"/>
      <c r="AO165" s="1228"/>
    </row>
    <row r="166" spans="16:41">
      <c r="P166" s="1228"/>
      <c r="Q166" s="1228"/>
      <c r="X166" s="1228"/>
      <c r="Y166" s="1228"/>
      <c r="Z166" s="1228"/>
      <c r="AA166" s="1228"/>
      <c r="AB166" s="1228"/>
      <c r="AC166" s="1228"/>
      <c r="AD166" s="1228"/>
      <c r="AE166" s="1228"/>
      <c r="AF166" s="1228"/>
      <c r="AG166" s="1228"/>
      <c r="AH166" s="1228"/>
      <c r="AI166" s="1228"/>
      <c r="AJ166" s="1228"/>
      <c r="AK166" s="1228"/>
      <c r="AL166" s="1228"/>
      <c r="AM166" s="1228"/>
      <c r="AN166" s="1228"/>
      <c r="AO166" s="1228"/>
    </row>
    <row r="167" spans="16:41">
      <c r="P167" s="1228"/>
      <c r="Q167" s="1228"/>
      <c r="X167" s="1228"/>
      <c r="Y167" s="1228"/>
      <c r="Z167" s="1228"/>
      <c r="AA167" s="1228"/>
      <c r="AB167" s="1228"/>
      <c r="AC167" s="1228"/>
      <c r="AD167" s="1228"/>
      <c r="AE167" s="1228"/>
      <c r="AF167" s="1228"/>
      <c r="AG167" s="1228"/>
      <c r="AH167" s="1228"/>
      <c r="AI167" s="1228"/>
      <c r="AJ167" s="1228"/>
      <c r="AK167" s="1228"/>
      <c r="AL167" s="1228"/>
      <c r="AM167" s="1228"/>
      <c r="AN167" s="1228"/>
      <c r="AO167" s="1228"/>
    </row>
    <row r="168" spans="16:41">
      <c r="P168" s="1228"/>
      <c r="Q168" s="1228"/>
      <c r="X168" s="1228"/>
      <c r="Y168" s="1228"/>
      <c r="Z168" s="1228"/>
      <c r="AA168" s="1228"/>
      <c r="AB168" s="1228"/>
      <c r="AC168" s="1228"/>
      <c r="AD168" s="1228"/>
      <c r="AE168" s="1228"/>
      <c r="AF168" s="1228"/>
      <c r="AG168" s="1228"/>
      <c r="AH168" s="1228"/>
      <c r="AI168" s="1228"/>
      <c r="AJ168" s="1228"/>
      <c r="AK168" s="1228"/>
      <c r="AL168" s="1228"/>
      <c r="AM168" s="1228"/>
      <c r="AN168" s="1228"/>
      <c r="AO168" s="1228"/>
    </row>
    <row r="169" spans="16:41">
      <c r="P169" s="1228"/>
      <c r="Q169" s="1228"/>
      <c r="X169" s="1228"/>
      <c r="Y169" s="1228"/>
      <c r="Z169" s="1228"/>
      <c r="AA169" s="1228"/>
      <c r="AB169" s="1228"/>
      <c r="AC169" s="1228"/>
      <c r="AD169" s="1228"/>
      <c r="AE169" s="1228"/>
      <c r="AF169" s="1228"/>
      <c r="AG169" s="1228"/>
      <c r="AH169" s="1228"/>
      <c r="AI169" s="1228"/>
      <c r="AJ169" s="1228"/>
      <c r="AK169" s="1228"/>
      <c r="AL169" s="1228"/>
      <c r="AM169" s="1228"/>
      <c r="AN169" s="1228"/>
      <c r="AO169" s="1228"/>
    </row>
    <row r="170" spans="16:41">
      <c r="P170" s="1228"/>
      <c r="Q170" s="1228"/>
      <c r="X170" s="1228"/>
      <c r="Y170" s="1228"/>
      <c r="Z170" s="1228"/>
      <c r="AA170" s="1228"/>
      <c r="AB170" s="1228"/>
      <c r="AC170" s="1228"/>
      <c r="AD170" s="1228"/>
      <c r="AE170" s="1228"/>
      <c r="AF170" s="1228"/>
      <c r="AG170" s="1228"/>
      <c r="AH170" s="1228"/>
      <c r="AI170" s="1228"/>
      <c r="AJ170" s="1228"/>
      <c r="AK170" s="1228"/>
      <c r="AL170" s="1228"/>
      <c r="AM170" s="1228"/>
      <c r="AN170" s="1228"/>
      <c r="AO170" s="1228"/>
    </row>
    <row r="171" spans="16:41">
      <c r="P171" s="1228"/>
      <c r="Q171" s="1228"/>
      <c r="X171" s="1228"/>
      <c r="Y171" s="1228"/>
      <c r="Z171" s="1228"/>
      <c r="AA171" s="1228"/>
      <c r="AB171" s="1228"/>
      <c r="AC171" s="1228"/>
      <c r="AD171" s="1228"/>
      <c r="AE171" s="1228"/>
      <c r="AF171" s="1228"/>
      <c r="AG171" s="1228"/>
      <c r="AH171" s="1228"/>
      <c r="AI171" s="1228"/>
      <c r="AJ171" s="1228"/>
      <c r="AK171" s="1228"/>
      <c r="AL171" s="1228"/>
      <c r="AM171" s="1228"/>
      <c r="AN171" s="1228"/>
      <c r="AO171" s="1228"/>
    </row>
    <row r="172" spans="16:41">
      <c r="P172" s="1228"/>
      <c r="Q172" s="1228"/>
      <c r="X172" s="1228"/>
      <c r="Y172" s="1228"/>
      <c r="Z172" s="1228"/>
      <c r="AA172" s="1228"/>
      <c r="AB172" s="1228"/>
      <c r="AC172" s="1228"/>
      <c r="AD172" s="1228"/>
      <c r="AE172" s="1228"/>
      <c r="AF172" s="1228"/>
      <c r="AG172" s="1228"/>
      <c r="AH172" s="1228"/>
      <c r="AI172" s="1228"/>
      <c r="AJ172" s="1228"/>
      <c r="AK172" s="1228"/>
      <c r="AL172" s="1228"/>
      <c r="AM172" s="1228"/>
      <c r="AN172" s="1228"/>
      <c r="AO172" s="1228"/>
    </row>
    <row r="173" spans="16:41">
      <c r="P173" s="1228"/>
      <c r="Q173" s="1228"/>
      <c r="X173" s="1228"/>
      <c r="Y173" s="1228"/>
      <c r="Z173" s="1228"/>
      <c r="AA173" s="1228"/>
      <c r="AB173" s="1228"/>
      <c r="AC173" s="1228"/>
      <c r="AD173" s="1228"/>
      <c r="AE173" s="1228"/>
      <c r="AF173" s="1228"/>
      <c r="AG173" s="1228"/>
      <c r="AH173" s="1228"/>
      <c r="AI173" s="1228"/>
      <c r="AJ173" s="1228"/>
      <c r="AK173" s="1228"/>
      <c r="AL173" s="1228"/>
      <c r="AM173" s="1228"/>
      <c r="AN173" s="1228"/>
      <c r="AO173" s="1228"/>
    </row>
    <row r="174" spans="16:41">
      <c r="P174" s="1228"/>
      <c r="Q174" s="1228"/>
      <c r="X174" s="1228"/>
      <c r="Y174" s="1228"/>
      <c r="Z174" s="1228"/>
      <c r="AA174" s="1228"/>
      <c r="AB174" s="1228"/>
      <c r="AC174" s="1228"/>
      <c r="AD174" s="1228"/>
      <c r="AE174" s="1228"/>
      <c r="AF174" s="1228"/>
      <c r="AG174" s="1228"/>
      <c r="AH174" s="1228"/>
      <c r="AI174" s="1228"/>
      <c r="AJ174" s="1228"/>
      <c r="AK174" s="1228"/>
      <c r="AL174" s="1228"/>
      <c r="AM174" s="1228"/>
      <c r="AN174" s="1228"/>
      <c r="AO174" s="1228"/>
    </row>
    <row r="175" spans="16:41">
      <c r="P175" s="1228"/>
      <c r="Q175" s="1228"/>
      <c r="X175" s="1228"/>
      <c r="Y175" s="1228"/>
      <c r="Z175" s="1228"/>
      <c r="AA175" s="1228"/>
      <c r="AB175" s="1228"/>
      <c r="AC175" s="1228"/>
      <c r="AD175" s="1228"/>
      <c r="AE175" s="1228"/>
      <c r="AF175" s="1228"/>
      <c r="AG175" s="1228"/>
      <c r="AH175" s="1228"/>
      <c r="AI175" s="1228"/>
      <c r="AJ175" s="1228"/>
      <c r="AK175" s="1228"/>
      <c r="AL175" s="1228"/>
      <c r="AM175" s="1228"/>
      <c r="AN175" s="1228"/>
      <c r="AO175" s="1228"/>
    </row>
    <row r="176" spans="16:41">
      <c r="P176" s="1228"/>
      <c r="Q176" s="1228"/>
      <c r="X176" s="1228"/>
      <c r="Y176" s="1228"/>
      <c r="Z176" s="1228"/>
      <c r="AA176" s="1228"/>
      <c r="AB176" s="1228"/>
      <c r="AC176" s="1228"/>
      <c r="AD176" s="1228"/>
      <c r="AE176" s="1228"/>
      <c r="AF176" s="1228"/>
      <c r="AG176" s="1228"/>
      <c r="AH176" s="1228"/>
      <c r="AI176" s="1228"/>
      <c r="AJ176" s="1228"/>
      <c r="AK176" s="1228"/>
      <c r="AL176" s="1228"/>
      <c r="AM176" s="1228"/>
      <c r="AN176" s="1228"/>
      <c r="AO176" s="1228"/>
    </row>
    <row r="177" spans="16:41">
      <c r="P177" s="1228"/>
      <c r="Q177" s="1228"/>
      <c r="X177" s="1228"/>
      <c r="Y177" s="1228"/>
      <c r="Z177" s="1228"/>
      <c r="AA177" s="1228"/>
      <c r="AB177" s="1228"/>
      <c r="AC177" s="1228"/>
      <c r="AD177" s="1228"/>
      <c r="AE177" s="1228"/>
      <c r="AF177" s="1228"/>
      <c r="AG177" s="1228"/>
      <c r="AH177" s="1228"/>
      <c r="AI177" s="1228"/>
      <c r="AJ177" s="1228"/>
      <c r="AK177" s="1228"/>
      <c r="AL177" s="1228"/>
      <c r="AM177" s="1228"/>
      <c r="AN177" s="1228"/>
      <c r="AO177" s="1228"/>
    </row>
    <row r="178" spans="16:41">
      <c r="P178" s="1228"/>
      <c r="Q178" s="1228"/>
      <c r="X178" s="1228"/>
      <c r="Y178" s="1228"/>
      <c r="Z178" s="1228"/>
      <c r="AA178" s="1228"/>
      <c r="AB178" s="1228"/>
      <c r="AC178" s="1228"/>
      <c r="AD178" s="1228"/>
      <c r="AE178" s="1228"/>
      <c r="AF178" s="1228"/>
      <c r="AG178" s="1228"/>
      <c r="AH178" s="1228"/>
      <c r="AI178" s="1228"/>
      <c r="AJ178" s="1228"/>
      <c r="AK178" s="1228"/>
      <c r="AL178" s="1228"/>
      <c r="AM178" s="1228"/>
      <c r="AN178" s="1228"/>
      <c r="AO178" s="1228"/>
    </row>
    <row r="179" spans="16:41">
      <c r="P179" s="1228"/>
      <c r="Q179" s="1228"/>
      <c r="X179" s="1228"/>
      <c r="Y179" s="1228"/>
      <c r="Z179" s="1228"/>
      <c r="AA179" s="1228"/>
      <c r="AB179" s="1228"/>
      <c r="AC179" s="1228"/>
      <c r="AD179" s="1228"/>
      <c r="AE179" s="1228"/>
      <c r="AF179" s="1228"/>
      <c r="AG179" s="1228"/>
      <c r="AH179" s="1228"/>
      <c r="AI179" s="1228"/>
      <c r="AJ179" s="1228"/>
      <c r="AK179" s="1228"/>
      <c r="AL179" s="1228"/>
      <c r="AM179" s="1228"/>
      <c r="AN179" s="1228"/>
      <c r="AO179" s="1228"/>
    </row>
    <row r="180" spans="16:41">
      <c r="P180" s="1228"/>
      <c r="Q180" s="1228"/>
      <c r="X180" s="1228"/>
      <c r="Y180" s="1228"/>
      <c r="Z180" s="1228"/>
      <c r="AA180" s="1228"/>
      <c r="AB180" s="1228"/>
      <c r="AC180" s="1228"/>
      <c r="AD180" s="1228"/>
      <c r="AE180" s="1228"/>
      <c r="AF180" s="1228"/>
      <c r="AG180" s="1228"/>
      <c r="AH180" s="1228"/>
      <c r="AI180" s="1228"/>
      <c r="AJ180" s="1228"/>
      <c r="AK180" s="1228"/>
      <c r="AL180" s="1228"/>
      <c r="AM180" s="1228"/>
      <c r="AN180" s="1228"/>
      <c r="AO180" s="1228"/>
    </row>
    <row r="181" spans="16:41">
      <c r="P181" s="1228"/>
      <c r="Q181" s="1228"/>
      <c r="X181" s="1228"/>
      <c r="Y181" s="1228"/>
      <c r="Z181" s="1228"/>
      <c r="AA181" s="1228"/>
      <c r="AB181" s="1228"/>
      <c r="AC181" s="1228"/>
      <c r="AD181" s="1228"/>
      <c r="AE181" s="1228"/>
      <c r="AF181" s="1228"/>
      <c r="AG181" s="1228"/>
      <c r="AH181" s="1228"/>
      <c r="AI181" s="1228"/>
      <c r="AJ181" s="1228"/>
      <c r="AK181" s="1228"/>
      <c r="AL181" s="1228"/>
      <c r="AM181" s="1228"/>
      <c r="AN181" s="1228"/>
      <c r="AO181" s="1228"/>
    </row>
    <row r="182" spans="16:41">
      <c r="P182" s="1228"/>
      <c r="Q182" s="1228"/>
      <c r="X182" s="1228"/>
      <c r="Y182" s="1228"/>
      <c r="Z182" s="1228"/>
      <c r="AA182" s="1228"/>
      <c r="AB182" s="1228"/>
      <c r="AC182" s="1228"/>
      <c r="AD182" s="1228"/>
      <c r="AE182" s="1228"/>
      <c r="AF182" s="1228"/>
      <c r="AG182" s="1228"/>
      <c r="AH182" s="1228"/>
      <c r="AI182" s="1228"/>
      <c r="AJ182" s="1228"/>
      <c r="AK182" s="1228"/>
      <c r="AL182" s="1228"/>
      <c r="AM182" s="1228"/>
      <c r="AN182" s="1228"/>
      <c r="AO182" s="1228"/>
    </row>
    <row r="183" spans="16:41">
      <c r="P183" s="1228"/>
      <c r="Q183" s="1228"/>
      <c r="X183" s="1228"/>
      <c r="Y183" s="1228"/>
      <c r="Z183" s="1228"/>
      <c r="AA183" s="1228"/>
      <c r="AB183" s="1228"/>
      <c r="AC183" s="1228"/>
      <c r="AD183" s="1228"/>
      <c r="AE183" s="1228"/>
      <c r="AF183" s="1228"/>
      <c r="AG183" s="1228"/>
      <c r="AH183" s="1228"/>
      <c r="AI183" s="1228"/>
      <c r="AJ183" s="1228"/>
      <c r="AK183" s="1228"/>
      <c r="AL183" s="1228"/>
      <c r="AM183" s="1228"/>
      <c r="AN183" s="1228"/>
      <c r="AO183" s="1228"/>
    </row>
    <row r="184" spans="16:41">
      <c r="P184" s="1228"/>
      <c r="Q184" s="1228"/>
      <c r="X184" s="1228"/>
      <c r="Y184" s="1228"/>
      <c r="Z184" s="1228"/>
      <c r="AA184" s="1228"/>
      <c r="AB184" s="1228"/>
      <c r="AC184" s="1228"/>
      <c r="AD184" s="1228"/>
      <c r="AE184" s="1228"/>
      <c r="AF184" s="1228"/>
      <c r="AG184" s="1228"/>
      <c r="AH184" s="1228"/>
      <c r="AI184" s="1228"/>
      <c r="AJ184" s="1228"/>
      <c r="AK184" s="1228"/>
      <c r="AL184" s="1228"/>
      <c r="AM184" s="1228"/>
      <c r="AN184" s="1228"/>
      <c r="AO184" s="1228"/>
    </row>
    <row r="185" spans="16:41">
      <c r="P185" s="1228"/>
      <c r="Q185" s="1228"/>
      <c r="X185" s="1228"/>
      <c r="Y185" s="1228"/>
      <c r="Z185" s="1228"/>
      <c r="AA185" s="1228"/>
      <c r="AB185" s="1228"/>
      <c r="AC185" s="1228"/>
      <c r="AD185" s="1228"/>
      <c r="AE185" s="1228"/>
      <c r="AF185" s="1228"/>
      <c r="AG185" s="1228"/>
      <c r="AH185" s="1228"/>
      <c r="AI185" s="1228"/>
      <c r="AJ185" s="1228"/>
      <c r="AK185" s="1228"/>
      <c r="AL185" s="1228"/>
      <c r="AM185" s="1228"/>
      <c r="AN185" s="1228"/>
      <c r="AO185" s="1228"/>
    </row>
    <row r="186" spans="16:41">
      <c r="P186" s="1228"/>
      <c r="Q186" s="1228"/>
      <c r="X186" s="1228"/>
      <c r="Y186" s="1228"/>
      <c r="Z186" s="1228"/>
      <c r="AA186" s="1228"/>
      <c r="AB186" s="1228"/>
      <c r="AC186" s="1228"/>
      <c r="AD186" s="1228"/>
      <c r="AE186" s="1228"/>
      <c r="AF186" s="1228"/>
      <c r="AG186" s="1228"/>
      <c r="AH186" s="1228"/>
      <c r="AI186" s="1228"/>
      <c r="AJ186" s="1228"/>
      <c r="AK186" s="1228"/>
      <c r="AL186" s="1228"/>
      <c r="AM186" s="1228"/>
      <c r="AN186" s="1228"/>
      <c r="AO186" s="1228"/>
    </row>
    <row r="187" spans="16:41">
      <c r="P187" s="1228"/>
      <c r="Q187" s="1228"/>
      <c r="X187" s="1228"/>
      <c r="Y187" s="1228"/>
      <c r="Z187" s="1228"/>
      <c r="AA187" s="1228"/>
      <c r="AB187" s="1228"/>
      <c r="AC187" s="1228"/>
      <c r="AD187" s="1228"/>
      <c r="AE187" s="1228"/>
      <c r="AF187" s="1228"/>
      <c r="AG187" s="1228"/>
      <c r="AH187" s="1228"/>
      <c r="AI187" s="1228"/>
      <c r="AJ187" s="1228"/>
      <c r="AK187" s="1228"/>
      <c r="AL187" s="1228"/>
      <c r="AM187" s="1228"/>
      <c r="AN187" s="1228"/>
      <c r="AO187" s="1228"/>
    </row>
    <row r="188" spans="16:41">
      <c r="P188" s="1228"/>
      <c r="Q188" s="1228"/>
      <c r="X188" s="1228"/>
      <c r="Y188" s="1228"/>
      <c r="Z188" s="1228"/>
      <c r="AA188" s="1228"/>
      <c r="AB188" s="1228"/>
      <c r="AC188" s="1228"/>
      <c r="AD188" s="1228"/>
      <c r="AE188" s="1228"/>
      <c r="AF188" s="1228"/>
      <c r="AG188" s="1228"/>
      <c r="AH188" s="1228"/>
      <c r="AI188" s="1228"/>
      <c r="AJ188" s="1228"/>
      <c r="AK188" s="1228"/>
      <c r="AL188" s="1228"/>
      <c r="AM188" s="1228"/>
      <c r="AN188" s="1228"/>
      <c r="AO188" s="1228"/>
    </row>
    <row r="189" spans="16:41">
      <c r="P189" s="1228"/>
      <c r="Q189" s="1228"/>
      <c r="X189" s="1228"/>
      <c r="Y189" s="1228"/>
      <c r="Z189" s="1228"/>
      <c r="AA189" s="1228"/>
      <c r="AB189" s="1228"/>
      <c r="AC189" s="1228"/>
      <c r="AD189" s="1228"/>
      <c r="AE189" s="1228"/>
      <c r="AF189" s="1228"/>
      <c r="AG189" s="1228"/>
      <c r="AH189" s="1228"/>
      <c r="AI189" s="1228"/>
      <c r="AJ189" s="1228"/>
      <c r="AK189" s="1228"/>
      <c r="AL189" s="1228"/>
      <c r="AM189" s="1228"/>
      <c r="AN189" s="1228"/>
      <c r="AO189" s="1228"/>
    </row>
    <row r="190" spans="16:41">
      <c r="P190" s="1228"/>
      <c r="Q190" s="1228"/>
      <c r="X190" s="1228"/>
      <c r="Y190" s="1228"/>
      <c r="Z190" s="1228"/>
      <c r="AA190" s="1228"/>
      <c r="AB190" s="1228"/>
      <c r="AC190" s="1228"/>
      <c r="AD190" s="1228"/>
      <c r="AE190" s="1228"/>
      <c r="AF190" s="1228"/>
      <c r="AG190" s="1228"/>
      <c r="AH190" s="1228"/>
      <c r="AI190" s="1228"/>
      <c r="AJ190" s="1228"/>
      <c r="AK190" s="1228"/>
      <c r="AL190" s="1228"/>
      <c r="AM190" s="1228"/>
      <c r="AN190" s="1228"/>
      <c r="AO190" s="1228"/>
    </row>
    <row r="191" spans="16:41">
      <c r="P191" s="1228"/>
      <c r="Q191" s="1228"/>
      <c r="X191" s="1228"/>
      <c r="Y191" s="1228"/>
      <c r="Z191" s="1228"/>
      <c r="AA191" s="1228"/>
      <c r="AB191" s="1228"/>
      <c r="AC191" s="1228"/>
      <c r="AD191" s="1228"/>
      <c r="AE191" s="1228"/>
      <c r="AF191" s="1228"/>
      <c r="AG191" s="1228"/>
      <c r="AH191" s="1228"/>
      <c r="AI191" s="1228"/>
      <c r="AJ191" s="1228"/>
      <c r="AK191" s="1228"/>
      <c r="AL191" s="1228"/>
      <c r="AM191" s="1228"/>
      <c r="AN191" s="1228"/>
      <c r="AO191" s="1228"/>
    </row>
    <row r="192" spans="16:41">
      <c r="P192" s="1228"/>
      <c r="Q192" s="1228"/>
      <c r="X192" s="1228"/>
      <c r="Y192" s="1228"/>
      <c r="Z192" s="1228"/>
      <c r="AA192" s="1228"/>
      <c r="AB192" s="1228"/>
      <c r="AC192" s="1228"/>
      <c r="AD192" s="1228"/>
      <c r="AE192" s="1228"/>
      <c r="AF192" s="1228"/>
      <c r="AG192" s="1228"/>
      <c r="AH192" s="1228"/>
      <c r="AI192" s="1228"/>
      <c r="AJ192" s="1228"/>
      <c r="AK192" s="1228"/>
      <c r="AL192" s="1228"/>
      <c r="AM192" s="1228"/>
      <c r="AN192" s="1228"/>
      <c r="AO192" s="1228"/>
    </row>
    <row r="193" spans="16:41">
      <c r="P193" s="1228"/>
      <c r="Q193" s="1228"/>
      <c r="X193" s="1228"/>
      <c r="Y193" s="1228"/>
      <c r="Z193" s="1228"/>
      <c r="AA193" s="1228"/>
      <c r="AB193" s="1228"/>
      <c r="AC193" s="1228"/>
      <c r="AD193" s="1228"/>
      <c r="AE193" s="1228"/>
      <c r="AF193" s="1228"/>
      <c r="AG193" s="1228"/>
      <c r="AH193" s="1228"/>
      <c r="AI193" s="1228"/>
      <c r="AJ193" s="1228"/>
      <c r="AK193" s="1228"/>
      <c r="AL193" s="1228"/>
      <c r="AM193" s="1228"/>
      <c r="AN193" s="1228"/>
      <c r="AO193" s="1228"/>
    </row>
    <row r="194" spans="16:41">
      <c r="P194" s="1228"/>
      <c r="Q194" s="1228"/>
      <c r="X194" s="1228"/>
      <c r="Y194" s="1228"/>
      <c r="Z194" s="1228"/>
      <c r="AA194" s="1228"/>
      <c r="AB194" s="1228"/>
      <c r="AC194" s="1228"/>
      <c r="AD194" s="1228"/>
      <c r="AE194" s="1228"/>
      <c r="AF194" s="1228"/>
      <c r="AG194" s="1228"/>
      <c r="AH194" s="1228"/>
      <c r="AI194" s="1228"/>
      <c r="AJ194" s="1228"/>
      <c r="AK194" s="1228"/>
      <c r="AL194" s="1228"/>
      <c r="AM194" s="1228"/>
      <c r="AN194" s="1228"/>
      <c r="AO194" s="1228"/>
    </row>
    <row r="195" spans="16:41">
      <c r="P195" s="1228"/>
      <c r="Q195" s="1228"/>
      <c r="X195" s="1228"/>
      <c r="Y195" s="1228"/>
      <c r="Z195" s="1228"/>
      <c r="AA195" s="1228"/>
      <c r="AB195" s="1228"/>
      <c r="AC195" s="1228"/>
      <c r="AD195" s="1228"/>
      <c r="AE195" s="1228"/>
      <c r="AF195" s="1228"/>
      <c r="AG195" s="1228"/>
      <c r="AH195" s="1228"/>
      <c r="AI195" s="1228"/>
      <c r="AJ195" s="1228"/>
      <c r="AK195" s="1228"/>
      <c r="AL195" s="1228"/>
      <c r="AM195" s="1228"/>
      <c r="AN195" s="1228"/>
      <c r="AO195" s="1228"/>
    </row>
    <row r="196" spans="16:41">
      <c r="P196" s="1228"/>
      <c r="Q196" s="1228"/>
      <c r="X196" s="1228"/>
      <c r="Y196" s="1228"/>
      <c r="Z196" s="1228"/>
      <c r="AA196" s="1228"/>
      <c r="AB196" s="1228"/>
      <c r="AC196" s="1228"/>
      <c r="AD196" s="1228"/>
      <c r="AE196" s="1228"/>
      <c r="AF196" s="1228"/>
      <c r="AG196" s="1228"/>
      <c r="AH196" s="1228"/>
      <c r="AI196" s="1228"/>
      <c r="AJ196" s="1228"/>
      <c r="AK196" s="1228"/>
      <c r="AL196" s="1228"/>
      <c r="AM196" s="1228"/>
      <c r="AN196" s="1228"/>
      <c r="AO196" s="1228"/>
    </row>
    <row r="197" spans="16:41">
      <c r="P197" s="1228"/>
      <c r="Q197" s="1228"/>
      <c r="X197" s="1228"/>
      <c r="Y197" s="1228"/>
      <c r="Z197" s="1228"/>
      <c r="AA197" s="1228"/>
      <c r="AB197" s="1228"/>
      <c r="AC197" s="1228"/>
      <c r="AD197" s="1228"/>
      <c r="AE197" s="1228"/>
      <c r="AF197" s="1228"/>
      <c r="AG197" s="1228"/>
      <c r="AH197" s="1228"/>
      <c r="AI197" s="1228"/>
      <c r="AJ197" s="1228"/>
      <c r="AK197" s="1228"/>
      <c r="AL197" s="1228"/>
      <c r="AM197" s="1228"/>
      <c r="AN197" s="1228"/>
      <c r="AO197" s="1228"/>
    </row>
    <row r="198" spans="16:41">
      <c r="P198" s="1228"/>
      <c r="Q198" s="1228"/>
      <c r="X198" s="1228"/>
      <c r="Y198" s="1228"/>
      <c r="Z198" s="1228"/>
      <c r="AA198" s="1228"/>
      <c r="AB198" s="1228"/>
      <c r="AC198" s="1228"/>
      <c r="AD198" s="1228"/>
      <c r="AE198" s="1228"/>
      <c r="AF198" s="1228"/>
      <c r="AG198" s="1228"/>
      <c r="AH198" s="1228"/>
      <c r="AI198" s="1228"/>
      <c r="AJ198" s="1228"/>
      <c r="AK198" s="1228"/>
      <c r="AL198" s="1228"/>
      <c r="AM198" s="1228"/>
      <c r="AN198" s="1228"/>
      <c r="AO198" s="1228"/>
    </row>
    <row r="199" spans="16:41">
      <c r="P199" s="1228"/>
      <c r="Q199" s="1228"/>
      <c r="X199" s="1228"/>
      <c r="Y199" s="1228"/>
      <c r="Z199" s="1228"/>
      <c r="AA199" s="1228"/>
      <c r="AB199" s="1228"/>
      <c r="AC199" s="1228"/>
      <c r="AD199" s="1228"/>
      <c r="AE199" s="1228"/>
      <c r="AF199" s="1228"/>
      <c r="AG199" s="1228"/>
      <c r="AH199" s="1228"/>
      <c r="AI199" s="1228"/>
      <c r="AJ199" s="1228"/>
      <c r="AK199" s="1228"/>
      <c r="AL199" s="1228"/>
      <c r="AM199" s="1228"/>
      <c r="AN199" s="1228"/>
      <c r="AO199" s="1228"/>
    </row>
    <row r="200" spans="16:41">
      <c r="P200" s="1228"/>
      <c r="Q200" s="1228"/>
      <c r="X200" s="1228"/>
      <c r="Y200" s="1228"/>
      <c r="Z200" s="1228"/>
      <c r="AA200" s="1228"/>
      <c r="AB200" s="1228"/>
      <c r="AC200" s="1228"/>
      <c r="AD200" s="1228"/>
      <c r="AE200" s="1228"/>
      <c r="AF200" s="1228"/>
      <c r="AG200" s="1228"/>
      <c r="AH200" s="1228"/>
      <c r="AI200" s="1228"/>
      <c r="AJ200" s="1228"/>
      <c r="AK200" s="1228"/>
      <c r="AL200" s="1228"/>
      <c r="AM200" s="1228"/>
      <c r="AN200" s="1228"/>
      <c r="AO200" s="1228"/>
    </row>
    <row r="201" spans="16:41">
      <c r="P201" s="1228"/>
      <c r="Q201" s="1228"/>
      <c r="X201" s="1228"/>
      <c r="Y201" s="1228"/>
      <c r="Z201" s="1228"/>
      <c r="AA201" s="1228"/>
      <c r="AB201" s="1228"/>
      <c r="AC201" s="1228"/>
      <c r="AD201" s="1228"/>
      <c r="AE201" s="1228"/>
      <c r="AF201" s="1228"/>
      <c r="AG201" s="1228"/>
      <c r="AH201" s="1228"/>
      <c r="AI201" s="1228"/>
      <c r="AJ201" s="1228"/>
      <c r="AK201" s="1228"/>
      <c r="AL201" s="1228"/>
      <c r="AM201" s="1228"/>
      <c r="AN201" s="1228"/>
      <c r="AO201" s="1228"/>
    </row>
    <row r="202" spans="16:41">
      <c r="P202" s="1228"/>
      <c r="Q202" s="1228"/>
      <c r="X202" s="1228"/>
      <c r="Y202" s="1228"/>
      <c r="Z202" s="1228"/>
      <c r="AA202" s="1228"/>
      <c r="AB202" s="1228"/>
      <c r="AC202" s="1228"/>
      <c r="AD202" s="1228"/>
      <c r="AE202" s="1228"/>
      <c r="AF202" s="1228"/>
      <c r="AG202" s="1228"/>
      <c r="AH202" s="1228"/>
      <c r="AI202" s="1228"/>
      <c r="AJ202" s="1228"/>
      <c r="AK202" s="1228"/>
      <c r="AL202" s="1228"/>
      <c r="AM202" s="1228"/>
      <c r="AN202" s="1228"/>
      <c r="AO202" s="1228"/>
    </row>
    <row r="203" spans="16:41">
      <c r="P203" s="1228"/>
      <c r="Q203" s="1228"/>
      <c r="X203" s="1228"/>
      <c r="Y203" s="1228"/>
      <c r="Z203" s="1228"/>
      <c r="AA203" s="1228"/>
      <c r="AB203" s="1228"/>
      <c r="AC203" s="1228"/>
      <c r="AD203" s="1228"/>
      <c r="AE203" s="1228"/>
      <c r="AF203" s="1228"/>
      <c r="AG203" s="1228"/>
      <c r="AH203" s="1228"/>
      <c r="AI203" s="1228"/>
      <c r="AJ203" s="1228"/>
      <c r="AK203" s="1228"/>
      <c r="AL203" s="1228"/>
      <c r="AM203" s="1228"/>
      <c r="AN203" s="1228"/>
      <c r="AO203" s="1228"/>
    </row>
    <row r="204" spans="16:41">
      <c r="P204" s="1228"/>
      <c r="Q204" s="1228"/>
      <c r="X204" s="1228"/>
      <c r="Y204" s="1228"/>
      <c r="Z204" s="1228"/>
      <c r="AA204" s="1228"/>
      <c r="AB204" s="1228"/>
      <c r="AC204" s="1228"/>
      <c r="AD204" s="1228"/>
      <c r="AE204" s="1228"/>
      <c r="AF204" s="1228"/>
      <c r="AG204" s="1228"/>
      <c r="AH204" s="1228"/>
      <c r="AI204" s="1228"/>
      <c r="AJ204" s="1228"/>
      <c r="AK204" s="1228"/>
      <c r="AL204" s="1228"/>
      <c r="AM204" s="1228"/>
      <c r="AN204" s="1228"/>
      <c r="AO204" s="1228"/>
    </row>
    <row r="205" spans="16:41">
      <c r="P205" s="1228"/>
      <c r="Q205" s="1228"/>
      <c r="X205" s="1228"/>
      <c r="Y205" s="1228"/>
      <c r="Z205" s="1228"/>
      <c r="AA205" s="1228"/>
      <c r="AB205" s="1228"/>
      <c r="AC205" s="1228"/>
      <c r="AD205" s="1228"/>
      <c r="AE205" s="1228"/>
      <c r="AF205" s="1228"/>
      <c r="AG205" s="1228"/>
      <c r="AH205" s="1228"/>
      <c r="AI205" s="1228"/>
      <c r="AJ205" s="1228"/>
      <c r="AK205" s="1228"/>
      <c r="AL205" s="1228"/>
      <c r="AM205" s="1228"/>
      <c r="AN205" s="1228"/>
      <c r="AO205" s="1228"/>
    </row>
    <row r="206" spans="16:41">
      <c r="P206" s="1228"/>
      <c r="Q206" s="1228"/>
      <c r="X206" s="1228"/>
      <c r="Y206" s="1228"/>
      <c r="Z206" s="1228"/>
      <c r="AA206" s="1228"/>
      <c r="AB206" s="1228"/>
      <c r="AC206" s="1228"/>
      <c r="AD206" s="1228"/>
      <c r="AE206" s="1228"/>
      <c r="AF206" s="1228"/>
      <c r="AG206" s="1228"/>
      <c r="AH206" s="1228"/>
      <c r="AI206" s="1228"/>
      <c r="AJ206" s="1228"/>
      <c r="AK206" s="1228"/>
      <c r="AL206" s="1228"/>
      <c r="AM206" s="1228"/>
      <c r="AN206" s="1228"/>
      <c r="AO206" s="1228"/>
    </row>
    <row r="207" spans="16:41">
      <c r="P207" s="1228"/>
      <c r="Q207" s="1228"/>
      <c r="X207" s="1228"/>
      <c r="Y207" s="1228"/>
      <c r="Z207" s="1228"/>
      <c r="AA207" s="1228"/>
      <c r="AB207" s="1228"/>
      <c r="AC207" s="1228"/>
      <c r="AD207" s="1228"/>
      <c r="AE207" s="1228"/>
      <c r="AF207" s="1228"/>
      <c r="AG207" s="1228"/>
      <c r="AH207" s="1228"/>
      <c r="AI207" s="1228"/>
      <c r="AJ207" s="1228"/>
      <c r="AK207" s="1228"/>
      <c r="AL207" s="1228"/>
      <c r="AM207" s="1228"/>
      <c r="AN207" s="1228"/>
      <c r="AO207" s="1228"/>
    </row>
    <row r="208" spans="16:41">
      <c r="P208" s="1228"/>
      <c r="Q208" s="1228"/>
      <c r="X208" s="1228"/>
      <c r="Y208" s="1228"/>
      <c r="Z208" s="1228"/>
      <c r="AA208" s="1228"/>
      <c r="AB208" s="1228"/>
      <c r="AC208" s="1228"/>
      <c r="AD208" s="1228"/>
      <c r="AE208" s="1228"/>
      <c r="AF208" s="1228"/>
      <c r="AG208" s="1228"/>
      <c r="AH208" s="1228"/>
      <c r="AI208" s="1228"/>
      <c r="AJ208" s="1228"/>
      <c r="AK208" s="1228"/>
      <c r="AL208" s="1228"/>
      <c r="AM208" s="1228"/>
      <c r="AN208" s="1228"/>
      <c r="AO208" s="1228"/>
    </row>
    <row r="209" spans="16:41">
      <c r="P209" s="1228"/>
      <c r="Q209" s="1228"/>
      <c r="X209" s="1228"/>
      <c r="Y209" s="1228"/>
      <c r="Z209" s="1228"/>
      <c r="AA209" s="1228"/>
      <c r="AB209" s="1228"/>
      <c r="AC209" s="1228"/>
      <c r="AD209" s="1228"/>
      <c r="AE209" s="1228"/>
      <c r="AF209" s="1228"/>
      <c r="AG209" s="1228"/>
      <c r="AH209" s="1228"/>
      <c r="AI209" s="1228"/>
      <c r="AJ209" s="1228"/>
      <c r="AK209" s="1228"/>
      <c r="AL209" s="1228"/>
      <c r="AM209" s="1228"/>
      <c r="AN209" s="1228"/>
      <c r="AO209" s="1228"/>
    </row>
    <row r="210" spans="16:41">
      <c r="P210" s="1228"/>
      <c r="Q210" s="1228"/>
      <c r="X210" s="1228"/>
      <c r="Y210" s="1228"/>
      <c r="Z210" s="1228"/>
      <c r="AA210" s="1228"/>
      <c r="AB210" s="1228"/>
      <c r="AC210" s="1228"/>
      <c r="AD210" s="1228"/>
      <c r="AE210" s="1228"/>
      <c r="AF210" s="1228"/>
      <c r="AG210" s="1228"/>
      <c r="AH210" s="1228"/>
      <c r="AI210" s="1228"/>
      <c r="AJ210" s="1228"/>
      <c r="AK210" s="1228"/>
      <c r="AL210" s="1228"/>
      <c r="AM210" s="1228"/>
      <c r="AN210" s="1228"/>
      <c r="AO210" s="1228"/>
    </row>
    <row r="211" spans="16:41">
      <c r="P211" s="1228"/>
      <c r="Q211" s="1228"/>
      <c r="X211" s="1228"/>
      <c r="Y211" s="1228"/>
      <c r="Z211" s="1228"/>
      <c r="AA211" s="1228"/>
      <c r="AB211" s="1228"/>
      <c r="AC211" s="1228"/>
      <c r="AD211" s="1228"/>
      <c r="AE211" s="1228"/>
      <c r="AF211" s="1228"/>
      <c r="AG211" s="1228"/>
      <c r="AH211" s="1228"/>
      <c r="AI211" s="1228"/>
      <c r="AJ211" s="1228"/>
      <c r="AK211" s="1228"/>
      <c r="AL211" s="1228"/>
      <c r="AM211" s="1228"/>
      <c r="AN211" s="1228"/>
      <c r="AO211" s="1228"/>
    </row>
    <row r="212" spans="16:41">
      <c r="P212" s="1228"/>
      <c r="Q212" s="1228"/>
      <c r="X212" s="1228"/>
      <c r="Y212" s="1228"/>
      <c r="Z212" s="1228"/>
      <c r="AA212" s="1228"/>
      <c r="AB212" s="1228"/>
      <c r="AC212" s="1228"/>
      <c r="AD212" s="1228"/>
      <c r="AE212" s="1228"/>
      <c r="AF212" s="1228"/>
      <c r="AG212" s="1228"/>
      <c r="AH212" s="1228"/>
      <c r="AI212" s="1228"/>
      <c r="AJ212" s="1228"/>
      <c r="AK212" s="1228"/>
      <c r="AL212" s="1228"/>
      <c r="AM212" s="1228"/>
      <c r="AN212" s="1228"/>
      <c r="AO212" s="1228"/>
    </row>
    <row r="213" spans="16:41">
      <c r="P213" s="1228"/>
      <c r="Q213" s="1228"/>
      <c r="X213" s="1228"/>
      <c r="Y213" s="1228"/>
      <c r="Z213" s="1228"/>
      <c r="AA213" s="1228"/>
      <c r="AB213" s="1228"/>
      <c r="AC213" s="1228"/>
      <c r="AD213" s="1228"/>
      <c r="AE213" s="1228"/>
      <c r="AF213" s="1228"/>
      <c r="AG213" s="1228"/>
      <c r="AH213" s="1228"/>
      <c r="AI213" s="1228"/>
      <c r="AJ213" s="1228"/>
      <c r="AK213" s="1228"/>
      <c r="AL213" s="1228"/>
      <c r="AM213" s="1228"/>
      <c r="AN213" s="1228"/>
      <c r="AO213" s="1228"/>
    </row>
    <row r="214" spans="16:41">
      <c r="P214" s="1228"/>
      <c r="Q214" s="1228"/>
      <c r="X214" s="1228"/>
      <c r="Y214" s="1228"/>
      <c r="Z214" s="1228"/>
      <c r="AA214" s="1228"/>
      <c r="AB214" s="1228"/>
      <c r="AC214" s="1228"/>
      <c r="AD214" s="1228"/>
      <c r="AE214" s="1228"/>
      <c r="AF214" s="1228"/>
      <c r="AG214" s="1228"/>
      <c r="AH214" s="1228"/>
      <c r="AI214" s="1228"/>
      <c r="AJ214" s="1228"/>
      <c r="AK214" s="1228"/>
      <c r="AL214" s="1228"/>
      <c r="AM214" s="1228"/>
      <c r="AN214" s="1228"/>
      <c r="AO214" s="1228"/>
    </row>
    <row r="215" spans="16:41">
      <c r="P215" s="1228"/>
      <c r="Q215" s="1228"/>
      <c r="X215" s="1228"/>
      <c r="Y215" s="1228"/>
      <c r="Z215" s="1228"/>
      <c r="AA215" s="1228"/>
      <c r="AB215" s="1228"/>
      <c r="AC215" s="1228"/>
      <c r="AD215" s="1228"/>
      <c r="AE215" s="1228"/>
      <c r="AF215" s="1228"/>
      <c r="AG215" s="1228"/>
      <c r="AH215" s="1228"/>
      <c r="AI215" s="1228"/>
      <c r="AJ215" s="1228"/>
      <c r="AK215" s="1228"/>
      <c r="AL215" s="1228"/>
      <c r="AM215" s="1228"/>
      <c r="AN215" s="1228"/>
      <c r="AO215" s="1228"/>
    </row>
    <row r="216" spans="16:41">
      <c r="P216" s="1228"/>
      <c r="Q216" s="1228"/>
      <c r="X216" s="1228"/>
      <c r="Y216" s="1228"/>
      <c r="Z216" s="1228"/>
      <c r="AA216" s="1228"/>
      <c r="AB216" s="1228"/>
      <c r="AC216" s="1228"/>
      <c r="AD216" s="1228"/>
      <c r="AE216" s="1228"/>
      <c r="AF216" s="1228"/>
      <c r="AG216" s="1228"/>
      <c r="AH216" s="1228"/>
      <c r="AI216" s="1228"/>
      <c r="AJ216" s="1228"/>
      <c r="AK216" s="1228"/>
      <c r="AL216" s="1228"/>
      <c r="AM216" s="1228"/>
      <c r="AN216" s="1228"/>
      <c r="AO216" s="1228"/>
    </row>
    <row r="217" spans="16:41">
      <c r="P217" s="1228"/>
      <c r="Q217" s="1228"/>
      <c r="X217" s="1228"/>
      <c r="Y217" s="1228"/>
      <c r="Z217" s="1228"/>
      <c r="AA217" s="1228"/>
      <c r="AB217" s="1228"/>
      <c r="AC217" s="1228"/>
      <c r="AD217" s="1228"/>
      <c r="AE217" s="1228"/>
      <c r="AF217" s="1228"/>
      <c r="AG217" s="1228"/>
      <c r="AH217" s="1228"/>
      <c r="AI217" s="1228"/>
      <c r="AJ217" s="1228"/>
      <c r="AK217" s="1228"/>
      <c r="AL217" s="1228"/>
      <c r="AM217" s="1228"/>
      <c r="AN217" s="1228"/>
      <c r="AO217" s="1228"/>
    </row>
    <row r="218" spans="16:41">
      <c r="P218" s="1228"/>
      <c r="Q218" s="1228"/>
      <c r="X218" s="1228"/>
      <c r="Y218" s="1228"/>
      <c r="Z218" s="1228"/>
      <c r="AA218" s="1228"/>
      <c r="AB218" s="1228"/>
      <c r="AC218" s="1228"/>
      <c r="AD218" s="1228"/>
      <c r="AE218" s="1228"/>
      <c r="AF218" s="1228"/>
      <c r="AG218" s="1228"/>
      <c r="AH218" s="1228"/>
      <c r="AI218" s="1228"/>
      <c r="AJ218" s="1228"/>
      <c r="AK218" s="1228"/>
      <c r="AL218" s="1228"/>
      <c r="AM218" s="1228"/>
      <c r="AN218" s="1228"/>
      <c r="AO218" s="1228"/>
    </row>
    <row r="219" spans="16:41">
      <c r="P219" s="1228"/>
      <c r="Q219" s="1228"/>
      <c r="X219" s="1228"/>
      <c r="Y219" s="1228"/>
      <c r="Z219" s="1228"/>
      <c r="AA219" s="1228"/>
      <c r="AB219" s="1228"/>
      <c r="AC219" s="1228"/>
      <c r="AD219" s="1228"/>
      <c r="AE219" s="1228"/>
      <c r="AF219" s="1228"/>
      <c r="AG219" s="1228"/>
      <c r="AH219" s="1228"/>
      <c r="AI219" s="1228"/>
      <c r="AJ219" s="1228"/>
      <c r="AK219" s="1228"/>
      <c r="AL219" s="1228"/>
      <c r="AM219" s="1228"/>
      <c r="AN219" s="1228"/>
      <c r="AO219" s="1228"/>
    </row>
    <row r="220" spans="16:41">
      <c r="P220" s="1228"/>
      <c r="Q220" s="1228"/>
      <c r="X220" s="1228"/>
      <c r="Y220" s="1228"/>
      <c r="Z220" s="1228"/>
      <c r="AA220" s="1228"/>
      <c r="AB220" s="1228"/>
      <c r="AC220" s="1228"/>
      <c r="AD220" s="1228"/>
      <c r="AE220" s="1228"/>
      <c r="AF220" s="1228"/>
      <c r="AG220" s="1228"/>
      <c r="AH220" s="1228"/>
      <c r="AI220" s="1228"/>
      <c r="AJ220" s="1228"/>
      <c r="AK220" s="1228"/>
      <c r="AL220" s="1228"/>
      <c r="AM220" s="1228"/>
      <c r="AN220" s="1228"/>
      <c r="AO220" s="1228"/>
    </row>
    <row r="221" spans="16:41">
      <c r="P221" s="1228"/>
      <c r="Q221" s="1228"/>
      <c r="X221" s="1228"/>
      <c r="Y221" s="1228"/>
      <c r="Z221" s="1228"/>
      <c r="AA221" s="1228"/>
      <c r="AB221" s="1228"/>
      <c r="AC221" s="1228"/>
      <c r="AD221" s="1228"/>
      <c r="AE221" s="1228"/>
      <c r="AF221" s="1228"/>
      <c r="AG221" s="1228"/>
      <c r="AH221" s="1228"/>
      <c r="AI221" s="1228"/>
      <c r="AJ221" s="1228"/>
      <c r="AK221" s="1228"/>
      <c r="AL221" s="1228"/>
      <c r="AM221" s="1228"/>
      <c r="AN221" s="1228"/>
      <c r="AO221" s="1228"/>
    </row>
    <row r="222" spans="16:41">
      <c r="P222" s="1228"/>
      <c r="Q222" s="1228"/>
      <c r="X222" s="1228"/>
      <c r="Y222" s="1228"/>
      <c r="Z222" s="1228"/>
      <c r="AA222" s="1228"/>
      <c r="AB222" s="1228"/>
      <c r="AC222" s="1228"/>
      <c r="AD222" s="1228"/>
      <c r="AE222" s="1228"/>
      <c r="AF222" s="1228"/>
      <c r="AG222" s="1228"/>
      <c r="AH222" s="1228"/>
      <c r="AI222" s="1228"/>
      <c r="AJ222" s="1228"/>
      <c r="AK222" s="1228"/>
      <c r="AL222" s="1228"/>
      <c r="AM222" s="1228"/>
      <c r="AN222" s="1228"/>
      <c r="AO222" s="1228"/>
    </row>
    <row r="223" spans="16:41">
      <c r="P223" s="1228"/>
      <c r="Q223" s="1228"/>
      <c r="X223" s="1228"/>
      <c r="Y223" s="1228"/>
      <c r="Z223" s="1228"/>
      <c r="AA223" s="1228"/>
      <c r="AB223" s="1228"/>
      <c r="AC223" s="1228"/>
      <c r="AD223" s="1228"/>
      <c r="AE223" s="1228"/>
      <c r="AF223" s="1228"/>
      <c r="AG223" s="1228"/>
      <c r="AH223" s="1228"/>
      <c r="AI223" s="1228"/>
      <c r="AJ223" s="1228"/>
      <c r="AK223" s="1228"/>
      <c r="AL223" s="1228"/>
      <c r="AM223" s="1228"/>
      <c r="AN223" s="1228"/>
      <c r="AO223" s="1228"/>
    </row>
    <row r="224" spans="16:41">
      <c r="P224" s="1228"/>
      <c r="Q224" s="1228"/>
      <c r="X224" s="1228"/>
      <c r="Y224" s="1228"/>
      <c r="Z224" s="1228"/>
      <c r="AA224" s="1228"/>
      <c r="AB224" s="1228"/>
      <c r="AC224" s="1228"/>
      <c r="AD224" s="1228"/>
      <c r="AE224" s="1228"/>
      <c r="AF224" s="1228"/>
      <c r="AG224" s="1228"/>
      <c r="AH224" s="1228"/>
      <c r="AI224" s="1228"/>
      <c r="AJ224" s="1228"/>
      <c r="AK224" s="1228"/>
      <c r="AL224" s="1228"/>
      <c r="AM224" s="1228"/>
      <c r="AN224" s="1228"/>
      <c r="AO224" s="1228"/>
    </row>
    <row r="225" spans="16:41">
      <c r="P225" s="1228"/>
      <c r="Q225" s="1228"/>
      <c r="X225" s="1228"/>
      <c r="Y225" s="1228"/>
      <c r="Z225" s="1228"/>
      <c r="AA225" s="1228"/>
      <c r="AB225" s="1228"/>
      <c r="AC225" s="1228"/>
      <c r="AD225" s="1228"/>
      <c r="AE225" s="1228"/>
      <c r="AF225" s="1228"/>
      <c r="AG225" s="1228"/>
      <c r="AH225" s="1228"/>
      <c r="AI225" s="1228"/>
      <c r="AJ225" s="1228"/>
      <c r="AK225" s="1228"/>
      <c r="AL225" s="1228"/>
      <c r="AM225" s="1228"/>
      <c r="AN225" s="1228"/>
      <c r="AO225" s="1228"/>
    </row>
    <row r="226" spans="16:41">
      <c r="P226" s="1228"/>
      <c r="Q226" s="1228"/>
      <c r="X226" s="1228"/>
      <c r="Y226" s="1228"/>
      <c r="Z226" s="1228"/>
      <c r="AA226" s="1228"/>
      <c r="AB226" s="1228"/>
      <c r="AC226" s="1228"/>
      <c r="AD226" s="1228"/>
      <c r="AE226" s="1228"/>
      <c r="AF226" s="1228"/>
      <c r="AG226" s="1228"/>
      <c r="AH226" s="1228"/>
      <c r="AI226" s="1228"/>
      <c r="AJ226" s="1228"/>
      <c r="AK226" s="1228"/>
      <c r="AL226" s="1228"/>
      <c r="AM226" s="1228"/>
      <c r="AN226" s="1228"/>
      <c r="AO226" s="1228"/>
    </row>
    <row r="227" spans="16:41">
      <c r="P227" s="1228"/>
      <c r="Q227" s="1228"/>
      <c r="X227" s="1228"/>
      <c r="Y227" s="1228"/>
      <c r="Z227" s="1228"/>
      <c r="AA227" s="1228"/>
      <c r="AB227" s="1228"/>
      <c r="AC227" s="1228"/>
      <c r="AD227" s="1228"/>
      <c r="AE227" s="1228"/>
      <c r="AF227" s="1228"/>
      <c r="AG227" s="1228"/>
      <c r="AH227" s="1228"/>
      <c r="AI227" s="1228"/>
      <c r="AJ227" s="1228"/>
      <c r="AK227" s="1228"/>
      <c r="AL227" s="1228"/>
      <c r="AM227" s="1228"/>
      <c r="AN227" s="1228"/>
      <c r="AO227" s="1228"/>
    </row>
    <row r="228" spans="16:41">
      <c r="P228" s="1228"/>
      <c r="Q228" s="1228"/>
      <c r="X228" s="1228"/>
      <c r="Y228" s="1228"/>
      <c r="Z228" s="1228"/>
      <c r="AA228" s="1228"/>
      <c r="AB228" s="1228"/>
      <c r="AC228" s="1228"/>
      <c r="AD228" s="1228"/>
      <c r="AE228" s="1228"/>
      <c r="AF228" s="1228"/>
      <c r="AG228" s="1228"/>
      <c r="AH228" s="1228"/>
      <c r="AI228" s="1228"/>
      <c r="AJ228" s="1228"/>
      <c r="AK228" s="1228"/>
      <c r="AL228" s="1228"/>
      <c r="AM228" s="1228"/>
      <c r="AN228" s="1228"/>
      <c r="AO228" s="1228"/>
    </row>
    <row r="229" spans="16:41">
      <c r="P229" s="1228"/>
      <c r="Q229" s="1228"/>
      <c r="X229" s="1228"/>
      <c r="Y229" s="1228"/>
      <c r="Z229" s="1228"/>
      <c r="AA229" s="1228"/>
      <c r="AB229" s="1228"/>
      <c r="AC229" s="1228"/>
      <c r="AD229" s="1228"/>
      <c r="AE229" s="1228"/>
      <c r="AF229" s="1228"/>
      <c r="AG229" s="1228"/>
      <c r="AH229" s="1228"/>
      <c r="AI229" s="1228"/>
      <c r="AJ229" s="1228"/>
      <c r="AK229" s="1228"/>
      <c r="AL229" s="1228"/>
      <c r="AM229" s="1228"/>
      <c r="AN229" s="1228"/>
      <c r="AO229" s="1228"/>
    </row>
    <row r="230" spans="16:41">
      <c r="P230" s="1228"/>
      <c r="Q230" s="1228"/>
      <c r="X230" s="1228"/>
      <c r="Y230" s="1228"/>
      <c r="Z230" s="1228"/>
      <c r="AA230" s="1228"/>
      <c r="AB230" s="1228"/>
      <c r="AC230" s="1228"/>
      <c r="AD230" s="1228"/>
      <c r="AE230" s="1228"/>
      <c r="AF230" s="1228"/>
      <c r="AG230" s="1228"/>
      <c r="AH230" s="1228"/>
      <c r="AI230" s="1228"/>
      <c r="AJ230" s="1228"/>
      <c r="AK230" s="1228"/>
      <c r="AL230" s="1228"/>
      <c r="AM230" s="1228"/>
      <c r="AN230" s="1228"/>
      <c r="AO230" s="1228"/>
    </row>
    <row r="231" spans="16:41">
      <c r="P231" s="1228"/>
      <c r="Q231" s="1228"/>
      <c r="X231" s="1228"/>
      <c r="Y231" s="1228"/>
      <c r="Z231" s="1228"/>
      <c r="AA231" s="1228"/>
      <c r="AB231" s="1228"/>
      <c r="AC231" s="1228"/>
      <c r="AD231" s="1228"/>
      <c r="AE231" s="1228"/>
      <c r="AF231" s="1228"/>
      <c r="AG231" s="1228"/>
      <c r="AH231" s="1228"/>
      <c r="AI231" s="1228"/>
      <c r="AJ231" s="1228"/>
      <c r="AK231" s="1228"/>
      <c r="AL231" s="1228"/>
      <c r="AM231" s="1228"/>
      <c r="AN231" s="1228"/>
      <c r="AO231" s="1228"/>
    </row>
    <row r="232" spans="16:41">
      <c r="P232" s="1228"/>
      <c r="Q232" s="1228"/>
      <c r="X232" s="1228"/>
      <c r="Y232" s="1228"/>
      <c r="Z232" s="1228"/>
      <c r="AA232" s="1228"/>
      <c r="AB232" s="1228"/>
      <c r="AC232" s="1228"/>
      <c r="AD232" s="1228"/>
      <c r="AE232" s="1228"/>
      <c r="AF232" s="1228"/>
      <c r="AG232" s="1228"/>
      <c r="AH232" s="1228"/>
      <c r="AI232" s="1228"/>
      <c r="AJ232" s="1228"/>
      <c r="AK232" s="1228"/>
      <c r="AL232" s="1228"/>
      <c r="AM232" s="1228"/>
      <c r="AN232" s="1228"/>
      <c r="AO232" s="1228"/>
    </row>
    <row r="233" spans="16:41">
      <c r="P233" s="1228"/>
      <c r="Q233" s="1228"/>
      <c r="X233" s="1228"/>
      <c r="Y233" s="1228"/>
      <c r="Z233" s="1228"/>
      <c r="AA233" s="1228"/>
      <c r="AB233" s="1228"/>
      <c r="AC233" s="1228"/>
      <c r="AD233" s="1228"/>
      <c r="AE233" s="1228"/>
      <c r="AF233" s="1228"/>
      <c r="AG233" s="1228"/>
      <c r="AH233" s="1228"/>
      <c r="AI233" s="1228"/>
      <c r="AJ233" s="1228"/>
      <c r="AK233" s="1228"/>
      <c r="AL233" s="1228"/>
      <c r="AM233" s="1228"/>
      <c r="AN233" s="1228"/>
      <c r="AO233" s="1228"/>
    </row>
    <row r="234" spans="16:41">
      <c r="P234" s="1228"/>
      <c r="Q234" s="1228"/>
      <c r="X234" s="1228"/>
      <c r="Y234" s="1228"/>
      <c r="Z234" s="1228"/>
      <c r="AA234" s="1228"/>
      <c r="AB234" s="1228"/>
      <c r="AC234" s="1228"/>
      <c r="AD234" s="1228"/>
      <c r="AE234" s="1228"/>
      <c r="AF234" s="1228"/>
      <c r="AG234" s="1228"/>
      <c r="AH234" s="1228"/>
      <c r="AI234" s="1228"/>
      <c r="AJ234" s="1228"/>
      <c r="AK234" s="1228"/>
      <c r="AL234" s="1228"/>
      <c r="AM234" s="1228"/>
      <c r="AN234" s="1228"/>
      <c r="AO234" s="1228"/>
    </row>
    <row r="235" spans="16:41">
      <c r="P235" s="1228"/>
      <c r="Q235" s="1228"/>
      <c r="X235" s="1228"/>
      <c r="Y235" s="1228"/>
      <c r="Z235" s="1228"/>
      <c r="AA235" s="1228"/>
      <c r="AB235" s="1228"/>
      <c r="AC235" s="1228"/>
      <c r="AD235" s="1228"/>
      <c r="AE235" s="1228"/>
      <c r="AF235" s="1228"/>
      <c r="AG235" s="1228"/>
      <c r="AH235" s="1228"/>
      <c r="AI235" s="1228"/>
      <c r="AJ235" s="1228"/>
      <c r="AK235" s="1228"/>
      <c r="AL235" s="1228"/>
      <c r="AM235" s="1228"/>
      <c r="AN235" s="1228"/>
      <c r="AO235" s="1228"/>
    </row>
    <row r="236" spans="16:41">
      <c r="P236" s="1228"/>
      <c r="Q236" s="1228"/>
      <c r="X236" s="1228"/>
      <c r="Y236" s="1228"/>
      <c r="Z236" s="1228"/>
      <c r="AA236" s="1228"/>
      <c r="AB236" s="1228"/>
      <c r="AC236" s="1228"/>
      <c r="AD236" s="1228"/>
      <c r="AE236" s="1228"/>
      <c r="AF236" s="1228"/>
      <c r="AG236" s="1228"/>
      <c r="AH236" s="1228"/>
      <c r="AI236" s="1228"/>
      <c r="AJ236" s="1228"/>
      <c r="AK236" s="1228"/>
      <c r="AL236" s="1228"/>
      <c r="AM236" s="1228"/>
      <c r="AN236" s="1228"/>
      <c r="AO236" s="1228"/>
    </row>
    <row r="237" spans="16:41">
      <c r="P237" s="1228"/>
      <c r="Q237" s="1228"/>
      <c r="X237" s="1228"/>
      <c r="Y237" s="1228"/>
      <c r="Z237" s="1228"/>
      <c r="AA237" s="1228"/>
      <c r="AB237" s="1228"/>
      <c r="AC237" s="1228"/>
      <c r="AD237" s="1228"/>
      <c r="AE237" s="1228"/>
      <c r="AF237" s="1228"/>
      <c r="AG237" s="1228"/>
      <c r="AH237" s="1228"/>
      <c r="AI237" s="1228"/>
      <c r="AJ237" s="1228"/>
      <c r="AK237" s="1228"/>
      <c r="AL237" s="1228"/>
      <c r="AM237" s="1228"/>
      <c r="AN237" s="1228"/>
      <c r="AO237" s="1228"/>
    </row>
    <row r="238" spans="16:41">
      <c r="P238" s="1228"/>
      <c r="Q238" s="1228"/>
      <c r="X238" s="1228"/>
      <c r="Y238" s="1228"/>
      <c r="Z238" s="1228"/>
      <c r="AA238" s="1228"/>
      <c r="AB238" s="1228"/>
      <c r="AC238" s="1228"/>
      <c r="AD238" s="1228"/>
      <c r="AE238" s="1228"/>
      <c r="AF238" s="1228"/>
      <c r="AG238" s="1228"/>
      <c r="AH238" s="1228"/>
      <c r="AI238" s="1228"/>
      <c r="AJ238" s="1228"/>
      <c r="AK238" s="1228"/>
      <c r="AL238" s="1228"/>
      <c r="AM238" s="1228"/>
      <c r="AN238" s="1228"/>
      <c r="AO238" s="1228"/>
    </row>
    <row r="239" spans="16:41">
      <c r="P239" s="1228"/>
      <c r="Q239" s="1228"/>
      <c r="X239" s="1228"/>
      <c r="Y239" s="1228"/>
      <c r="Z239" s="1228"/>
      <c r="AA239" s="1228"/>
      <c r="AB239" s="1228"/>
      <c r="AC239" s="1228"/>
      <c r="AD239" s="1228"/>
      <c r="AE239" s="1228"/>
      <c r="AF239" s="1228"/>
      <c r="AG239" s="1228"/>
      <c r="AH239" s="1228"/>
      <c r="AI239" s="1228"/>
      <c r="AJ239" s="1228"/>
      <c r="AK239" s="1228"/>
      <c r="AL239" s="1228"/>
      <c r="AM239" s="1228"/>
      <c r="AN239" s="1228"/>
      <c r="AO239" s="1228"/>
    </row>
    <row r="240" spans="16:41">
      <c r="P240" s="1228"/>
      <c r="Q240" s="1228"/>
      <c r="X240" s="1228"/>
      <c r="Y240" s="1228"/>
      <c r="Z240" s="1228"/>
      <c r="AA240" s="1228"/>
      <c r="AB240" s="1228"/>
      <c r="AC240" s="1228"/>
      <c r="AD240" s="1228"/>
      <c r="AE240" s="1228"/>
      <c r="AF240" s="1228"/>
      <c r="AG240" s="1228"/>
      <c r="AH240" s="1228"/>
      <c r="AI240" s="1228"/>
      <c r="AJ240" s="1228"/>
      <c r="AK240" s="1228"/>
      <c r="AL240" s="1228"/>
      <c r="AM240" s="1228"/>
      <c r="AN240" s="1228"/>
      <c r="AO240" s="1228"/>
    </row>
    <row r="241" spans="16:41">
      <c r="P241" s="1228"/>
      <c r="Q241" s="1228"/>
      <c r="X241" s="1228"/>
      <c r="Y241" s="1228"/>
      <c r="Z241" s="1228"/>
      <c r="AA241" s="1228"/>
      <c r="AB241" s="1228"/>
      <c r="AC241" s="1228"/>
      <c r="AD241" s="1228"/>
      <c r="AE241" s="1228"/>
      <c r="AF241" s="1228"/>
      <c r="AG241" s="1228"/>
      <c r="AH241" s="1228"/>
      <c r="AI241" s="1228"/>
      <c r="AJ241" s="1228"/>
      <c r="AK241" s="1228"/>
      <c r="AL241" s="1228"/>
      <c r="AM241" s="1228"/>
      <c r="AN241" s="1228"/>
      <c r="AO241" s="1228"/>
    </row>
    <row r="242" spans="16:41">
      <c r="P242" s="1228"/>
      <c r="Q242" s="1228"/>
      <c r="X242" s="1228"/>
      <c r="Y242" s="1228"/>
      <c r="Z242" s="1228"/>
      <c r="AA242" s="1228"/>
      <c r="AB242" s="1228"/>
      <c r="AC242" s="1228"/>
      <c r="AD242" s="1228"/>
      <c r="AE242" s="1228"/>
      <c r="AF242" s="1228"/>
      <c r="AG242" s="1228"/>
      <c r="AH242" s="1228"/>
      <c r="AI242" s="1228"/>
      <c r="AJ242" s="1228"/>
      <c r="AK242" s="1228"/>
      <c r="AL242" s="1228"/>
      <c r="AM242" s="1228"/>
      <c r="AN242" s="1228"/>
      <c r="AO242" s="1228"/>
    </row>
    <row r="243" spans="16:41">
      <c r="P243" s="1228"/>
      <c r="Q243" s="1228"/>
      <c r="X243" s="1228"/>
      <c r="Y243" s="1228"/>
      <c r="Z243" s="1228"/>
      <c r="AA243" s="1228"/>
      <c r="AB243" s="1228"/>
      <c r="AC243" s="1228"/>
      <c r="AD243" s="1228"/>
      <c r="AE243" s="1228"/>
      <c r="AF243" s="1228"/>
      <c r="AG243" s="1228"/>
      <c r="AH243" s="1228"/>
      <c r="AI243" s="1228"/>
      <c r="AJ243" s="1228"/>
      <c r="AK243" s="1228"/>
      <c r="AL243" s="1228"/>
      <c r="AM243" s="1228"/>
      <c r="AN243" s="1228"/>
      <c r="AO243" s="1228"/>
    </row>
    <row r="244" spans="16:41">
      <c r="P244" s="1228"/>
      <c r="Q244" s="1228"/>
      <c r="X244" s="1228"/>
      <c r="Y244" s="1228"/>
      <c r="Z244" s="1228"/>
      <c r="AA244" s="1228"/>
      <c r="AB244" s="1228"/>
      <c r="AC244" s="1228"/>
      <c r="AD244" s="1228"/>
      <c r="AE244" s="1228"/>
      <c r="AF244" s="1228"/>
      <c r="AG244" s="1228"/>
      <c r="AH244" s="1228"/>
      <c r="AI244" s="1228"/>
      <c r="AJ244" s="1228"/>
      <c r="AK244" s="1228"/>
      <c r="AL244" s="1228"/>
      <c r="AM244" s="1228"/>
      <c r="AN244" s="1228"/>
      <c r="AO244" s="1228"/>
    </row>
    <row r="245" spans="16:41">
      <c r="P245" s="1228"/>
      <c r="Q245" s="1228"/>
      <c r="X245" s="1228"/>
      <c r="Y245" s="1228"/>
      <c r="Z245" s="1228"/>
      <c r="AA245" s="1228"/>
      <c r="AB245" s="1228"/>
      <c r="AC245" s="1228"/>
      <c r="AD245" s="1228"/>
      <c r="AE245" s="1228"/>
      <c r="AF245" s="1228"/>
      <c r="AG245" s="1228"/>
      <c r="AH245" s="1228"/>
      <c r="AI245" s="1228"/>
      <c r="AJ245" s="1228"/>
      <c r="AK245" s="1228"/>
      <c r="AL245" s="1228"/>
      <c r="AM245" s="1228"/>
      <c r="AN245" s="1228"/>
      <c r="AO245" s="1228"/>
    </row>
    <row r="246" spans="16:41">
      <c r="P246" s="1228"/>
      <c r="Q246" s="1228"/>
      <c r="X246" s="1228"/>
      <c r="Y246" s="1228"/>
      <c r="Z246" s="1228"/>
      <c r="AA246" s="1228"/>
      <c r="AB246" s="1228"/>
      <c r="AC246" s="1228"/>
      <c r="AD246" s="1228"/>
      <c r="AE246" s="1228"/>
      <c r="AF246" s="1228"/>
      <c r="AG246" s="1228"/>
      <c r="AH246" s="1228"/>
      <c r="AI246" s="1228"/>
      <c r="AJ246" s="1228"/>
      <c r="AK246" s="1228"/>
      <c r="AL246" s="1228"/>
      <c r="AM246" s="1228"/>
      <c r="AN246" s="1228"/>
      <c r="AO246" s="1228"/>
    </row>
    <row r="247" spans="16:41">
      <c r="P247" s="1228"/>
      <c r="Q247" s="1228"/>
      <c r="X247" s="1228"/>
      <c r="Y247" s="1228"/>
      <c r="Z247" s="1228"/>
      <c r="AA247" s="1228"/>
      <c r="AB247" s="1228"/>
      <c r="AC247" s="1228"/>
      <c r="AD247" s="1228"/>
      <c r="AE247" s="1228"/>
      <c r="AF247" s="1228"/>
      <c r="AG247" s="1228"/>
      <c r="AH247" s="1228"/>
      <c r="AI247" s="1228"/>
      <c r="AJ247" s="1228"/>
      <c r="AK247" s="1228"/>
      <c r="AL247" s="1228"/>
      <c r="AM247" s="1228"/>
      <c r="AN247" s="1228"/>
      <c r="AO247" s="1228"/>
    </row>
    <row r="248" spans="16:41">
      <c r="P248" s="1228"/>
      <c r="Q248" s="1228"/>
      <c r="X248" s="1228"/>
      <c r="Y248" s="1228"/>
      <c r="Z248" s="1228"/>
      <c r="AA248" s="1228"/>
      <c r="AB248" s="1228"/>
      <c r="AC248" s="1228"/>
      <c r="AD248" s="1228"/>
      <c r="AE248" s="1228"/>
      <c r="AF248" s="1228"/>
      <c r="AG248" s="1228"/>
      <c r="AH248" s="1228"/>
      <c r="AI248" s="1228"/>
      <c r="AJ248" s="1228"/>
      <c r="AK248" s="1228"/>
      <c r="AL248" s="1228"/>
      <c r="AM248" s="1228"/>
      <c r="AN248" s="1228"/>
      <c r="AO248" s="1228"/>
    </row>
    <row r="249" spans="16:41">
      <c r="P249" s="1228"/>
      <c r="Q249" s="1228"/>
      <c r="X249" s="1228"/>
      <c r="Y249" s="1228"/>
      <c r="Z249" s="1228"/>
      <c r="AA249" s="1228"/>
      <c r="AB249" s="1228"/>
      <c r="AC249" s="1228"/>
      <c r="AD249" s="1228"/>
      <c r="AE249" s="1228"/>
      <c r="AF249" s="1228"/>
      <c r="AG249" s="1228"/>
      <c r="AH249" s="1228"/>
      <c r="AI249" s="1228"/>
      <c r="AJ249" s="1228"/>
      <c r="AK249" s="1228"/>
      <c r="AL249" s="1228"/>
      <c r="AM249" s="1228"/>
      <c r="AN249" s="1228"/>
      <c r="AO249" s="1228"/>
    </row>
    <row r="250" spans="16:41">
      <c r="P250" s="1228"/>
      <c r="Q250" s="1228"/>
      <c r="X250" s="1228"/>
      <c r="Y250" s="1228"/>
      <c r="Z250" s="1228"/>
      <c r="AA250" s="1228"/>
      <c r="AB250" s="1228"/>
      <c r="AC250" s="1228"/>
      <c r="AD250" s="1228"/>
      <c r="AE250" s="1228"/>
      <c r="AF250" s="1228"/>
      <c r="AG250" s="1228"/>
      <c r="AH250" s="1228"/>
      <c r="AI250" s="1228"/>
      <c r="AJ250" s="1228"/>
      <c r="AK250" s="1228"/>
      <c r="AL250" s="1228"/>
      <c r="AM250" s="1228"/>
      <c r="AN250" s="1228"/>
      <c r="AO250" s="1228"/>
    </row>
    <row r="251" spans="16:41">
      <c r="P251" s="1228"/>
      <c r="Q251" s="1228"/>
      <c r="X251" s="1228"/>
      <c r="Y251" s="1228"/>
      <c r="Z251" s="1228"/>
      <c r="AA251" s="1228"/>
      <c r="AB251" s="1228"/>
      <c r="AC251" s="1228"/>
      <c r="AD251" s="1228"/>
      <c r="AE251" s="1228"/>
      <c r="AF251" s="1228"/>
      <c r="AG251" s="1228"/>
      <c r="AH251" s="1228"/>
      <c r="AI251" s="1228"/>
      <c r="AJ251" s="1228"/>
      <c r="AK251" s="1228"/>
      <c r="AL251" s="1228"/>
      <c r="AM251" s="1228"/>
      <c r="AN251" s="1228"/>
      <c r="AO251" s="1228"/>
    </row>
    <row r="252" spans="16:41">
      <c r="P252" s="1228"/>
      <c r="Q252" s="1228"/>
      <c r="X252" s="1228"/>
      <c r="Y252" s="1228"/>
      <c r="Z252" s="1228"/>
      <c r="AA252" s="1228"/>
      <c r="AB252" s="1228"/>
      <c r="AC252" s="1228"/>
      <c r="AD252" s="1228"/>
      <c r="AE252" s="1228"/>
      <c r="AF252" s="1228"/>
      <c r="AG252" s="1228"/>
      <c r="AH252" s="1228"/>
      <c r="AI252" s="1228"/>
      <c r="AJ252" s="1228"/>
      <c r="AK252" s="1228"/>
      <c r="AL252" s="1228"/>
      <c r="AM252" s="1228"/>
      <c r="AN252" s="1228"/>
      <c r="AO252" s="1228"/>
    </row>
    <row r="253" spans="16:41">
      <c r="P253" s="1228"/>
      <c r="Q253" s="1228"/>
      <c r="X253" s="1228"/>
      <c r="Y253" s="1228"/>
      <c r="Z253" s="1228"/>
      <c r="AA253" s="1228"/>
      <c r="AB253" s="1228"/>
      <c r="AC253" s="1228"/>
      <c r="AD253" s="1228"/>
      <c r="AE253" s="1228"/>
      <c r="AF253" s="1228"/>
      <c r="AG253" s="1228"/>
      <c r="AH253" s="1228"/>
      <c r="AI253" s="1228"/>
      <c r="AJ253" s="1228"/>
      <c r="AK253" s="1228"/>
      <c r="AL253" s="1228"/>
      <c r="AM253" s="1228"/>
      <c r="AN253" s="1228"/>
      <c r="AO253" s="1228"/>
    </row>
    <row r="254" spans="16:41">
      <c r="P254" s="1228"/>
      <c r="Q254" s="1228"/>
      <c r="X254" s="1228"/>
      <c r="Y254" s="1228"/>
      <c r="Z254" s="1228"/>
      <c r="AA254" s="1228"/>
      <c r="AB254" s="1228"/>
      <c r="AC254" s="1228"/>
      <c r="AD254" s="1228"/>
      <c r="AE254" s="1228"/>
      <c r="AF254" s="1228"/>
      <c r="AG254" s="1228"/>
      <c r="AH254" s="1228"/>
      <c r="AI254" s="1228"/>
      <c r="AJ254" s="1228"/>
      <c r="AK254" s="1228"/>
      <c r="AL254" s="1228"/>
      <c r="AM254" s="1228"/>
      <c r="AN254" s="1228"/>
      <c r="AO254" s="1228"/>
    </row>
    <row r="255" spans="16:41">
      <c r="P255" s="1228"/>
      <c r="Q255" s="1228"/>
      <c r="X255" s="1228"/>
      <c r="Y255" s="1228"/>
      <c r="Z255" s="1228"/>
      <c r="AA255" s="1228"/>
      <c r="AB255" s="1228"/>
      <c r="AC255" s="1228"/>
      <c r="AD255" s="1228"/>
      <c r="AE255" s="1228"/>
      <c r="AF255" s="1228"/>
      <c r="AG255" s="1228"/>
      <c r="AH255" s="1228"/>
      <c r="AI255" s="1228"/>
      <c r="AJ255" s="1228"/>
      <c r="AK255" s="1228"/>
      <c r="AL255" s="1228"/>
      <c r="AM255" s="1228"/>
      <c r="AN255" s="1228"/>
      <c r="AO255" s="1228"/>
    </row>
    <row r="256" spans="16:41">
      <c r="P256" s="1228"/>
      <c r="Q256" s="1228"/>
      <c r="X256" s="1228"/>
      <c r="Y256" s="1228"/>
      <c r="Z256" s="1228"/>
      <c r="AA256" s="1228"/>
      <c r="AB256" s="1228"/>
      <c r="AC256" s="1228"/>
      <c r="AD256" s="1228"/>
      <c r="AE256" s="1228"/>
      <c r="AF256" s="1228"/>
      <c r="AG256" s="1228"/>
      <c r="AH256" s="1228"/>
      <c r="AI256" s="1228"/>
      <c r="AJ256" s="1228"/>
      <c r="AK256" s="1228"/>
      <c r="AL256" s="1228"/>
      <c r="AM256" s="1228"/>
      <c r="AN256" s="1228"/>
      <c r="AO256" s="1228"/>
    </row>
    <row r="257" spans="16:41">
      <c r="P257" s="1228"/>
      <c r="Q257" s="1228"/>
      <c r="X257" s="1228"/>
      <c r="Y257" s="1228"/>
      <c r="Z257" s="1228"/>
      <c r="AA257" s="1228"/>
      <c r="AB257" s="1228"/>
      <c r="AC257" s="1228"/>
      <c r="AD257" s="1228"/>
      <c r="AE257" s="1228"/>
      <c r="AF257" s="1228"/>
      <c r="AG257" s="1228"/>
      <c r="AH257" s="1228"/>
      <c r="AI257" s="1228"/>
      <c r="AJ257" s="1228"/>
      <c r="AK257" s="1228"/>
      <c r="AL257" s="1228"/>
      <c r="AM257" s="1228"/>
      <c r="AN257" s="1228"/>
      <c r="AO257" s="1228"/>
    </row>
    <row r="258" spans="16:41">
      <c r="P258" s="1228"/>
      <c r="Q258" s="1228"/>
      <c r="X258" s="1228"/>
      <c r="Y258" s="1228"/>
      <c r="Z258" s="1228"/>
      <c r="AA258" s="1228"/>
      <c r="AB258" s="1228"/>
      <c r="AC258" s="1228"/>
      <c r="AD258" s="1228"/>
      <c r="AE258" s="1228"/>
      <c r="AF258" s="1228"/>
      <c r="AG258" s="1228"/>
      <c r="AH258" s="1228"/>
      <c r="AI258" s="1228"/>
      <c r="AJ258" s="1228"/>
      <c r="AK258" s="1228"/>
      <c r="AL258" s="1228"/>
      <c r="AM258" s="1228"/>
      <c r="AN258" s="1228"/>
      <c r="AO258" s="1228"/>
    </row>
    <row r="259" spans="16:41">
      <c r="P259" s="1228"/>
      <c r="Q259" s="1228"/>
      <c r="X259" s="1228"/>
      <c r="Y259" s="1228"/>
      <c r="Z259" s="1228"/>
      <c r="AA259" s="1228"/>
      <c r="AB259" s="1228"/>
      <c r="AC259" s="1228"/>
      <c r="AD259" s="1228"/>
      <c r="AE259" s="1228"/>
      <c r="AF259" s="1228"/>
      <c r="AG259" s="1228"/>
      <c r="AH259" s="1228"/>
      <c r="AI259" s="1228"/>
      <c r="AJ259" s="1228"/>
      <c r="AK259" s="1228"/>
      <c r="AL259" s="1228"/>
      <c r="AM259" s="1228"/>
      <c r="AN259" s="1228"/>
      <c r="AO259" s="1228"/>
    </row>
    <row r="260" spans="16:41">
      <c r="P260" s="1228"/>
      <c r="Q260" s="1228"/>
      <c r="X260" s="1228"/>
      <c r="Y260" s="1228"/>
      <c r="Z260" s="1228"/>
      <c r="AA260" s="1228"/>
      <c r="AB260" s="1228"/>
      <c r="AC260" s="1228"/>
      <c r="AD260" s="1228"/>
      <c r="AE260" s="1228"/>
      <c r="AF260" s="1228"/>
      <c r="AG260" s="1228"/>
      <c r="AH260" s="1228"/>
      <c r="AI260" s="1228"/>
      <c r="AJ260" s="1228"/>
      <c r="AK260" s="1228"/>
      <c r="AL260" s="1228"/>
      <c r="AM260" s="1228"/>
      <c r="AN260" s="1228"/>
      <c r="AO260" s="1228"/>
    </row>
    <row r="261" spans="16:41">
      <c r="P261" s="1228"/>
      <c r="Q261" s="1228"/>
      <c r="X261" s="1228"/>
      <c r="Y261" s="1228"/>
      <c r="Z261" s="1228"/>
      <c r="AA261" s="1228"/>
      <c r="AB261" s="1228"/>
      <c r="AC261" s="1228"/>
      <c r="AD261" s="1228"/>
      <c r="AE261" s="1228"/>
      <c r="AF261" s="1228"/>
      <c r="AG261" s="1228"/>
      <c r="AH261" s="1228"/>
      <c r="AI261" s="1228"/>
      <c r="AJ261" s="1228"/>
      <c r="AK261" s="1228"/>
      <c r="AL261" s="1228"/>
      <c r="AM261" s="1228"/>
      <c r="AN261" s="1228"/>
      <c r="AO261" s="1228"/>
    </row>
    <row r="262" spans="16:41">
      <c r="P262" s="1228"/>
      <c r="Q262" s="1228"/>
      <c r="X262" s="1228"/>
      <c r="Y262" s="1228"/>
      <c r="Z262" s="1228"/>
      <c r="AA262" s="1228"/>
      <c r="AB262" s="1228"/>
      <c r="AC262" s="1228"/>
      <c r="AD262" s="1228"/>
      <c r="AE262" s="1228"/>
      <c r="AF262" s="1228"/>
      <c r="AG262" s="1228"/>
      <c r="AH262" s="1228"/>
      <c r="AI262" s="1228"/>
      <c r="AJ262" s="1228"/>
      <c r="AK262" s="1228"/>
      <c r="AL262" s="1228"/>
      <c r="AM262" s="1228"/>
      <c r="AN262" s="1228"/>
      <c r="AO262" s="1228"/>
    </row>
    <row r="263" spans="16:41">
      <c r="P263" s="1228"/>
      <c r="Q263" s="1228"/>
      <c r="X263" s="1228"/>
      <c r="Y263" s="1228"/>
      <c r="Z263" s="1228"/>
      <c r="AA263" s="1228"/>
      <c r="AB263" s="1228"/>
      <c r="AC263" s="1228"/>
      <c r="AD263" s="1228"/>
      <c r="AE263" s="1228"/>
      <c r="AF263" s="1228"/>
      <c r="AG263" s="1228"/>
      <c r="AH263" s="1228"/>
      <c r="AI263" s="1228"/>
      <c r="AJ263" s="1228"/>
      <c r="AK263" s="1228"/>
      <c r="AL263" s="1228"/>
      <c r="AM263" s="1228"/>
      <c r="AN263" s="1228"/>
      <c r="AO263" s="1228"/>
    </row>
    <row r="264" spans="16:41">
      <c r="P264" s="1228"/>
      <c r="Q264" s="1228"/>
      <c r="X264" s="1228"/>
      <c r="Y264" s="1228"/>
      <c r="Z264" s="1228"/>
      <c r="AA264" s="1228"/>
      <c r="AB264" s="1228"/>
      <c r="AC264" s="1228"/>
      <c r="AD264" s="1228"/>
      <c r="AE264" s="1228"/>
      <c r="AF264" s="1228"/>
      <c r="AG264" s="1228"/>
      <c r="AH264" s="1228"/>
      <c r="AI264" s="1228"/>
      <c r="AJ264" s="1228"/>
      <c r="AK264" s="1228"/>
      <c r="AL264" s="1228"/>
      <c r="AM264" s="1228"/>
      <c r="AN264" s="1228"/>
      <c r="AO264" s="1228"/>
    </row>
    <row r="265" spans="16:41">
      <c r="P265" s="1228"/>
      <c r="Q265" s="1228"/>
      <c r="X265" s="1228"/>
      <c r="Y265" s="1228"/>
      <c r="Z265" s="1228"/>
      <c r="AA265" s="1228"/>
      <c r="AB265" s="1228"/>
      <c r="AC265" s="1228"/>
      <c r="AD265" s="1228"/>
      <c r="AE265" s="1228"/>
      <c r="AF265" s="1228"/>
      <c r="AG265" s="1228"/>
      <c r="AH265" s="1228"/>
      <c r="AI265" s="1228"/>
      <c r="AJ265" s="1228"/>
      <c r="AK265" s="1228"/>
      <c r="AL265" s="1228"/>
      <c r="AM265" s="1228"/>
      <c r="AN265" s="1228"/>
      <c r="AO265" s="1228"/>
    </row>
    <row r="266" spans="16:41">
      <c r="P266" s="1228"/>
      <c r="Q266" s="1228"/>
      <c r="X266" s="1228"/>
      <c r="Y266" s="1228"/>
      <c r="Z266" s="1228"/>
      <c r="AA266" s="1228"/>
      <c r="AB266" s="1228"/>
      <c r="AC266" s="1228"/>
      <c r="AD266" s="1228"/>
      <c r="AE266" s="1228"/>
      <c r="AF266" s="1228"/>
      <c r="AG266" s="1228"/>
      <c r="AH266" s="1228"/>
      <c r="AI266" s="1228"/>
      <c r="AJ266" s="1228"/>
      <c r="AK266" s="1228"/>
      <c r="AL266" s="1228"/>
      <c r="AM266" s="1228"/>
      <c r="AN266" s="1228"/>
      <c r="AO266" s="1228"/>
    </row>
    <row r="267" spans="16:41">
      <c r="P267" s="1228"/>
      <c r="Q267" s="1228"/>
      <c r="X267" s="1228"/>
      <c r="Y267" s="1228"/>
      <c r="Z267" s="1228"/>
      <c r="AA267" s="1228"/>
      <c r="AB267" s="1228"/>
      <c r="AC267" s="1228"/>
      <c r="AD267" s="1228"/>
      <c r="AE267" s="1228"/>
      <c r="AF267" s="1228"/>
      <c r="AG267" s="1228"/>
      <c r="AH267" s="1228"/>
      <c r="AI267" s="1228"/>
      <c r="AJ267" s="1228"/>
      <c r="AK267" s="1228"/>
      <c r="AL267" s="1228"/>
      <c r="AM267" s="1228"/>
      <c r="AN267" s="1228"/>
      <c r="AO267" s="1228"/>
    </row>
    <row r="268" spans="16:41">
      <c r="P268" s="1228"/>
      <c r="Q268" s="1228"/>
      <c r="X268" s="1228"/>
      <c r="Y268" s="1228"/>
      <c r="Z268" s="1228"/>
      <c r="AA268" s="1228"/>
      <c r="AB268" s="1228"/>
      <c r="AC268" s="1228"/>
      <c r="AD268" s="1228"/>
      <c r="AE268" s="1228"/>
      <c r="AF268" s="1228"/>
      <c r="AG268" s="1228"/>
      <c r="AH268" s="1228"/>
      <c r="AI268" s="1228"/>
      <c r="AJ268" s="1228"/>
      <c r="AK268" s="1228"/>
      <c r="AL268" s="1228"/>
      <c r="AM268" s="1228"/>
      <c r="AN268" s="1228"/>
      <c r="AO268" s="1228"/>
    </row>
    <row r="269" spans="16:41">
      <c r="P269" s="1228"/>
      <c r="Q269" s="1228"/>
      <c r="X269" s="1228"/>
      <c r="Y269" s="1228"/>
      <c r="Z269" s="1228"/>
      <c r="AA269" s="1228"/>
      <c r="AB269" s="1228"/>
      <c r="AC269" s="1228"/>
      <c r="AD269" s="1228"/>
      <c r="AE269" s="1228"/>
      <c r="AF269" s="1228"/>
      <c r="AG269" s="1228"/>
      <c r="AH269" s="1228"/>
      <c r="AI269" s="1228"/>
      <c r="AJ269" s="1228"/>
      <c r="AK269" s="1228"/>
      <c r="AL269" s="1228"/>
      <c r="AM269" s="1228"/>
      <c r="AN269" s="1228"/>
      <c r="AO269" s="1228"/>
    </row>
    <row r="270" spans="16:41">
      <c r="P270" s="1228"/>
      <c r="Q270" s="1228"/>
      <c r="X270" s="1228"/>
      <c r="Y270" s="1228"/>
      <c r="Z270" s="1228"/>
      <c r="AA270" s="1228"/>
      <c r="AB270" s="1228"/>
      <c r="AC270" s="1228"/>
      <c r="AD270" s="1228"/>
      <c r="AE270" s="1228"/>
      <c r="AF270" s="1228"/>
      <c r="AG270" s="1228"/>
      <c r="AH270" s="1228"/>
      <c r="AI270" s="1228"/>
      <c r="AJ270" s="1228"/>
      <c r="AK270" s="1228"/>
      <c r="AL270" s="1228"/>
      <c r="AM270" s="1228"/>
      <c r="AN270" s="1228"/>
      <c r="AO270" s="1228"/>
    </row>
    <row r="271" spans="16:41">
      <c r="P271" s="1228"/>
      <c r="Q271" s="1228"/>
      <c r="X271" s="1228"/>
      <c r="Y271" s="1228"/>
      <c r="Z271" s="1228"/>
      <c r="AA271" s="1228"/>
      <c r="AB271" s="1228"/>
      <c r="AC271" s="1228"/>
      <c r="AD271" s="1228"/>
      <c r="AE271" s="1228"/>
      <c r="AF271" s="1228"/>
      <c r="AG271" s="1228"/>
      <c r="AH271" s="1228"/>
      <c r="AI271" s="1228"/>
      <c r="AJ271" s="1228"/>
      <c r="AK271" s="1228"/>
      <c r="AL271" s="1228"/>
      <c r="AM271" s="1228"/>
      <c r="AN271" s="1228"/>
      <c r="AO271" s="1228"/>
    </row>
    <row r="272" spans="16:41">
      <c r="P272" s="1228"/>
      <c r="Q272" s="1228"/>
      <c r="X272" s="1228"/>
      <c r="Y272" s="1228"/>
      <c r="Z272" s="1228"/>
      <c r="AA272" s="1228"/>
      <c r="AB272" s="1228"/>
      <c r="AC272" s="1228"/>
      <c r="AD272" s="1228"/>
      <c r="AE272" s="1228"/>
      <c r="AF272" s="1228"/>
      <c r="AG272" s="1228"/>
      <c r="AH272" s="1228"/>
      <c r="AI272" s="1228"/>
      <c r="AJ272" s="1228"/>
      <c r="AK272" s="1228"/>
      <c r="AL272" s="1228"/>
      <c r="AM272" s="1228"/>
      <c r="AN272" s="1228"/>
      <c r="AO272" s="1228"/>
    </row>
    <row r="273" spans="16:41">
      <c r="P273" s="1228"/>
      <c r="Q273" s="1228"/>
      <c r="X273" s="1228"/>
      <c r="Y273" s="1228"/>
      <c r="Z273" s="1228"/>
      <c r="AA273" s="1228"/>
      <c r="AB273" s="1228"/>
      <c r="AC273" s="1228"/>
      <c r="AD273" s="1228"/>
      <c r="AE273" s="1228"/>
      <c r="AF273" s="1228"/>
      <c r="AG273" s="1228"/>
      <c r="AH273" s="1228"/>
      <c r="AI273" s="1228"/>
      <c r="AJ273" s="1228"/>
      <c r="AK273" s="1228"/>
      <c r="AL273" s="1228"/>
      <c r="AM273" s="1228"/>
      <c r="AN273" s="1228"/>
      <c r="AO273" s="1228"/>
    </row>
    <row r="274" spans="16:41">
      <c r="P274" s="1228"/>
      <c r="Q274" s="1228"/>
      <c r="X274" s="1228"/>
      <c r="Y274" s="1228"/>
      <c r="Z274" s="1228"/>
      <c r="AA274" s="1228"/>
      <c r="AB274" s="1228"/>
      <c r="AC274" s="1228"/>
      <c r="AD274" s="1228"/>
      <c r="AE274" s="1228"/>
      <c r="AF274" s="1228"/>
      <c r="AG274" s="1228"/>
      <c r="AH274" s="1228"/>
      <c r="AI274" s="1228"/>
      <c r="AJ274" s="1228"/>
      <c r="AK274" s="1228"/>
      <c r="AL274" s="1228"/>
      <c r="AM274" s="1228"/>
      <c r="AN274" s="1228"/>
      <c r="AO274" s="1228"/>
    </row>
    <row r="275" spans="16:41">
      <c r="P275" s="1228"/>
      <c r="Q275" s="1228"/>
      <c r="X275" s="1228"/>
      <c r="Y275" s="1228"/>
      <c r="Z275" s="1228"/>
      <c r="AA275" s="1228"/>
      <c r="AB275" s="1228"/>
      <c r="AC275" s="1228"/>
      <c r="AD275" s="1228"/>
      <c r="AE275" s="1228"/>
      <c r="AF275" s="1228"/>
      <c r="AG275" s="1228"/>
      <c r="AH275" s="1228"/>
      <c r="AI275" s="1228"/>
      <c r="AJ275" s="1228"/>
      <c r="AK275" s="1228"/>
      <c r="AL275" s="1228"/>
      <c r="AM275" s="1228"/>
      <c r="AN275" s="1228"/>
      <c r="AO275" s="1228"/>
    </row>
    <row r="276" spans="16:41">
      <c r="P276" s="1228"/>
      <c r="Q276" s="1228"/>
      <c r="X276" s="1228"/>
      <c r="Y276" s="1228"/>
      <c r="Z276" s="1228"/>
      <c r="AA276" s="1228"/>
      <c r="AB276" s="1228"/>
      <c r="AC276" s="1228"/>
      <c r="AD276" s="1228"/>
      <c r="AE276" s="1228"/>
      <c r="AF276" s="1228"/>
      <c r="AG276" s="1228"/>
      <c r="AH276" s="1228"/>
      <c r="AI276" s="1228"/>
      <c r="AJ276" s="1228"/>
      <c r="AK276" s="1228"/>
      <c r="AL276" s="1228"/>
      <c r="AM276" s="1228"/>
      <c r="AN276" s="1228"/>
      <c r="AO276" s="1228"/>
    </row>
    <row r="277" spans="16:41">
      <c r="P277" s="1228"/>
      <c r="Q277" s="1228"/>
      <c r="X277" s="1228"/>
      <c r="Y277" s="1228"/>
      <c r="Z277" s="1228"/>
      <c r="AA277" s="1228"/>
      <c r="AB277" s="1228"/>
      <c r="AC277" s="1228"/>
      <c r="AD277" s="1228"/>
      <c r="AE277" s="1228"/>
      <c r="AF277" s="1228"/>
      <c r="AG277" s="1228"/>
      <c r="AH277" s="1228"/>
      <c r="AI277" s="1228"/>
      <c r="AJ277" s="1228"/>
      <c r="AK277" s="1228"/>
      <c r="AL277" s="1228"/>
      <c r="AM277" s="1228"/>
      <c r="AN277" s="1228"/>
      <c r="AO277" s="1228"/>
    </row>
    <row r="278" spans="16:41">
      <c r="P278" s="1228"/>
      <c r="Q278" s="1228"/>
      <c r="X278" s="1228"/>
      <c r="Y278" s="1228"/>
      <c r="Z278" s="1228"/>
      <c r="AA278" s="1228"/>
      <c r="AB278" s="1228"/>
      <c r="AC278" s="1228"/>
      <c r="AD278" s="1228"/>
      <c r="AE278" s="1228"/>
      <c r="AF278" s="1228"/>
      <c r="AG278" s="1228"/>
      <c r="AH278" s="1228"/>
      <c r="AI278" s="1228"/>
      <c r="AJ278" s="1228"/>
      <c r="AK278" s="1228"/>
      <c r="AL278" s="1228"/>
      <c r="AM278" s="1228"/>
      <c r="AN278" s="1228"/>
      <c r="AO278" s="1228"/>
    </row>
    <row r="279" spans="16:41">
      <c r="P279" s="1228"/>
      <c r="Q279" s="1228"/>
      <c r="X279" s="1228"/>
      <c r="Y279" s="1228"/>
      <c r="Z279" s="1228"/>
      <c r="AA279" s="1228"/>
      <c r="AB279" s="1228"/>
      <c r="AC279" s="1228"/>
      <c r="AD279" s="1228"/>
      <c r="AE279" s="1228"/>
      <c r="AF279" s="1228"/>
      <c r="AG279" s="1228"/>
      <c r="AH279" s="1228"/>
      <c r="AI279" s="1228"/>
      <c r="AJ279" s="1228"/>
      <c r="AK279" s="1228"/>
      <c r="AL279" s="1228"/>
      <c r="AM279" s="1228"/>
      <c r="AN279" s="1228"/>
      <c r="AO279" s="1228"/>
    </row>
    <row r="280" spans="16:41">
      <c r="P280" s="1228"/>
      <c r="Q280" s="1228"/>
      <c r="X280" s="1228"/>
      <c r="Y280" s="1228"/>
      <c r="Z280" s="1228"/>
      <c r="AA280" s="1228"/>
      <c r="AB280" s="1228"/>
      <c r="AC280" s="1228"/>
      <c r="AD280" s="1228"/>
      <c r="AE280" s="1228"/>
      <c r="AF280" s="1228"/>
      <c r="AG280" s="1228"/>
      <c r="AH280" s="1228"/>
      <c r="AI280" s="1228"/>
      <c r="AJ280" s="1228"/>
      <c r="AK280" s="1228"/>
      <c r="AL280" s="1228"/>
      <c r="AM280" s="1228"/>
      <c r="AN280" s="1228"/>
      <c r="AO280" s="1228"/>
    </row>
    <row r="281" spans="16:41">
      <c r="P281" s="1228"/>
      <c r="Q281" s="1228"/>
      <c r="X281" s="1228"/>
      <c r="Y281" s="1228"/>
      <c r="Z281" s="1228"/>
      <c r="AA281" s="1228"/>
      <c r="AB281" s="1228"/>
      <c r="AC281" s="1228"/>
      <c r="AD281" s="1228"/>
      <c r="AE281" s="1228"/>
      <c r="AF281" s="1228"/>
      <c r="AG281" s="1228"/>
      <c r="AH281" s="1228"/>
      <c r="AI281" s="1228"/>
      <c r="AJ281" s="1228"/>
      <c r="AK281" s="1228"/>
      <c r="AL281" s="1228"/>
      <c r="AM281" s="1228"/>
      <c r="AN281" s="1228"/>
      <c r="AO281" s="1228"/>
    </row>
    <row r="282" spans="16:41">
      <c r="P282" s="1228"/>
      <c r="Q282" s="1228"/>
      <c r="X282" s="1228"/>
      <c r="Y282" s="1228"/>
      <c r="Z282" s="1228"/>
      <c r="AA282" s="1228"/>
      <c r="AB282" s="1228"/>
      <c r="AC282" s="1228"/>
      <c r="AD282" s="1228"/>
      <c r="AE282" s="1228"/>
      <c r="AF282" s="1228"/>
      <c r="AG282" s="1228"/>
      <c r="AH282" s="1228"/>
      <c r="AI282" s="1228"/>
      <c r="AJ282" s="1228"/>
      <c r="AK282" s="1228"/>
      <c r="AL282" s="1228"/>
      <c r="AM282" s="1228"/>
      <c r="AN282" s="1228"/>
      <c r="AO282" s="1228"/>
    </row>
    <row r="283" spans="16:41">
      <c r="P283" s="1228"/>
      <c r="Q283" s="1228"/>
      <c r="X283" s="1228"/>
      <c r="Y283" s="1228"/>
      <c r="Z283" s="1228"/>
      <c r="AA283" s="1228"/>
      <c r="AB283" s="1228"/>
      <c r="AC283" s="1228"/>
      <c r="AD283" s="1228"/>
      <c r="AE283" s="1228"/>
      <c r="AF283" s="1228"/>
      <c r="AG283" s="1228"/>
      <c r="AH283" s="1228"/>
      <c r="AI283" s="1228"/>
      <c r="AJ283" s="1228"/>
      <c r="AK283" s="1228"/>
      <c r="AL283" s="1228"/>
      <c r="AM283" s="1228"/>
      <c r="AN283" s="1228"/>
      <c r="AO283" s="1228"/>
    </row>
    <row r="284" spans="16:41">
      <c r="P284" s="1228"/>
      <c r="Q284" s="1228"/>
      <c r="X284" s="1228"/>
      <c r="Y284" s="1228"/>
      <c r="Z284" s="1228"/>
      <c r="AA284" s="1228"/>
      <c r="AB284" s="1228"/>
      <c r="AC284" s="1228"/>
      <c r="AD284" s="1228"/>
      <c r="AE284" s="1228"/>
      <c r="AF284" s="1228"/>
      <c r="AG284" s="1228"/>
      <c r="AH284" s="1228"/>
      <c r="AI284" s="1228"/>
      <c r="AJ284" s="1228"/>
      <c r="AK284" s="1228"/>
      <c r="AL284" s="1228"/>
      <c r="AM284" s="1228"/>
      <c r="AN284" s="1228"/>
      <c r="AO284" s="1228"/>
    </row>
    <row r="285" spans="16:41">
      <c r="P285" s="1228"/>
      <c r="Q285" s="1228"/>
      <c r="X285" s="1228"/>
      <c r="Y285" s="1228"/>
      <c r="Z285" s="1228"/>
      <c r="AA285" s="1228"/>
      <c r="AB285" s="1228"/>
      <c r="AC285" s="1228"/>
      <c r="AD285" s="1228"/>
      <c r="AE285" s="1228"/>
      <c r="AF285" s="1228"/>
      <c r="AG285" s="1228"/>
      <c r="AH285" s="1228"/>
      <c r="AI285" s="1228"/>
      <c r="AJ285" s="1228"/>
      <c r="AK285" s="1228"/>
      <c r="AL285" s="1228"/>
      <c r="AM285" s="1228"/>
      <c r="AN285" s="1228"/>
      <c r="AO285" s="1228"/>
    </row>
    <row r="286" spans="16:41">
      <c r="P286" s="1228"/>
      <c r="Q286" s="1228"/>
      <c r="X286" s="1228"/>
      <c r="Y286" s="1228"/>
      <c r="Z286" s="1228"/>
      <c r="AA286" s="1228"/>
      <c r="AB286" s="1228"/>
      <c r="AC286" s="1228"/>
      <c r="AD286" s="1228"/>
      <c r="AE286" s="1228"/>
      <c r="AF286" s="1228"/>
      <c r="AG286" s="1228"/>
      <c r="AH286" s="1228"/>
      <c r="AI286" s="1228"/>
      <c r="AJ286" s="1228"/>
      <c r="AK286" s="1228"/>
      <c r="AL286" s="1228"/>
      <c r="AM286" s="1228"/>
      <c r="AN286" s="1228"/>
      <c r="AO286" s="1228"/>
    </row>
    <row r="287" spans="16:41">
      <c r="P287" s="1228"/>
      <c r="Q287" s="1228"/>
      <c r="X287" s="1228"/>
      <c r="Y287" s="1228"/>
      <c r="Z287" s="1228"/>
      <c r="AA287" s="1228"/>
      <c r="AB287" s="1228"/>
      <c r="AC287" s="1228"/>
      <c r="AD287" s="1228"/>
      <c r="AE287" s="1228"/>
      <c r="AF287" s="1228"/>
      <c r="AG287" s="1228"/>
      <c r="AH287" s="1228"/>
      <c r="AI287" s="1228"/>
      <c r="AJ287" s="1228"/>
      <c r="AK287" s="1228"/>
      <c r="AL287" s="1228"/>
      <c r="AM287" s="1228"/>
      <c r="AN287" s="1228"/>
      <c r="AO287" s="1228"/>
    </row>
    <row r="288" spans="16:41">
      <c r="P288" s="1228"/>
      <c r="Q288" s="1228"/>
      <c r="X288" s="1228"/>
      <c r="Y288" s="1228"/>
      <c r="Z288" s="1228"/>
      <c r="AA288" s="1228"/>
      <c r="AB288" s="1228"/>
      <c r="AC288" s="1228"/>
      <c r="AD288" s="1228"/>
      <c r="AE288" s="1228"/>
      <c r="AF288" s="1228"/>
      <c r="AG288" s="1228"/>
      <c r="AH288" s="1228"/>
      <c r="AI288" s="1228"/>
      <c r="AJ288" s="1228"/>
      <c r="AK288" s="1228"/>
      <c r="AL288" s="1228"/>
      <c r="AM288" s="1228"/>
      <c r="AN288" s="1228"/>
      <c r="AO288" s="1228"/>
    </row>
    <row r="289" spans="16:41">
      <c r="P289" s="1228"/>
      <c r="Q289" s="1228"/>
      <c r="X289" s="1228"/>
      <c r="Y289" s="1228"/>
      <c r="Z289" s="1228"/>
      <c r="AA289" s="1228"/>
      <c r="AB289" s="1228"/>
      <c r="AC289" s="1228"/>
      <c r="AD289" s="1228"/>
      <c r="AE289" s="1228"/>
      <c r="AF289" s="1228"/>
      <c r="AG289" s="1228"/>
      <c r="AH289" s="1228"/>
      <c r="AI289" s="1228"/>
      <c r="AJ289" s="1228"/>
      <c r="AK289" s="1228"/>
      <c r="AL289" s="1228"/>
      <c r="AM289" s="1228"/>
      <c r="AN289" s="1228"/>
      <c r="AO289" s="1228"/>
    </row>
    <row r="290" spans="16:41">
      <c r="P290" s="1228"/>
      <c r="Q290" s="1228"/>
      <c r="X290" s="1228"/>
      <c r="Y290" s="1228"/>
      <c r="Z290" s="1228"/>
      <c r="AA290" s="1228"/>
      <c r="AB290" s="1228"/>
      <c r="AC290" s="1228"/>
      <c r="AD290" s="1228"/>
      <c r="AE290" s="1228"/>
      <c r="AF290" s="1228"/>
      <c r="AG290" s="1228"/>
      <c r="AH290" s="1228"/>
      <c r="AI290" s="1228"/>
      <c r="AJ290" s="1228"/>
      <c r="AK290" s="1228"/>
      <c r="AL290" s="1228"/>
      <c r="AM290" s="1228"/>
      <c r="AN290" s="1228"/>
      <c r="AO290" s="1228"/>
    </row>
    <row r="291" spans="16:41">
      <c r="P291" s="1228"/>
      <c r="Q291" s="1228"/>
      <c r="X291" s="1228"/>
      <c r="Y291" s="1228"/>
      <c r="Z291" s="1228"/>
      <c r="AA291" s="1228"/>
      <c r="AB291" s="1228"/>
      <c r="AC291" s="1228"/>
      <c r="AD291" s="1228"/>
      <c r="AE291" s="1228"/>
      <c r="AF291" s="1228"/>
      <c r="AG291" s="1228"/>
      <c r="AH291" s="1228"/>
      <c r="AI291" s="1228"/>
      <c r="AJ291" s="1228"/>
      <c r="AK291" s="1228"/>
      <c r="AL291" s="1228"/>
      <c r="AM291" s="1228"/>
      <c r="AN291" s="1228"/>
      <c r="AO291" s="1228"/>
    </row>
    <row r="292" spans="16:41">
      <c r="P292" s="1228"/>
      <c r="Q292" s="1228"/>
      <c r="X292" s="1228"/>
      <c r="Y292" s="1228"/>
      <c r="Z292" s="1228"/>
      <c r="AA292" s="1228"/>
      <c r="AB292" s="1228"/>
      <c r="AC292" s="1228"/>
      <c r="AD292" s="1228"/>
      <c r="AE292" s="1228"/>
      <c r="AF292" s="1228"/>
      <c r="AG292" s="1228"/>
      <c r="AH292" s="1228"/>
      <c r="AI292" s="1228"/>
      <c r="AJ292" s="1228"/>
      <c r="AK292" s="1228"/>
      <c r="AL292" s="1228"/>
      <c r="AM292" s="1228"/>
      <c r="AN292" s="1228"/>
      <c r="AO292" s="1228"/>
    </row>
    <row r="293" spans="16:41">
      <c r="P293" s="1228"/>
      <c r="Q293" s="1228"/>
      <c r="X293" s="1228"/>
      <c r="Y293" s="1228"/>
      <c r="Z293" s="1228"/>
      <c r="AA293" s="1228"/>
      <c r="AB293" s="1228"/>
      <c r="AC293" s="1228"/>
      <c r="AD293" s="1228"/>
      <c r="AE293" s="1228"/>
      <c r="AF293" s="1228"/>
      <c r="AG293" s="1228"/>
      <c r="AH293" s="1228"/>
      <c r="AI293" s="1228"/>
      <c r="AJ293" s="1228"/>
      <c r="AK293" s="1228"/>
      <c r="AL293" s="1228"/>
      <c r="AM293" s="1228"/>
      <c r="AN293" s="1228"/>
      <c r="AO293" s="1228"/>
    </row>
    <row r="294" spans="16:41">
      <c r="P294" s="1228"/>
      <c r="Q294" s="1228"/>
      <c r="X294" s="1228"/>
      <c r="Y294" s="1228"/>
      <c r="Z294" s="1228"/>
      <c r="AA294" s="1228"/>
      <c r="AB294" s="1228"/>
      <c r="AC294" s="1228"/>
      <c r="AD294" s="1228"/>
      <c r="AE294" s="1228"/>
      <c r="AF294" s="1228"/>
      <c r="AG294" s="1228"/>
      <c r="AH294" s="1228"/>
      <c r="AI294" s="1228"/>
      <c r="AJ294" s="1228"/>
      <c r="AK294" s="1228"/>
      <c r="AL294" s="1228"/>
      <c r="AM294" s="1228"/>
      <c r="AN294" s="1228"/>
      <c r="AO294" s="1228"/>
    </row>
    <row r="295" spans="16:41">
      <c r="P295" s="1228"/>
      <c r="Q295" s="1228"/>
      <c r="X295" s="1228"/>
      <c r="Y295" s="1228"/>
      <c r="Z295" s="1228"/>
      <c r="AA295" s="1228"/>
      <c r="AB295" s="1228"/>
      <c r="AC295" s="1228"/>
      <c r="AD295" s="1228"/>
      <c r="AE295" s="1228"/>
      <c r="AF295" s="1228"/>
      <c r="AG295" s="1228"/>
      <c r="AH295" s="1228"/>
      <c r="AI295" s="1228"/>
      <c r="AJ295" s="1228"/>
      <c r="AK295" s="1228"/>
      <c r="AL295" s="1228"/>
      <c r="AM295" s="1228"/>
      <c r="AN295" s="1228"/>
      <c r="AO295" s="1228"/>
    </row>
    <row r="296" spans="16:41">
      <c r="P296" s="1228"/>
      <c r="Q296" s="1228"/>
      <c r="X296" s="1228"/>
      <c r="Y296" s="1228"/>
      <c r="Z296" s="1228"/>
      <c r="AA296" s="1228"/>
      <c r="AB296" s="1228"/>
      <c r="AC296" s="1228"/>
      <c r="AD296" s="1228"/>
      <c r="AE296" s="1228"/>
      <c r="AF296" s="1228"/>
      <c r="AG296" s="1228"/>
      <c r="AH296" s="1228"/>
      <c r="AI296" s="1228"/>
      <c r="AJ296" s="1228"/>
      <c r="AK296" s="1228"/>
      <c r="AL296" s="1228"/>
      <c r="AM296" s="1228"/>
      <c r="AN296" s="1228"/>
      <c r="AO296" s="1228"/>
    </row>
    <row r="297" spans="16:41">
      <c r="P297" s="1228"/>
      <c r="Q297" s="1228"/>
      <c r="X297" s="1228"/>
      <c r="Y297" s="1228"/>
      <c r="Z297" s="1228"/>
      <c r="AA297" s="1228"/>
      <c r="AB297" s="1228"/>
      <c r="AC297" s="1228"/>
      <c r="AD297" s="1228"/>
      <c r="AE297" s="1228"/>
      <c r="AF297" s="1228"/>
      <c r="AG297" s="1228"/>
      <c r="AH297" s="1228"/>
      <c r="AI297" s="1228"/>
      <c r="AJ297" s="1228"/>
      <c r="AK297" s="1228"/>
      <c r="AL297" s="1228"/>
      <c r="AM297" s="1228"/>
      <c r="AN297" s="1228"/>
      <c r="AO297" s="1228"/>
    </row>
    <row r="298" spans="16:41">
      <c r="P298" s="1228"/>
      <c r="Q298" s="1228"/>
      <c r="X298" s="1228"/>
      <c r="Y298" s="1228"/>
      <c r="Z298" s="1228"/>
      <c r="AA298" s="1228"/>
      <c r="AB298" s="1228"/>
      <c r="AC298" s="1228"/>
      <c r="AD298" s="1228"/>
      <c r="AE298" s="1228"/>
      <c r="AF298" s="1228"/>
      <c r="AG298" s="1228"/>
      <c r="AH298" s="1228"/>
      <c r="AI298" s="1228"/>
      <c r="AJ298" s="1228"/>
      <c r="AK298" s="1228"/>
      <c r="AL298" s="1228"/>
      <c r="AM298" s="1228"/>
      <c r="AN298" s="1228"/>
      <c r="AO298" s="1228"/>
    </row>
    <row r="299" spans="16:41">
      <c r="P299" s="1228"/>
      <c r="Q299" s="1228"/>
      <c r="X299" s="1228"/>
      <c r="Y299" s="1228"/>
      <c r="Z299" s="1228"/>
      <c r="AA299" s="1228"/>
      <c r="AB299" s="1228"/>
      <c r="AC299" s="1228"/>
      <c r="AD299" s="1228"/>
      <c r="AE299" s="1228"/>
      <c r="AF299" s="1228"/>
      <c r="AG299" s="1228"/>
      <c r="AH299" s="1228"/>
      <c r="AI299" s="1228"/>
      <c r="AJ299" s="1228"/>
      <c r="AK299" s="1228"/>
      <c r="AL299" s="1228"/>
      <c r="AM299" s="1228"/>
      <c r="AN299" s="1228"/>
      <c r="AO299" s="1228"/>
    </row>
    <row r="300" spans="16:41">
      <c r="P300" s="1228"/>
      <c r="Q300" s="1228"/>
      <c r="X300" s="1228"/>
      <c r="Y300" s="1228"/>
      <c r="Z300" s="1228"/>
      <c r="AA300" s="1228"/>
      <c r="AB300" s="1228"/>
      <c r="AC300" s="1228"/>
      <c r="AD300" s="1228"/>
      <c r="AE300" s="1228"/>
      <c r="AF300" s="1228"/>
      <c r="AG300" s="1228"/>
      <c r="AH300" s="1228"/>
      <c r="AI300" s="1228"/>
      <c r="AJ300" s="1228"/>
      <c r="AK300" s="1228"/>
      <c r="AL300" s="1228"/>
      <c r="AM300" s="1228"/>
      <c r="AN300" s="1228"/>
      <c r="AO300" s="1228"/>
    </row>
    <row r="301" spans="16:41">
      <c r="P301" s="1228"/>
      <c r="Q301" s="1228"/>
      <c r="X301" s="1228"/>
      <c r="Y301" s="1228"/>
      <c r="Z301" s="1228"/>
      <c r="AA301" s="1228"/>
      <c r="AB301" s="1228"/>
      <c r="AC301" s="1228"/>
      <c r="AD301" s="1228"/>
      <c r="AE301" s="1228"/>
      <c r="AF301" s="1228"/>
      <c r="AG301" s="1228"/>
      <c r="AH301" s="1228"/>
      <c r="AI301" s="1228"/>
      <c r="AJ301" s="1228"/>
      <c r="AK301" s="1228"/>
      <c r="AL301" s="1228"/>
      <c r="AM301" s="1228"/>
      <c r="AN301" s="1228"/>
      <c r="AO301" s="1228"/>
    </row>
    <row r="302" spans="16:41">
      <c r="P302" s="1228"/>
      <c r="Q302" s="1228"/>
      <c r="X302" s="1228"/>
      <c r="Y302" s="1228"/>
      <c r="Z302" s="1228"/>
      <c r="AA302" s="1228"/>
      <c r="AB302" s="1228"/>
      <c r="AC302" s="1228"/>
      <c r="AD302" s="1228"/>
      <c r="AE302" s="1228"/>
      <c r="AF302" s="1228"/>
      <c r="AG302" s="1228"/>
      <c r="AH302" s="1228"/>
      <c r="AI302" s="1228"/>
      <c r="AJ302" s="1228"/>
      <c r="AK302" s="1228"/>
      <c r="AL302" s="1228"/>
      <c r="AM302" s="1228"/>
      <c r="AN302" s="1228"/>
      <c r="AO302" s="1228"/>
    </row>
    <row r="303" spans="16:41">
      <c r="P303" s="1228"/>
      <c r="Q303" s="1228"/>
      <c r="X303" s="1228"/>
      <c r="Y303" s="1228"/>
      <c r="Z303" s="1228"/>
      <c r="AA303" s="1228"/>
      <c r="AB303" s="1228"/>
      <c r="AC303" s="1228"/>
      <c r="AD303" s="1228"/>
      <c r="AE303" s="1228"/>
      <c r="AF303" s="1228"/>
      <c r="AG303" s="1228"/>
      <c r="AH303" s="1228"/>
      <c r="AI303" s="1228"/>
      <c r="AJ303" s="1228"/>
      <c r="AK303" s="1228"/>
      <c r="AL303" s="1228"/>
      <c r="AM303" s="1228"/>
      <c r="AN303" s="1228"/>
      <c r="AO303" s="1228"/>
    </row>
    <row r="304" spans="16:41">
      <c r="P304" s="1228"/>
      <c r="Q304" s="1228"/>
      <c r="X304" s="1228"/>
      <c r="Y304" s="1228"/>
      <c r="Z304" s="1228"/>
      <c r="AA304" s="1228"/>
      <c r="AB304" s="1228"/>
      <c r="AC304" s="1228"/>
      <c r="AD304" s="1228"/>
      <c r="AE304" s="1228"/>
      <c r="AF304" s="1228"/>
      <c r="AG304" s="1228"/>
      <c r="AH304" s="1228"/>
      <c r="AI304" s="1228"/>
      <c r="AJ304" s="1228"/>
      <c r="AK304" s="1228"/>
      <c r="AL304" s="1228"/>
      <c r="AM304" s="1228"/>
      <c r="AN304" s="1228"/>
      <c r="AO304" s="1228"/>
    </row>
    <row r="305" spans="16:41">
      <c r="P305" s="1228"/>
      <c r="Q305" s="1228"/>
      <c r="X305" s="1228"/>
      <c r="Y305" s="1228"/>
      <c r="Z305" s="1228"/>
      <c r="AA305" s="1228"/>
      <c r="AB305" s="1228"/>
      <c r="AC305" s="1228"/>
      <c r="AD305" s="1228"/>
      <c r="AE305" s="1228"/>
      <c r="AF305" s="1228"/>
      <c r="AG305" s="1228"/>
      <c r="AH305" s="1228"/>
      <c r="AI305" s="1228"/>
      <c r="AJ305" s="1228"/>
      <c r="AK305" s="1228"/>
      <c r="AL305" s="1228"/>
      <c r="AM305" s="1228"/>
      <c r="AN305" s="1228"/>
      <c r="AO305" s="1228"/>
    </row>
    <row r="306" spans="16:41">
      <c r="P306" s="1228"/>
      <c r="Q306" s="1228"/>
      <c r="X306" s="1228"/>
      <c r="Y306" s="1228"/>
      <c r="Z306" s="1228"/>
      <c r="AA306" s="1228"/>
      <c r="AB306" s="1228"/>
      <c r="AC306" s="1228"/>
      <c r="AD306" s="1228"/>
      <c r="AE306" s="1228"/>
      <c r="AF306" s="1228"/>
      <c r="AG306" s="1228"/>
      <c r="AH306" s="1228"/>
      <c r="AI306" s="1228"/>
      <c r="AJ306" s="1228"/>
      <c r="AK306" s="1228"/>
      <c r="AL306" s="1228"/>
      <c r="AM306" s="1228"/>
      <c r="AN306" s="1228"/>
      <c r="AO306" s="1228"/>
    </row>
    <row r="307" spans="16:41">
      <c r="P307" s="1228"/>
      <c r="Q307" s="1228"/>
      <c r="X307" s="1228"/>
      <c r="Y307" s="1228"/>
      <c r="Z307" s="1228"/>
      <c r="AA307" s="1228"/>
      <c r="AB307" s="1228"/>
      <c r="AC307" s="1228"/>
      <c r="AD307" s="1228"/>
      <c r="AE307" s="1228"/>
      <c r="AF307" s="1228"/>
      <c r="AG307" s="1228"/>
      <c r="AH307" s="1228"/>
      <c r="AI307" s="1228"/>
      <c r="AJ307" s="1228"/>
      <c r="AK307" s="1228"/>
      <c r="AL307" s="1228"/>
      <c r="AM307" s="1228"/>
      <c r="AN307" s="1228"/>
      <c r="AO307" s="1228"/>
    </row>
    <row r="308" spans="16:41">
      <c r="P308" s="1228"/>
      <c r="Q308" s="1228"/>
      <c r="X308" s="1228"/>
      <c r="Y308" s="1228"/>
      <c r="Z308" s="1228"/>
      <c r="AA308" s="1228"/>
      <c r="AB308" s="1228"/>
      <c r="AC308" s="1228"/>
      <c r="AD308" s="1228"/>
      <c r="AE308" s="1228"/>
      <c r="AF308" s="1228"/>
      <c r="AG308" s="1228"/>
      <c r="AH308" s="1228"/>
      <c r="AI308" s="1228"/>
      <c r="AJ308" s="1228"/>
      <c r="AK308" s="1228"/>
      <c r="AL308" s="1228"/>
      <c r="AM308" s="1228"/>
      <c r="AN308" s="1228"/>
      <c r="AO308" s="1228"/>
    </row>
    <row r="309" spans="16:41">
      <c r="P309" s="1228"/>
      <c r="Q309" s="1228"/>
      <c r="X309" s="1228"/>
      <c r="Y309" s="1228"/>
      <c r="Z309" s="1228"/>
      <c r="AA309" s="1228"/>
      <c r="AB309" s="1228"/>
      <c r="AC309" s="1228"/>
      <c r="AD309" s="1228"/>
      <c r="AE309" s="1228"/>
      <c r="AF309" s="1228"/>
      <c r="AG309" s="1228"/>
      <c r="AH309" s="1228"/>
      <c r="AI309" s="1228"/>
      <c r="AJ309" s="1228"/>
      <c r="AK309" s="1228"/>
      <c r="AL309" s="1228"/>
      <c r="AM309" s="1228"/>
      <c r="AN309" s="1228"/>
      <c r="AO309" s="1228"/>
    </row>
    <row r="310" spans="16:41">
      <c r="P310" s="1228"/>
      <c r="Q310" s="1228"/>
      <c r="X310" s="1228"/>
      <c r="Y310" s="1228"/>
      <c r="Z310" s="1228"/>
      <c r="AA310" s="1228"/>
      <c r="AB310" s="1228"/>
      <c r="AC310" s="1228"/>
      <c r="AD310" s="1228"/>
      <c r="AE310" s="1228"/>
      <c r="AF310" s="1228"/>
      <c r="AG310" s="1228"/>
      <c r="AH310" s="1228"/>
      <c r="AI310" s="1228"/>
      <c r="AJ310" s="1228"/>
      <c r="AK310" s="1228"/>
      <c r="AL310" s="1228"/>
      <c r="AM310" s="1228"/>
      <c r="AN310" s="1228"/>
      <c r="AO310" s="1228"/>
    </row>
    <row r="311" spans="16:41">
      <c r="P311" s="1228"/>
      <c r="Q311" s="1228"/>
      <c r="X311" s="1228"/>
      <c r="Y311" s="1228"/>
      <c r="Z311" s="1228"/>
      <c r="AA311" s="1228"/>
      <c r="AB311" s="1228"/>
      <c r="AC311" s="1228"/>
      <c r="AD311" s="1228"/>
      <c r="AE311" s="1228"/>
      <c r="AF311" s="1228"/>
      <c r="AG311" s="1228"/>
      <c r="AH311" s="1228"/>
      <c r="AI311" s="1228"/>
      <c r="AJ311" s="1228"/>
      <c r="AK311" s="1228"/>
      <c r="AL311" s="1228"/>
      <c r="AM311" s="1228"/>
      <c r="AN311" s="1228"/>
      <c r="AO311" s="1228"/>
    </row>
    <row r="312" spans="16:41">
      <c r="P312" s="1228"/>
      <c r="Q312" s="1228"/>
      <c r="X312" s="1228"/>
      <c r="Y312" s="1228"/>
      <c r="Z312" s="1228"/>
      <c r="AA312" s="1228"/>
      <c r="AB312" s="1228"/>
      <c r="AC312" s="1228"/>
      <c r="AD312" s="1228"/>
      <c r="AE312" s="1228"/>
      <c r="AF312" s="1228"/>
      <c r="AG312" s="1228"/>
      <c r="AH312" s="1228"/>
      <c r="AI312" s="1228"/>
      <c r="AJ312" s="1228"/>
      <c r="AK312" s="1228"/>
      <c r="AL312" s="1228"/>
      <c r="AM312" s="1228"/>
      <c r="AN312" s="1228"/>
      <c r="AO312" s="1228"/>
    </row>
    <row r="313" spans="16:41">
      <c r="P313" s="1228"/>
      <c r="Q313" s="1228"/>
      <c r="X313" s="1228"/>
      <c r="Y313" s="1228"/>
      <c r="Z313" s="1228"/>
      <c r="AA313" s="1228"/>
      <c r="AB313" s="1228"/>
      <c r="AC313" s="1228"/>
      <c r="AD313" s="1228"/>
      <c r="AE313" s="1228"/>
      <c r="AF313" s="1228"/>
      <c r="AG313" s="1228"/>
      <c r="AH313" s="1228"/>
      <c r="AI313" s="1228"/>
      <c r="AJ313" s="1228"/>
      <c r="AK313" s="1228"/>
      <c r="AL313" s="1228"/>
      <c r="AM313" s="1228"/>
      <c r="AN313" s="1228"/>
      <c r="AO313" s="1228"/>
    </row>
    <row r="314" spans="16:41">
      <c r="P314" s="1228"/>
      <c r="Q314" s="1228"/>
      <c r="X314" s="1228"/>
      <c r="Y314" s="1228"/>
      <c r="Z314" s="1228"/>
      <c r="AA314" s="1228"/>
      <c r="AB314" s="1228"/>
      <c r="AC314" s="1228"/>
      <c r="AD314" s="1228"/>
      <c r="AE314" s="1228"/>
      <c r="AF314" s="1228"/>
      <c r="AG314" s="1228"/>
      <c r="AH314" s="1228"/>
      <c r="AI314" s="1228"/>
      <c r="AJ314" s="1228"/>
      <c r="AK314" s="1228"/>
      <c r="AL314" s="1228"/>
      <c r="AM314" s="1228"/>
      <c r="AN314" s="1228"/>
      <c r="AO314" s="1228"/>
    </row>
    <row r="315" spans="16:41">
      <c r="P315" s="1228"/>
      <c r="Q315" s="1228"/>
      <c r="X315" s="1228"/>
      <c r="Y315" s="1228"/>
      <c r="Z315" s="1228"/>
      <c r="AA315" s="1228"/>
      <c r="AB315" s="1228"/>
      <c r="AC315" s="1228"/>
      <c r="AD315" s="1228"/>
      <c r="AE315" s="1228"/>
      <c r="AF315" s="1228"/>
      <c r="AG315" s="1228"/>
      <c r="AH315" s="1228"/>
      <c r="AI315" s="1228"/>
      <c r="AJ315" s="1228"/>
      <c r="AK315" s="1228"/>
      <c r="AL315" s="1228"/>
      <c r="AM315" s="1228"/>
      <c r="AN315" s="1228"/>
      <c r="AO315" s="1228"/>
    </row>
    <row r="316" spans="16:41">
      <c r="P316" s="1228"/>
      <c r="Q316" s="1228"/>
      <c r="X316" s="1228"/>
      <c r="Y316" s="1228"/>
      <c r="Z316" s="1228"/>
      <c r="AA316" s="1228"/>
      <c r="AB316" s="1228"/>
      <c r="AC316" s="1228"/>
      <c r="AD316" s="1228"/>
      <c r="AE316" s="1228"/>
      <c r="AF316" s="1228"/>
      <c r="AG316" s="1228"/>
      <c r="AH316" s="1228"/>
      <c r="AI316" s="1228"/>
      <c r="AJ316" s="1228"/>
      <c r="AK316" s="1228"/>
      <c r="AL316" s="1228"/>
      <c r="AM316" s="1228"/>
      <c r="AN316" s="1228"/>
      <c r="AO316" s="1228"/>
    </row>
    <row r="317" spans="16:41">
      <c r="P317" s="1228"/>
      <c r="Q317" s="1228"/>
      <c r="X317" s="1228"/>
      <c r="Y317" s="1228"/>
      <c r="Z317" s="1228"/>
      <c r="AA317" s="1228"/>
      <c r="AB317" s="1228"/>
      <c r="AC317" s="1228"/>
      <c r="AD317" s="1228"/>
      <c r="AE317" s="1228"/>
      <c r="AF317" s="1228"/>
      <c r="AG317" s="1228"/>
      <c r="AH317" s="1228"/>
      <c r="AI317" s="1228"/>
      <c r="AJ317" s="1228"/>
      <c r="AK317" s="1228"/>
      <c r="AL317" s="1228"/>
      <c r="AM317" s="1228"/>
      <c r="AN317" s="1228"/>
      <c r="AO317" s="1228"/>
    </row>
    <row r="318" spans="16:41">
      <c r="P318" s="1228"/>
      <c r="Q318" s="1228"/>
      <c r="X318" s="1228"/>
      <c r="Y318" s="1228"/>
      <c r="Z318" s="1228"/>
      <c r="AA318" s="1228"/>
      <c r="AB318" s="1228"/>
      <c r="AC318" s="1228"/>
      <c r="AD318" s="1228"/>
      <c r="AE318" s="1228"/>
      <c r="AF318" s="1228"/>
      <c r="AG318" s="1228"/>
      <c r="AH318" s="1228"/>
      <c r="AI318" s="1228"/>
      <c r="AJ318" s="1228"/>
      <c r="AK318" s="1228"/>
      <c r="AL318" s="1228"/>
      <c r="AM318" s="1228"/>
      <c r="AN318" s="1228"/>
      <c r="AO318" s="1228"/>
    </row>
    <row r="319" spans="16:41">
      <c r="P319" s="1228"/>
      <c r="Q319" s="1228"/>
      <c r="X319" s="1228"/>
      <c r="Y319" s="1228"/>
      <c r="Z319" s="1228"/>
      <c r="AA319" s="1228"/>
      <c r="AB319" s="1228"/>
      <c r="AC319" s="1228"/>
      <c r="AD319" s="1228"/>
      <c r="AE319" s="1228"/>
      <c r="AF319" s="1228"/>
      <c r="AG319" s="1228"/>
      <c r="AH319" s="1228"/>
      <c r="AI319" s="1228"/>
      <c r="AJ319" s="1228"/>
      <c r="AK319" s="1228"/>
      <c r="AL319" s="1228"/>
      <c r="AM319" s="1228"/>
      <c r="AN319" s="1228"/>
      <c r="AO319" s="1228"/>
    </row>
    <row r="320" spans="16:41">
      <c r="P320" s="1228"/>
      <c r="Q320" s="1228"/>
      <c r="X320" s="1228"/>
      <c r="Y320" s="1228"/>
      <c r="Z320" s="1228"/>
      <c r="AA320" s="1228"/>
      <c r="AB320" s="1228"/>
      <c r="AC320" s="1228"/>
      <c r="AD320" s="1228"/>
      <c r="AE320" s="1228"/>
      <c r="AF320" s="1228"/>
      <c r="AG320" s="1228"/>
      <c r="AH320" s="1228"/>
      <c r="AI320" s="1228"/>
      <c r="AJ320" s="1228"/>
      <c r="AK320" s="1228"/>
      <c r="AL320" s="1228"/>
      <c r="AM320" s="1228"/>
      <c r="AN320" s="1228"/>
      <c r="AO320" s="1228"/>
    </row>
    <row r="321" spans="24:41">
      <c r="X321" s="1228"/>
      <c r="Y321" s="1228"/>
      <c r="Z321" s="1228"/>
      <c r="AA321" s="1228"/>
      <c r="AB321" s="1228"/>
      <c r="AC321" s="1228"/>
      <c r="AD321" s="1228"/>
      <c r="AE321" s="1228"/>
      <c r="AF321" s="1228"/>
      <c r="AG321" s="1228"/>
      <c r="AH321" s="1228"/>
      <c r="AI321" s="1228"/>
      <c r="AJ321" s="1228"/>
      <c r="AK321" s="1228"/>
      <c r="AL321" s="1228"/>
      <c r="AM321" s="1228"/>
      <c r="AN321" s="1228"/>
      <c r="AO321" s="1228"/>
    </row>
  </sheetData>
  <sheetProtection sheet="1" selectLockedCells="1"/>
  <mergeCells count="54">
    <mergeCell ref="P44:Q44"/>
    <mergeCell ref="A43:C43"/>
    <mergeCell ref="E43:I43"/>
    <mergeCell ref="A44:C44"/>
    <mergeCell ref="E44:L44"/>
    <mergeCell ref="A45:C45"/>
    <mergeCell ref="E45:I45"/>
    <mergeCell ref="A37:C37"/>
    <mergeCell ref="A40:C40"/>
    <mergeCell ref="E40:I40"/>
    <mergeCell ref="A41:C41"/>
    <mergeCell ref="A42:C42"/>
    <mergeCell ref="E42:I42"/>
    <mergeCell ref="A35:C35"/>
    <mergeCell ref="E35:M36"/>
    <mergeCell ref="A36:C36"/>
    <mergeCell ref="O24:R24"/>
    <mergeCell ref="A25:C25"/>
    <mergeCell ref="O25:R30"/>
    <mergeCell ref="A26:C26"/>
    <mergeCell ref="A27:C27"/>
    <mergeCell ref="E27:M27"/>
    <mergeCell ref="A28:C28"/>
    <mergeCell ref="A31:C31"/>
    <mergeCell ref="E31:K31"/>
    <mergeCell ref="A32:C32"/>
    <mergeCell ref="A33:C33"/>
    <mergeCell ref="E33:M34"/>
    <mergeCell ref="A21:C21"/>
    <mergeCell ref="E21:M23"/>
    <mergeCell ref="A22:C22"/>
    <mergeCell ref="A23:C23"/>
    <mergeCell ref="A24:C24"/>
    <mergeCell ref="E24:M26"/>
    <mergeCell ref="E9:J9"/>
    <mergeCell ref="A16:C16"/>
    <mergeCell ref="E16:M17"/>
    <mergeCell ref="A17:C17"/>
    <mergeCell ref="A18:C18"/>
    <mergeCell ref="E18:M20"/>
    <mergeCell ref="A19:C19"/>
    <mergeCell ref="A20:C20"/>
    <mergeCell ref="J7:M7"/>
    <mergeCell ref="E1:G1"/>
    <mergeCell ref="J1:M1"/>
    <mergeCell ref="F2:G2"/>
    <mergeCell ref="J2:M2"/>
    <mergeCell ref="F3:G3"/>
    <mergeCell ref="J3:M3"/>
    <mergeCell ref="F4:G4"/>
    <mergeCell ref="J4:M4"/>
    <mergeCell ref="F5:G5"/>
    <mergeCell ref="J5:M5"/>
    <mergeCell ref="J6:M6"/>
  </mergeCells>
  <printOptions horizontalCentered="1" verticalCentered="1"/>
  <pageMargins left="0.25" right="0.25" top="0.5" bottom="0.5" header="0" footer="0"/>
  <pageSetup scale="86" orientation="landscape" blackAndWhite="1" r:id="rId1"/>
  <headerFooter alignWithMargins="0"/>
  <drawing r:id="rId2"/>
  <legacyDrawing r:id="rId3"/>
  <oleObjects>
    <mc:AlternateContent xmlns:mc="http://schemas.openxmlformats.org/markup-compatibility/2006">
      <mc:Choice Requires="x14">
        <oleObject progId="Photoshop.Image.9" shapeId="5511169" r:id="rId4">
          <objectPr defaultSize="0" autoPict="0" r:id="rId5">
            <anchor moveWithCells="1">
              <from>
                <xdr:col>14</xdr:col>
                <xdr:colOff>9525</xdr:colOff>
                <xdr:row>30</xdr:row>
                <xdr:rowOff>38100</xdr:rowOff>
              </from>
              <to>
                <xdr:col>17</xdr:col>
                <xdr:colOff>733425</xdr:colOff>
                <xdr:row>39</xdr:row>
                <xdr:rowOff>152400</xdr:rowOff>
              </to>
            </anchor>
          </objectPr>
        </oleObject>
      </mc:Choice>
      <mc:Fallback>
        <oleObject progId="Photoshop.Image.9" shapeId="5511169" r:id="rId4"/>
      </mc:Fallback>
    </mc:AlternateContent>
  </oleObjec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C00000"/>
  </sheetPr>
  <dimension ref="A1:Q104"/>
  <sheetViews>
    <sheetView showGridLines="0" view="pageBreakPreview" zoomScaleNormal="100" zoomScaleSheetLayoutView="100" workbookViewId="0">
      <selection activeCell="B8" sqref="B8"/>
    </sheetView>
  </sheetViews>
  <sheetFormatPr defaultColWidth="9.140625" defaultRowHeight="15"/>
  <cols>
    <col min="1" max="2" width="11.42578125" style="609" customWidth="1"/>
    <col min="3" max="3" width="2" style="609" customWidth="1"/>
    <col min="4" max="4" width="10.42578125" style="609" customWidth="1"/>
    <col min="5" max="8" width="11.42578125" style="609" customWidth="1"/>
    <col min="9" max="9" width="11.42578125" style="611" customWidth="1"/>
    <col min="10" max="10" width="10.42578125" style="609" customWidth="1"/>
    <col min="11" max="11" width="13.28515625" style="609" customWidth="1"/>
    <col min="12" max="12" width="12.5703125" style="609" customWidth="1"/>
    <col min="13" max="13" width="11.85546875" style="609" customWidth="1"/>
    <col min="14" max="14" width="10.42578125" style="609" customWidth="1"/>
    <col min="15" max="16" width="11.42578125" style="609" customWidth="1"/>
    <col min="17" max="17" width="10.42578125" style="609" customWidth="1"/>
    <col min="18" max="16384" width="9.140625" style="609"/>
  </cols>
  <sheetData>
    <row r="1" spans="1:17" ht="54.95" customHeight="1" thickBot="1">
      <c r="A1" s="777"/>
      <c r="B1" s="778"/>
      <c r="C1" s="2765" t="s">
        <v>893</v>
      </c>
      <c r="D1" s="2765"/>
      <c r="E1" s="2765"/>
      <c r="F1" s="2765"/>
      <c r="G1" s="1099"/>
      <c r="H1" s="778"/>
      <c r="I1" s="779"/>
      <c r="J1" s="804"/>
      <c r="K1" s="805"/>
      <c r="L1" s="2761" t="s">
        <v>894</v>
      </c>
      <c r="M1" s="2761"/>
      <c r="N1" s="2761"/>
      <c r="O1" s="803"/>
      <c r="P1" s="805"/>
      <c r="Q1" s="806"/>
    </row>
    <row r="2" spans="1:17" ht="18" customHeight="1" thickBot="1">
      <c r="A2" s="1112" t="s">
        <v>547</v>
      </c>
      <c r="B2" s="780"/>
      <c r="C2" s="780"/>
      <c r="D2" s="1113"/>
      <c r="E2" s="781" t="s">
        <v>551</v>
      </c>
      <c r="F2" s="2773" t="str">
        <f>IF(ISBLANK(Prelim!S5)," ",Prelim!S5)</f>
        <v xml:space="preserve"> </v>
      </c>
      <c r="G2" s="2773"/>
      <c r="H2" s="1113"/>
      <c r="I2" s="782" t="str">
        <f>'Drop-Down Lists'!A2</f>
        <v>v 05.01.2026</v>
      </c>
      <c r="J2" s="794"/>
      <c r="K2" s="795"/>
      <c r="L2" s="796" t="s">
        <v>551</v>
      </c>
      <c r="M2" s="2774" t="str">
        <f>IF(ISBLANK(Prelim!S5)," ",Prelim!S5)</f>
        <v xml:space="preserve"> </v>
      </c>
      <c r="N2" s="2774"/>
      <c r="O2" s="795"/>
      <c r="P2" s="795"/>
      <c r="Q2" s="797"/>
    </row>
    <row r="3" spans="1:17" ht="6" customHeight="1">
      <c r="A3" s="1100"/>
      <c r="D3" s="785"/>
      <c r="E3" s="785"/>
      <c r="F3" s="785"/>
      <c r="G3" s="785"/>
      <c r="H3" s="785"/>
      <c r="I3" s="786"/>
      <c r="J3" s="800"/>
      <c r="K3" s="798"/>
      <c r="L3" s="798"/>
      <c r="M3" s="798"/>
      <c r="N3" s="798"/>
      <c r="O3" s="798"/>
      <c r="P3" s="798"/>
      <c r="Q3" s="801"/>
    </row>
    <row r="4" spans="1:17" ht="15.95" customHeight="1">
      <c r="A4" s="2745" t="s">
        <v>548</v>
      </c>
      <c r="B4" s="2785"/>
      <c r="C4" s="1114"/>
      <c r="D4" s="2762" t="str">
        <f>IF(ISBLANK(Prelim!G3), "  ",Prelim!G3)</f>
        <v xml:space="preserve">  </v>
      </c>
      <c r="E4" s="2763"/>
      <c r="F4" s="2763"/>
      <c r="G4" s="2763"/>
      <c r="H4" s="2764"/>
      <c r="I4" s="783"/>
      <c r="J4" s="2745" t="s">
        <v>549</v>
      </c>
      <c r="K4" s="2485"/>
      <c r="L4" s="2760"/>
      <c r="M4" s="2760"/>
      <c r="N4" s="2760"/>
      <c r="Q4" s="783"/>
    </row>
    <row r="5" spans="1:17" ht="6" customHeight="1" thickBot="1">
      <c r="A5" s="1111"/>
      <c r="B5" s="776"/>
      <c r="C5" s="776"/>
      <c r="E5" s="785"/>
      <c r="F5" s="785"/>
      <c r="G5" s="785"/>
      <c r="H5" s="785"/>
      <c r="I5" s="786"/>
      <c r="J5" s="784"/>
      <c r="K5" s="776"/>
      <c r="M5" s="785"/>
      <c r="N5" s="1487"/>
      <c r="P5" s="611"/>
      <c r="Q5" s="787"/>
    </row>
    <row r="6" spans="1:17" ht="18" customHeight="1" thickBot="1">
      <c r="A6" s="2775" t="s">
        <v>895</v>
      </c>
      <c r="B6" s="2776"/>
      <c r="C6" s="2776"/>
      <c r="D6" s="2776"/>
      <c r="E6" s="2776"/>
      <c r="F6" s="2776"/>
      <c r="G6" s="2776"/>
      <c r="H6" s="2776"/>
      <c r="I6" s="2777"/>
      <c r="J6" s="2745" t="s">
        <v>896</v>
      </c>
      <c r="K6" s="2484"/>
      <c r="L6" s="776" t="s">
        <v>897</v>
      </c>
      <c r="M6" s="2747"/>
      <c r="N6" s="2748"/>
      <c r="O6" s="808" t="s">
        <v>898</v>
      </c>
      <c r="P6" s="1109"/>
      <c r="Q6" s="783" t="s">
        <v>762</v>
      </c>
    </row>
    <row r="7" spans="1:17" ht="6" customHeight="1">
      <c r="A7" s="1100"/>
      <c r="D7" s="785"/>
      <c r="E7" s="785"/>
      <c r="F7" s="785"/>
      <c r="G7" s="785"/>
      <c r="H7" s="785"/>
      <c r="I7" s="786"/>
      <c r="J7" s="784"/>
      <c r="Q7" s="783"/>
    </row>
    <row r="8" spans="1:17" ht="18" customHeight="1">
      <c r="A8" s="877" t="s">
        <v>899</v>
      </c>
      <c r="B8" s="2073"/>
      <c r="C8" s="609" t="s">
        <v>629</v>
      </c>
      <c r="D8" s="2433" t="s">
        <v>900</v>
      </c>
      <c r="E8" s="2433"/>
      <c r="F8" s="2433"/>
      <c r="G8" s="2430"/>
      <c r="H8" s="2432"/>
      <c r="I8" s="1101"/>
      <c r="J8" s="784"/>
      <c r="K8" s="609" t="s">
        <v>901</v>
      </c>
      <c r="O8" s="776" t="s">
        <v>902</v>
      </c>
      <c r="P8" s="1109"/>
      <c r="Q8" s="783" t="s">
        <v>903</v>
      </c>
    </row>
    <row r="9" spans="1:17" ht="6" customHeight="1">
      <c r="A9" s="877"/>
      <c r="B9" s="1501"/>
      <c r="C9" s="1501"/>
      <c r="E9" s="776"/>
      <c r="F9" s="776"/>
      <c r="I9" s="1101"/>
      <c r="J9" s="877"/>
      <c r="K9" s="2742" t="s">
        <v>696</v>
      </c>
      <c r="L9" s="2743" t="s">
        <v>904</v>
      </c>
      <c r="M9" s="2743"/>
      <c r="P9" s="1503"/>
      <c r="Q9" s="786"/>
    </row>
    <row r="10" spans="1:17" ht="15.95" customHeight="1">
      <c r="A10" s="2780" t="s">
        <v>905</v>
      </c>
      <c r="B10" s="2781"/>
      <c r="C10" s="2781"/>
      <c r="D10" s="2781"/>
      <c r="E10" s="2427"/>
      <c r="F10" s="2428"/>
      <c r="G10" s="2428"/>
      <c r="H10" s="2429"/>
      <c r="I10" s="783"/>
      <c r="J10" s="784"/>
      <c r="K10" s="2742"/>
      <c r="L10" s="2743"/>
      <c r="M10" s="2743"/>
      <c r="O10" s="2734" t="s">
        <v>906</v>
      </c>
      <c r="P10" s="2734"/>
      <c r="Q10" s="786"/>
    </row>
    <row r="11" spans="1:17" ht="6" customHeight="1">
      <c r="A11" s="877"/>
      <c r="B11" s="1479"/>
      <c r="C11" s="1479"/>
      <c r="D11" s="1479"/>
      <c r="I11" s="783"/>
      <c r="J11" s="784"/>
      <c r="K11" s="2742"/>
      <c r="L11" s="2743"/>
      <c r="M11" s="2743"/>
      <c r="O11" s="2734"/>
      <c r="P11" s="2734"/>
      <c r="Q11" s="786"/>
    </row>
    <row r="12" spans="1:17" ht="15.95" customHeight="1">
      <c r="A12" s="2780" t="s">
        <v>907</v>
      </c>
      <c r="B12" s="2781"/>
      <c r="C12" s="1479"/>
      <c r="D12" s="1120"/>
      <c r="E12" s="2778" t="s">
        <v>908</v>
      </c>
      <c r="F12" s="2465"/>
      <c r="G12" s="2779"/>
      <c r="H12" s="725"/>
      <c r="I12" s="788" t="s">
        <v>909</v>
      </c>
      <c r="J12" s="784"/>
      <c r="K12" s="1131"/>
      <c r="L12" s="2746"/>
      <c r="M12" s="2746"/>
      <c r="O12" s="2734"/>
      <c r="P12" s="2734"/>
      <c r="Q12" s="786"/>
    </row>
    <row r="13" spans="1:17" ht="15.95" customHeight="1">
      <c r="A13" s="2782" t="s">
        <v>910</v>
      </c>
      <c r="B13" s="2783"/>
      <c r="C13" s="1479"/>
      <c r="D13" s="1479"/>
      <c r="E13" s="2784" t="s">
        <v>911</v>
      </c>
      <c r="I13" s="783"/>
      <c r="J13" s="784"/>
      <c r="K13" s="1130"/>
      <c r="L13" s="2746"/>
      <c r="M13" s="2746"/>
      <c r="O13" s="2734"/>
      <c r="P13" s="2734"/>
      <c r="Q13" s="783"/>
    </row>
    <row r="14" spans="1:17" ht="18" customHeight="1">
      <c r="A14" s="2782"/>
      <c r="B14" s="2783"/>
      <c r="C14" s="785"/>
      <c r="D14" s="726"/>
      <c r="E14" s="2784"/>
      <c r="F14" s="726"/>
      <c r="H14" s="789" t="str">
        <f>IF(ISBLANK(F14),"",(F14-D14))</f>
        <v/>
      </c>
      <c r="I14" s="786" t="s">
        <v>912</v>
      </c>
      <c r="J14" s="784"/>
      <c r="K14" s="1130"/>
      <c r="L14" s="2746"/>
      <c r="M14" s="2746"/>
      <c r="O14" s="2734"/>
      <c r="P14" s="2734"/>
      <c r="Q14" s="783"/>
    </row>
    <row r="15" spans="1:17" ht="22.5" customHeight="1">
      <c r="A15" s="790"/>
      <c r="B15" s="776"/>
      <c r="C15" s="776"/>
      <c r="D15" s="611"/>
      <c r="I15" s="783"/>
      <c r="J15" s="784" t="s">
        <v>913</v>
      </c>
      <c r="Q15" s="783"/>
    </row>
    <row r="16" spans="1:17" ht="22.5" customHeight="1">
      <c r="A16" s="2790" t="s">
        <v>914</v>
      </c>
      <c r="B16" s="2791"/>
      <c r="C16" s="2791"/>
      <c r="D16" s="2791"/>
      <c r="E16" s="2791"/>
      <c r="F16" s="2427"/>
      <c r="G16" s="2428"/>
      <c r="H16" s="2429"/>
      <c r="I16" s="786"/>
      <c r="J16" s="2744" t="s">
        <v>915</v>
      </c>
      <c r="K16" s="2732" t="s">
        <v>916</v>
      </c>
      <c r="L16" s="2732" t="s">
        <v>917</v>
      </c>
      <c r="M16" s="2732" t="s">
        <v>918</v>
      </c>
      <c r="N16" s="2751" t="s">
        <v>919</v>
      </c>
      <c r="O16" s="2732" t="s">
        <v>920</v>
      </c>
      <c r="P16" s="2732" t="s">
        <v>921</v>
      </c>
      <c r="Q16" s="2733" t="s">
        <v>922</v>
      </c>
    </row>
    <row r="17" spans="1:17" ht="15.95" customHeight="1">
      <c r="A17" s="784"/>
      <c r="B17" s="633" t="s">
        <v>923</v>
      </c>
      <c r="I17" s="1101"/>
      <c r="J17" s="2744"/>
      <c r="K17" s="2732"/>
      <c r="L17" s="2732"/>
      <c r="M17" s="2732"/>
      <c r="N17" s="2751"/>
      <c r="O17" s="2732"/>
      <c r="P17" s="2732"/>
      <c r="Q17" s="2733"/>
    </row>
    <row r="18" spans="1:17" ht="15.95" customHeight="1">
      <c r="A18" s="2792" t="s">
        <v>924</v>
      </c>
      <c r="B18" s="2793"/>
      <c r="C18" s="2793"/>
      <c r="D18" s="2793"/>
      <c r="E18" s="2793"/>
      <c r="F18" s="2793"/>
      <c r="G18" s="2793"/>
      <c r="H18" s="2793"/>
      <c r="I18" s="2794"/>
      <c r="J18" s="1135">
        <v>1</v>
      </c>
      <c r="K18" s="726"/>
      <c r="L18" s="726"/>
      <c r="M18" s="1465"/>
      <c r="N18" s="1465"/>
      <c r="O18" s="1133" t="str">
        <f>IF(ISBLANK(K18)," ",(ROUND(((L18-K18)*1440)/(ABS(N18-M18)),1)))</f>
        <v xml:space="preserve"> </v>
      </c>
      <c r="P18" s="915" t="s">
        <v>194</v>
      </c>
      <c r="Q18" s="1136" t="s">
        <v>194</v>
      </c>
    </row>
    <row r="19" spans="1:17" ht="15.95" customHeight="1" thickBot="1">
      <c r="A19" s="784"/>
      <c r="I19" s="783"/>
      <c r="J19" s="1135">
        <v>2</v>
      </c>
      <c r="K19" s="726"/>
      <c r="L19" s="726"/>
      <c r="M19" s="1465"/>
      <c r="N19" s="1465"/>
      <c r="O19" s="1133" t="str">
        <f t="shared" ref="O19:O25" si="0">IF(ISBLANK(K19)," ",(ROUND(((L19-K19)*1440)/(ABS(N19-M19)),1)))</f>
        <v xml:space="preserve"> </v>
      </c>
      <c r="P19" s="915" t="s">
        <v>194</v>
      </c>
      <c r="Q19" s="1136" t="s">
        <v>194</v>
      </c>
    </row>
    <row r="20" spans="1:17" ht="15.95" customHeight="1" thickBot="1">
      <c r="A20" s="2788" t="s">
        <v>925</v>
      </c>
      <c r="B20" s="2789"/>
      <c r="C20" s="2789"/>
      <c r="D20" s="2789"/>
      <c r="E20" s="2789"/>
      <c r="F20" s="2789"/>
      <c r="G20" s="793" t="str">
        <f>IF(ISBLANK(B8)," ",MAX(G77,G104,O27,O50,O77,O104))</f>
        <v xml:space="preserve"> </v>
      </c>
      <c r="H20" s="1502" t="s">
        <v>926</v>
      </c>
      <c r="I20" s="783"/>
      <c r="J20" s="1135">
        <v>3</v>
      </c>
      <c r="K20" s="726"/>
      <c r="L20" s="726"/>
      <c r="M20" s="1465"/>
      <c r="N20" s="1465"/>
      <c r="O20" s="1133" t="str">
        <f t="shared" si="0"/>
        <v xml:space="preserve"> </v>
      </c>
      <c r="P20" s="1133" t="str">
        <f t="shared" ref="P20:P25" si="1">IF(ISBLANK(K20), "",((MAX(O18:O20)-MIN(O18:O20))/MIN(O18:O20)*100))</f>
        <v/>
      </c>
      <c r="Q20" s="1136" t="str">
        <f t="shared" ref="Q20:Q25" si="2">IF(ISBLANK(K20)," ",IF(P20&lt;10,"Yes","No"))</f>
        <v xml:space="preserve"> </v>
      </c>
    </row>
    <row r="21" spans="1:17" ht="15.95" customHeight="1" thickBot="1">
      <c r="A21" s="849"/>
      <c r="B21" s="850"/>
      <c r="C21" s="850"/>
      <c r="D21" s="850"/>
      <c r="E21" s="850"/>
      <c r="F21" s="850"/>
      <c r="G21" s="851"/>
      <c r="H21" s="852"/>
      <c r="I21" s="1103"/>
      <c r="J21" s="1135" t="str">
        <f>IF(ISBLANK(K21)," ",J20+1)</f>
        <v xml:space="preserve"> </v>
      </c>
      <c r="K21" s="1134"/>
      <c r="L21" s="726"/>
      <c r="M21" s="1465"/>
      <c r="N21" s="1465"/>
      <c r="O21" s="1133" t="str">
        <f t="shared" si="0"/>
        <v xml:space="preserve"> </v>
      </c>
      <c r="P21" s="1133" t="str">
        <f t="shared" si="1"/>
        <v/>
      </c>
      <c r="Q21" s="1136" t="str">
        <f t="shared" si="2"/>
        <v xml:space="preserve"> </v>
      </c>
    </row>
    <row r="22" spans="1:17" ht="15.95" customHeight="1">
      <c r="A22" s="2757" t="s">
        <v>927</v>
      </c>
      <c r="B22" s="2758"/>
      <c r="C22" s="2758"/>
      <c r="D22" s="2758"/>
      <c r="E22" s="2758"/>
      <c r="F22" s="2758"/>
      <c r="G22" s="2758"/>
      <c r="H22" s="2758"/>
      <c r="I22" s="2759"/>
      <c r="J22" s="1135" t="str">
        <f>IF(ISBLANK(K22)," ",J21+1)</f>
        <v xml:space="preserve"> </v>
      </c>
      <c r="K22" s="1134"/>
      <c r="L22" s="726"/>
      <c r="M22" s="1465"/>
      <c r="N22" s="1465"/>
      <c r="O22" s="1133" t="str">
        <f t="shared" si="0"/>
        <v xml:space="preserve"> </v>
      </c>
      <c r="P22" s="1133" t="str">
        <f t="shared" si="1"/>
        <v/>
      </c>
      <c r="Q22" s="1136" t="str">
        <f t="shared" si="2"/>
        <v xml:space="preserve"> </v>
      </c>
    </row>
    <row r="23" spans="1:17" ht="15.95" customHeight="1">
      <c r="A23" s="1115"/>
      <c r="B23" s="1116"/>
      <c r="C23" s="1116"/>
      <c r="D23" s="1116"/>
      <c r="E23" s="1116"/>
      <c r="F23" s="1116"/>
      <c r="G23" s="1500"/>
      <c r="H23" s="1502"/>
      <c r="I23" s="783"/>
      <c r="J23" s="1135" t="str">
        <f>IF(ISBLANK(K23)," ",J22+1)</f>
        <v xml:space="preserve"> </v>
      </c>
      <c r="K23" s="1134"/>
      <c r="L23" s="726"/>
      <c r="M23" s="1132"/>
      <c r="N23" s="1132"/>
      <c r="O23" s="1133" t="str">
        <f t="shared" si="0"/>
        <v xml:space="preserve"> </v>
      </c>
      <c r="P23" s="1133" t="str">
        <f t="shared" si="1"/>
        <v/>
      </c>
      <c r="Q23" s="1136" t="str">
        <f t="shared" si="2"/>
        <v xml:space="preserve"> </v>
      </c>
    </row>
    <row r="24" spans="1:17" ht="15.95" customHeight="1">
      <c r="A24" s="2767"/>
      <c r="B24" s="2768"/>
      <c r="C24" s="2768"/>
      <c r="D24" s="2768"/>
      <c r="E24" s="2768"/>
      <c r="F24" s="2768"/>
      <c r="G24" s="2768"/>
      <c r="H24" s="2768"/>
      <c r="I24" s="2769"/>
      <c r="J24" s="1135" t="str">
        <f>IF(ISBLANK(K24)," ",J23+1)</f>
        <v xml:space="preserve"> </v>
      </c>
      <c r="K24" s="1134"/>
      <c r="L24" s="726"/>
      <c r="M24" s="1132"/>
      <c r="N24" s="1132"/>
      <c r="O24" s="1133" t="str">
        <f t="shared" si="0"/>
        <v xml:space="preserve"> </v>
      </c>
      <c r="P24" s="1133" t="str">
        <f t="shared" si="1"/>
        <v/>
      </c>
      <c r="Q24" s="1136" t="str">
        <f t="shared" si="2"/>
        <v xml:space="preserve"> </v>
      </c>
    </row>
    <row r="25" spans="1:17" ht="15.95" customHeight="1">
      <c r="A25" s="1117"/>
      <c r="B25" s="881"/>
      <c r="C25" s="881"/>
      <c r="D25" s="881"/>
      <c r="E25" s="881"/>
      <c r="F25" s="881"/>
      <c r="G25" s="881"/>
      <c r="H25" s="881"/>
      <c r="I25" s="1118"/>
      <c r="J25" s="1135" t="str">
        <f>IF(ISBLANK(K25)," ",J24+1)</f>
        <v xml:space="preserve"> </v>
      </c>
      <c r="K25" s="1134"/>
      <c r="L25" s="726"/>
      <c r="M25" s="1132"/>
      <c r="N25" s="1132"/>
      <c r="O25" s="1133" t="str">
        <f t="shared" si="0"/>
        <v xml:space="preserve"> </v>
      </c>
      <c r="P25" s="1133" t="str">
        <f t="shared" si="1"/>
        <v/>
      </c>
      <c r="Q25" s="1136" t="str">
        <f t="shared" si="2"/>
        <v xml:space="preserve"> </v>
      </c>
    </row>
    <row r="26" spans="1:17" s="785" customFormat="1" ht="6" customHeight="1">
      <c r="A26" s="784"/>
      <c r="B26" s="609"/>
      <c r="C26" s="609"/>
      <c r="D26" s="609"/>
      <c r="E26" s="609"/>
      <c r="F26" s="609"/>
      <c r="G26" s="609"/>
      <c r="H26" s="609"/>
      <c r="I26" s="1101"/>
      <c r="J26" s="878" t="str">
        <f>IF(ISBLANK(K25)," ",J25+1)</f>
        <v xml:space="preserve"> </v>
      </c>
      <c r="K26" s="1504"/>
      <c r="L26" s="1504"/>
      <c r="M26" s="1505"/>
      <c r="N26" s="1505"/>
      <c r="O26" s="807" t="str">
        <f>IF(ISBLANK(K26),"",((L26-K26)/M26-N26))</f>
        <v/>
      </c>
      <c r="P26" s="611" t="str">
        <f>IF(ISBLANK(K26)," ",IF(O26&lt;10,"Yes","No"))</f>
        <v xml:space="preserve"> </v>
      </c>
      <c r="Q26" s="1101" t="str">
        <f>IF(ISBLANK(K26)," ",IF(P26&lt;10,"Yes","No"))</f>
        <v xml:space="preserve"> </v>
      </c>
    </row>
    <row r="27" spans="1:17" ht="18" customHeight="1">
      <c r="A27" s="2770"/>
      <c r="B27" s="2475"/>
      <c r="C27" s="610"/>
      <c r="D27" s="2465"/>
      <c r="E27" s="2465"/>
      <c r="G27" s="1119"/>
      <c r="I27" s="1106"/>
      <c r="J27" s="2735" t="s">
        <v>928</v>
      </c>
      <c r="K27" s="2736"/>
      <c r="L27" s="2736"/>
      <c r="M27" s="2736"/>
      <c r="N27" s="2737"/>
      <c r="O27" s="727"/>
      <c r="P27" s="792" t="s">
        <v>926</v>
      </c>
      <c r="Q27" s="783"/>
    </row>
    <row r="28" spans="1:17" ht="6" customHeight="1" thickBot="1">
      <c r="A28" s="2697"/>
      <c r="B28" s="2465"/>
      <c r="C28" s="611"/>
      <c r="D28" s="2465"/>
      <c r="E28" s="2752"/>
      <c r="G28" s="611"/>
      <c r="I28" s="1101"/>
      <c r="J28" s="784"/>
      <c r="Q28" s="783"/>
    </row>
    <row r="29" spans="1:17" ht="6.6" customHeight="1">
      <c r="A29" s="784"/>
      <c r="I29" s="1101"/>
      <c r="J29" s="2771"/>
      <c r="K29" s="2772"/>
      <c r="L29" s="1488"/>
      <c r="M29" s="2572"/>
      <c r="N29" s="2572"/>
      <c r="O29" s="1565"/>
      <c r="P29" s="1491"/>
      <c r="Q29" s="779"/>
    </row>
    <row r="30" spans="1:17" ht="18" customHeight="1">
      <c r="A30" s="784"/>
      <c r="I30" s="1101"/>
      <c r="J30" s="2745" t="s">
        <v>549</v>
      </c>
      <c r="K30" s="2485"/>
      <c r="L30" s="2796"/>
      <c r="M30" s="2796"/>
      <c r="N30" s="2796"/>
      <c r="O30" s="808"/>
      <c r="P30" s="611"/>
      <c r="Q30" s="783"/>
    </row>
    <row r="31" spans="1:17" ht="6" customHeight="1">
      <c r="A31" s="784"/>
      <c r="I31" s="1101"/>
      <c r="J31" s="877"/>
      <c r="K31" s="776"/>
      <c r="L31" s="776"/>
      <c r="M31" s="1486"/>
      <c r="N31" s="1486"/>
      <c r="O31" s="808"/>
      <c r="P31" s="611"/>
      <c r="Q31" s="783"/>
    </row>
    <row r="32" spans="1:17" ht="17.100000000000001" customHeight="1">
      <c r="A32" s="784"/>
      <c r="I32" s="1101"/>
      <c r="J32" s="2745" t="s">
        <v>929</v>
      </c>
      <c r="K32" s="2484"/>
      <c r="L32" s="776" t="s">
        <v>897</v>
      </c>
      <c r="M32" s="2747"/>
      <c r="N32" s="2748"/>
      <c r="O32" s="808" t="s">
        <v>898</v>
      </c>
      <c r="P32" s="1109"/>
      <c r="Q32" s="783" t="s">
        <v>762</v>
      </c>
    </row>
    <row r="33" spans="1:17" ht="6.6" customHeight="1">
      <c r="A33" s="784"/>
      <c r="I33" s="1101"/>
      <c r="J33" s="877"/>
      <c r="K33" s="776"/>
      <c r="L33" s="776"/>
      <c r="M33" s="1486"/>
      <c r="N33" s="1486"/>
      <c r="O33" s="808"/>
      <c r="P33" s="611"/>
      <c r="Q33" s="783"/>
    </row>
    <row r="34" spans="1:17" ht="18.95" customHeight="1">
      <c r="A34" s="784"/>
      <c r="I34" s="1101"/>
      <c r="J34" s="784"/>
      <c r="K34" s="609" t="s">
        <v>901</v>
      </c>
      <c r="L34" s="785"/>
      <c r="M34" s="785"/>
      <c r="N34" s="785"/>
      <c r="O34" s="776" t="s">
        <v>902</v>
      </c>
      <c r="P34" s="1109"/>
      <c r="Q34" s="783" t="s">
        <v>903</v>
      </c>
    </row>
    <row r="35" spans="1:17" ht="18" customHeight="1">
      <c r="A35" s="784"/>
      <c r="I35" s="1101"/>
      <c r="J35" s="784"/>
      <c r="K35" s="802" t="s">
        <v>696</v>
      </c>
      <c r="L35" s="2786" t="s">
        <v>904</v>
      </c>
      <c r="M35" s="2787"/>
      <c r="Q35" s="783"/>
    </row>
    <row r="36" spans="1:17" ht="18" customHeight="1">
      <c r="A36" s="784"/>
      <c r="I36" s="1101"/>
      <c r="J36" s="784"/>
      <c r="K36" s="1130"/>
      <c r="L36" s="2746"/>
      <c r="M36" s="2746"/>
      <c r="O36" s="2734" t="s">
        <v>906</v>
      </c>
      <c r="P36" s="2734"/>
      <c r="Q36" s="783"/>
    </row>
    <row r="37" spans="1:17" ht="17.45" customHeight="1">
      <c r="A37" s="784"/>
      <c r="I37" s="1101"/>
      <c r="J37" s="877"/>
      <c r="K37" s="1130"/>
      <c r="L37" s="2746"/>
      <c r="M37" s="2746"/>
      <c r="O37" s="2734"/>
      <c r="P37" s="2734"/>
      <c r="Q37" s="786"/>
    </row>
    <row r="38" spans="1:17" ht="17.45" customHeight="1">
      <c r="A38" s="784"/>
      <c r="I38" s="1101"/>
      <c r="J38" s="784"/>
      <c r="K38" s="1130"/>
      <c r="L38" s="2746"/>
      <c r="M38" s="2746"/>
      <c r="O38" s="2734"/>
      <c r="P38" s="2734"/>
      <c r="Q38" s="786"/>
    </row>
    <row r="39" spans="1:17" ht="9.6" customHeight="1">
      <c r="A39" s="784"/>
      <c r="I39" s="1101"/>
      <c r="J39" s="784"/>
      <c r="Q39" s="783"/>
    </row>
    <row r="40" spans="1:17" ht="18" customHeight="1">
      <c r="A40" s="784"/>
      <c r="I40" s="1101"/>
      <c r="J40" s="2744" t="s">
        <v>915</v>
      </c>
      <c r="K40" s="2732" t="s">
        <v>916</v>
      </c>
      <c r="L40" s="2732" t="s">
        <v>917</v>
      </c>
      <c r="M40" s="2732" t="s">
        <v>918</v>
      </c>
      <c r="N40" s="2751" t="s">
        <v>919</v>
      </c>
      <c r="O40" s="2732" t="s">
        <v>920</v>
      </c>
      <c r="P40" s="2732" t="s">
        <v>921</v>
      </c>
      <c r="Q40" s="2733" t="s">
        <v>922</v>
      </c>
    </row>
    <row r="41" spans="1:17" ht="18" customHeight="1">
      <c r="A41" s="784"/>
      <c r="I41" s="1101"/>
      <c r="J41" s="2744"/>
      <c r="K41" s="2732"/>
      <c r="L41" s="2732"/>
      <c r="M41" s="2732"/>
      <c r="N41" s="2751"/>
      <c r="O41" s="2732"/>
      <c r="P41" s="2732"/>
      <c r="Q41" s="2733"/>
    </row>
    <row r="42" spans="1:17" ht="15.95" customHeight="1">
      <c r="A42" s="784"/>
      <c r="I42" s="1101"/>
      <c r="J42" s="1135">
        <v>1</v>
      </c>
      <c r="K42" s="726"/>
      <c r="L42" s="726"/>
      <c r="M42" s="1465"/>
      <c r="N42" s="1465"/>
      <c r="O42" s="1133" t="str">
        <f>IF(ISBLANK(K42)," ",(ROUND(((L42-K42)*1440)/(ABS(N42-M42)),1)))</f>
        <v xml:space="preserve"> </v>
      </c>
      <c r="P42" s="915" t="s">
        <v>194</v>
      </c>
      <c r="Q42" s="1136" t="s">
        <v>194</v>
      </c>
    </row>
    <row r="43" spans="1:17" ht="15.95" customHeight="1">
      <c r="A43" s="784"/>
      <c r="I43" s="1101"/>
      <c r="J43" s="1135">
        <v>2</v>
      </c>
      <c r="K43" s="726"/>
      <c r="L43" s="726"/>
      <c r="M43" s="1465"/>
      <c r="N43" s="1465"/>
      <c r="O43" s="1133" t="str">
        <f t="shared" ref="O43:O49" si="3">IF(ISBLANK(K43)," ",(ROUND(((L43-K43)*1440)/(ABS(N43-M43)),1)))</f>
        <v xml:space="preserve"> </v>
      </c>
      <c r="P43" s="915" t="s">
        <v>194</v>
      </c>
      <c r="Q43" s="1136" t="s">
        <v>194</v>
      </c>
    </row>
    <row r="44" spans="1:17" ht="15.95" customHeight="1">
      <c r="A44" s="784"/>
      <c r="I44" s="1101"/>
      <c r="J44" s="1135">
        <v>3</v>
      </c>
      <c r="K44" s="726"/>
      <c r="L44" s="726"/>
      <c r="M44" s="1465"/>
      <c r="N44" s="1465"/>
      <c r="O44" s="1133" t="str">
        <f t="shared" si="3"/>
        <v xml:space="preserve"> </v>
      </c>
      <c r="P44" s="1133" t="str">
        <f t="shared" ref="P44:P49" si="4">IF(ISBLANK(K44), "",((MAX(O42:O44)-MIN(O42:O44))/MIN(O42:O44)*100))</f>
        <v/>
      </c>
      <c r="Q44" s="1136" t="str">
        <f t="shared" ref="Q44:Q49" si="5">IF(ISBLANK(K44)," ",IF(P44&lt;10,"Yes","No"))</f>
        <v xml:space="preserve"> </v>
      </c>
    </row>
    <row r="45" spans="1:17" ht="15.95" customHeight="1">
      <c r="A45" s="784"/>
      <c r="I45" s="1101"/>
      <c r="J45" s="1135" t="str">
        <f>IF(ISBLANK(K45)," ",J44+1)</f>
        <v xml:space="preserve"> </v>
      </c>
      <c r="K45" s="1134"/>
      <c r="L45" s="726"/>
      <c r="M45" s="1465"/>
      <c r="N45" s="1465"/>
      <c r="O45" s="1133" t="str">
        <f t="shared" si="3"/>
        <v xml:space="preserve"> </v>
      </c>
      <c r="P45" s="1133" t="str">
        <f t="shared" si="4"/>
        <v/>
      </c>
      <c r="Q45" s="1136" t="str">
        <f t="shared" si="5"/>
        <v xml:space="preserve"> </v>
      </c>
    </row>
    <row r="46" spans="1:17" ht="15.95" customHeight="1">
      <c r="A46" s="784"/>
      <c r="I46" s="1101"/>
      <c r="J46" s="1135" t="str">
        <f>IF(ISBLANK(K46)," ",J45+1)</f>
        <v xml:space="preserve"> </v>
      </c>
      <c r="K46" s="1134"/>
      <c r="L46" s="726"/>
      <c r="M46" s="1465"/>
      <c r="N46" s="1465"/>
      <c r="O46" s="1133" t="str">
        <f t="shared" si="3"/>
        <v xml:space="preserve"> </v>
      </c>
      <c r="P46" s="1133" t="str">
        <f t="shared" si="4"/>
        <v/>
      </c>
      <c r="Q46" s="1136" t="str">
        <f t="shared" si="5"/>
        <v xml:space="preserve"> </v>
      </c>
    </row>
    <row r="47" spans="1:17" ht="15.95" customHeight="1">
      <c r="A47" s="784"/>
      <c r="I47" s="1101"/>
      <c r="J47" s="1135" t="str">
        <f>IF(ISBLANK(K47)," ",J46+1)</f>
        <v xml:space="preserve"> </v>
      </c>
      <c r="K47" s="1134"/>
      <c r="L47" s="726"/>
      <c r="M47" s="1132"/>
      <c r="N47" s="1132"/>
      <c r="O47" s="1133" t="str">
        <f t="shared" si="3"/>
        <v xml:space="preserve"> </v>
      </c>
      <c r="P47" s="1133" t="str">
        <f t="shared" si="4"/>
        <v/>
      </c>
      <c r="Q47" s="1136" t="str">
        <f t="shared" si="5"/>
        <v xml:space="preserve"> </v>
      </c>
    </row>
    <row r="48" spans="1:17" ht="15.95" customHeight="1">
      <c r="A48" s="784"/>
      <c r="I48" s="1101"/>
      <c r="J48" s="1135" t="str">
        <f>IF(ISBLANK(K48)," ",J47+1)</f>
        <v xml:space="preserve"> </v>
      </c>
      <c r="K48" s="1134"/>
      <c r="L48" s="726"/>
      <c r="M48" s="1132"/>
      <c r="N48" s="1132"/>
      <c r="O48" s="1133" t="str">
        <f t="shared" si="3"/>
        <v xml:space="preserve"> </v>
      </c>
      <c r="P48" s="1133" t="str">
        <f t="shared" si="4"/>
        <v/>
      </c>
      <c r="Q48" s="1136" t="str">
        <f t="shared" si="5"/>
        <v xml:space="preserve"> </v>
      </c>
    </row>
    <row r="49" spans="1:17" ht="15.95" customHeight="1">
      <c r="A49" s="784"/>
      <c r="I49" s="1101"/>
      <c r="J49" s="1135" t="str">
        <f>IF(ISBLANK(K49)," ",J48+1)</f>
        <v xml:space="preserve"> </v>
      </c>
      <c r="K49" s="1134"/>
      <c r="L49" s="726"/>
      <c r="M49" s="1132"/>
      <c r="N49" s="1132"/>
      <c r="O49" s="1133" t="str">
        <f t="shared" si="3"/>
        <v xml:space="preserve"> </v>
      </c>
      <c r="P49" s="1133" t="str">
        <f t="shared" si="4"/>
        <v/>
      </c>
      <c r="Q49" s="1136" t="str">
        <f t="shared" si="5"/>
        <v xml:space="preserve"> </v>
      </c>
    </row>
    <row r="50" spans="1:17" ht="22.5" customHeight="1" thickBot="1">
      <c r="A50" s="791"/>
      <c r="B50" s="891"/>
      <c r="C50" s="891"/>
      <c r="D50" s="891"/>
      <c r="E50" s="891"/>
      <c r="F50" s="891"/>
      <c r="G50" s="891"/>
      <c r="H50" s="891"/>
      <c r="I50" s="1102"/>
      <c r="J50" s="2738" t="s">
        <v>930</v>
      </c>
      <c r="K50" s="2739"/>
      <c r="L50" s="2739"/>
      <c r="M50" s="2739"/>
      <c r="N50" s="2740"/>
      <c r="O50" s="1480"/>
      <c r="P50" s="852" t="s">
        <v>926</v>
      </c>
      <c r="Q50" s="1103"/>
    </row>
    <row r="51" spans="1:17" ht="54.95" customHeight="1" thickBot="1">
      <c r="A51" s="777"/>
      <c r="B51" s="778"/>
      <c r="C51" s="2766" t="s">
        <v>893</v>
      </c>
      <c r="D51" s="2766"/>
      <c r="E51" s="2766"/>
      <c r="F51" s="2766"/>
      <c r="G51" s="778"/>
      <c r="H51" s="778"/>
      <c r="I51" s="779"/>
      <c r="J51" s="804"/>
      <c r="K51" s="805"/>
      <c r="L51" s="2761" t="s">
        <v>894</v>
      </c>
      <c r="M51" s="2761"/>
      <c r="N51" s="2761"/>
      <c r="O51" s="803"/>
      <c r="P51" s="805"/>
      <c r="Q51" s="806"/>
    </row>
    <row r="52" spans="1:17" ht="17.45" customHeight="1">
      <c r="A52" s="1494"/>
      <c r="B52" s="1495"/>
      <c r="C52" s="1495"/>
      <c r="D52" s="1496" t="s">
        <v>551</v>
      </c>
      <c r="E52" s="2774" t="str">
        <f>IF(ISBLANK(Prelim!S5)," ",Prelim!S5)</f>
        <v xml:space="preserve"> </v>
      </c>
      <c r="F52" s="2774"/>
      <c r="G52" s="1495"/>
      <c r="H52" s="1495"/>
      <c r="I52" s="1497"/>
      <c r="J52" s="1506"/>
      <c r="K52" s="1495"/>
      <c r="L52" s="1496" t="s">
        <v>892</v>
      </c>
      <c r="M52" s="1466" t="str">
        <f>IF(ISBLANK(Prelim!S5)," ",Prelim!S5)</f>
        <v xml:space="preserve"> </v>
      </c>
      <c r="N52" s="1507"/>
      <c r="O52" s="1495"/>
      <c r="P52" s="1495"/>
      <c r="Q52" s="1508"/>
    </row>
    <row r="53" spans="1:17" ht="5.25" customHeight="1">
      <c r="A53" s="1100"/>
      <c r="B53" s="785"/>
      <c r="C53" s="785"/>
      <c r="D53" s="1498"/>
      <c r="E53" s="1499"/>
      <c r="F53" s="1499"/>
      <c r="G53" s="785"/>
      <c r="H53" s="785"/>
      <c r="I53" s="786"/>
      <c r="J53" s="1128"/>
      <c r="K53" s="785"/>
      <c r="L53" s="1498"/>
      <c r="M53" s="1499"/>
      <c r="N53" s="1499"/>
      <c r="O53" s="785"/>
      <c r="P53" s="785"/>
      <c r="Q53" s="1098"/>
    </row>
    <row r="54" spans="1:17" ht="18" customHeight="1">
      <c r="A54" s="2745" t="s">
        <v>549</v>
      </c>
      <c r="B54" s="2485"/>
      <c r="C54" s="2795"/>
      <c r="D54" s="2795"/>
      <c r="E54" s="2795"/>
      <c r="F54" s="785"/>
      <c r="G54" s="785"/>
      <c r="H54" s="785"/>
      <c r="I54" s="786"/>
      <c r="J54" s="2745" t="s">
        <v>549</v>
      </c>
      <c r="K54" s="2485"/>
      <c r="L54" s="2795"/>
      <c r="M54" s="2760"/>
      <c r="N54" s="2760"/>
      <c r="O54" s="785"/>
      <c r="P54" s="785"/>
      <c r="Q54" s="786"/>
    </row>
    <row r="55" spans="1:17" ht="5.25" customHeight="1">
      <c r="A55" s="1100"/>
      <c r="B55" s="785"/>
      <c r="C55" s="1486"/>
      <c r="D55" s="1486"/>
      <c r="E55" s="1486"/>
      <c r="F55" s="785"/>
      <c r="G55" s="785"/>
      <c r="H55" s="785"/>
      <c r="I55" s="786"/>
      <c r="J55" s="1100"/>
      <c r="K55" s="785"/>
      <c r="L55" s="785"/>
      <c r="M55" s="785"/>
      <c r="N55" s="785"/>
      <c r="O55" s="785"/>
      <c r="P55" s="785"/>
      <c r="Q55" s="786"/>
    </row>
    <row r="56" spans="1:17" ht="18" customHeight="1">
      <c r="A56" s="784"/>
      <c r="B56" s="2475" t="s">
        <v>931</v>
      </c>
      <c r="C56" s="2475"/>
      <c r="D56" s="776" t="s">
        <v>897</v>
      </c>
      <c r="E56" s="2747"/>
      <c r="F56" s="2748"/>
      <c r="G56" s="808" t="s">
        <v>898</v>
      </c>
      <c r="H56" s="1109"/>
      <c r="I56" s="783" t="s">
        <v>762</v>
      </c>
      <c r="J56" s="2745" t="s">
        <v>932</v>
      </c>
      <c r="K56" s="2484"/>
      <c r="L56" s="776" t="s">
        <v>897</v>
      </c>
      <c r="M56" s="2747"/>
      <c r="N56" s="2748"/>
      <c r="O56" s="808" t="s">
        <v>898</v>
      </c>
      <c r="P56" s="1109"/>
      <c r="Q56" s="783" t="s">
        <v>762</v>
      </c>
    </row>
    <row r="57" spans="1:17" ht="18" customHeight="1">
      <c r="A57" s="784"/>
      <c r="B57" s="776"/>
      <c r="C57" s="1493"/>
      <c r="E57" s="785"/>
      <c r="F57" s="1487"/>
      <c r="H57" s="611"/>
      <c r="I57" s="787"/>
      <c r="J57" s="784"/>
      <c r="K57" s="776"/>
      <c r="M57" s="785"/>
      <c r="N57" s="1487"/>
      <c r="P57" s="611"/>
      <c r="Q57" s="787"/>
    </row>
    <row r="58" spans="1:17" ht="18" customHeight="1">
      <c r="A58" s="784"/>
      <c r="B58" s="609" t="s">
        <v>901</v>
      </c>
      <c r="D58" s="785"/>
      <c r="E58" s="785"/>
      <c r="F58" s="785"/>
      <c r="G58" s="776" t="s">
        <v>902</v>
      </c>
      <c r="H58" s="1109"/>
      <c r="I58" s="783" t="s">
        <v>903</v>
      </c>
      <c r="J58" s="784"/>
      <c r="K58" s="609" t="s">
        <v>901</v>
      </c>
      <c r="L58" s="785"/>
      <c r="M58" s="785"/>
      <c r="N58" s="785"/>
      <c r="O58" s="776" t="s">
        <v>902</v>
      </c>
      <c r="P58" s="1109"/>
      <c r="Q58" s="783" t="s">
        <v>903</v>
      </c>
    </row>
    <row r="59" spans="1:17" ht="18" customHeight="1">
      <c r="A59" s="784"/>
      <c r="B59" s="2742" t="s">
        <v>696</v>
      </c>
      <c r="C59" s="2742"/>
      <c r="D59" s="2743" t="s">
        <v>904</v>
      </c>
      <c r="E59" s="2743"/>
      <c r="I59" s="783"/>
      <c r="J59" s="784"/>
      <c r="K59" s="2742" t="s">
        <v>696</v>
      </c>
      <c r="L59" s="2743" t="s">
        <v>904</v>
      </c>
      <c r="M59" s="2743"/>
      <c r="Q59" s="783"/>
    </row>
    <row r="60" spans="1:17" ht="18" customHeight="1">
      <c r="A60" s="784"/>
      <c r="B60" s="2742"/>
      <c r="C60" s="2742"/>
      <c r="D60" s="2743"/>
      <c r="E60" s="2743"/>
      <c r="G60" s="2734" t="s">
        <v>906</v>
      </c>
      <c r="H60" s="2734"/>
      <c r="I60" s="783"/>
      <c r="J60" s="784"/>
      <c r="K60" s="2742"/>
      <c r="L60" s="2743"/>
      <c r="M60" s="2743"/>
      <c r="O60" s="2734" t="s">
        <v>906</v>
      </c>
      <c r="P60" s="2734"/>
      <c r="Q60" s="783"/>
    </row>
    <row r="61" spans="1:17" ht="18" customHeight="1">
      <c r="A61" s="877"/>
      <c r="B61" s="2746"/>
      <c r="C61" s="2746"/>
      <c r="D61" s="2746"/>
      <c r="E61" s="2746"/>
      <c r="G61" s="2734"/>
      <c r="H61" s="2734"/>
      <c r="I61" s="786"/>
      <c r="J61" s="877"/>
      <c r="K61" s="1130"/>
      <c r="L61" s="2746"/>
      <c r="M61" s="2746"/>
      <c r="O61" s="2734"/>
      <c r="P61" s="2734"/>
      <c r="Q61" s="786"/>
    </row>
    <row r="62" spans="1:17" ht="18" customHeight="1">
      <c r="A62" s="784"/>
      <c r="B62" s="2746"/>
      <c r="C62" s="2746"/>
      <c r="D62" s="2746"/>
      <c r="E62" s="2746"/>
      <c r="G62" s="2734"/>
      <c r="H62" s="2734"/>
      <c r="I62" s="786"/>
      <c r="J62" s="784"/>
      <c r="K62" s="1130"/>
      <c r="L62" s="2746"/>
      <c r="M62" s="2746"/>
      <c r="O62" s="2734"/>
      <c r="P62" s="2734"/>
      <c r="Q62" s="786"/>
    </row>
    <row r="63" spans="1:17" ht="18" customHeight="1">
      <c r="A63" s="784"/>
      <c r="B63" s="2746"/>
      <c r="C63" s="2746"/>
      <c r="D63" s="2746"/>
      <c r="E63" s="2746"/>
      <c r="G63" s="2734"/>
      <c r="H63" s="2734"/>
      <c r="I63" s="786"/>
      <c r="J63" s="784"/>
      <c r="K63" s="1130"/>
      <c r="L63" s="2746"/>
      <c r="M63" s="2746"/>
      <c r="O63" s="2734"/>
      <c r="P63" s="2734"/>
      <c r="Q63" s="786"/>
    </row>
    <row r="64" spans="1:17" ht="18" customHeight="1">
      <c r="A64" s="2754" t="s">
        <v>933</v>
      </c>
      <c r="B64" s="2755"/>
      <c r="C64" s="2755"/>
      <c r="D64" s="2755"/>
      <c r="E64" s="2755"/>
      <c r="F64" s="2755"/>
      <c r="G64" s="2755"/>
      <c r="H64" s="2755"/>
      <c r="I64" s="2756"/>
      <c r="J64" s="2754" t="s">
        <v>913</v>
      </c>
      <c r="K64" s="2755"/>
      <c r="L64" s="2755"/>
      <c r="M64" s="2755"/>
      <c r="N64" s="2755"/>
      <c r="O64" s="2755"/>
      <c r="P64" s="2755"/>
      <c r="Q64" s="2756"/>
    </row>
    <row r="65" spans="1:17" ht="18" customHeight="1">
      <c r="A65" s="784" t="s">
        <v>934</v>
      </c>
      <c r="I65" s="783"/>
      <c r="J65" s="784" t="s">
        <v>934</v>
      </c>
      <c r="Q65" s="783"/>
    </row>
    <row r="66" spans="1:17">
      <c r="A66" s="2744" t="s">
        <v>915</v>
      </c>
      <c r="B66" s="2732" t="s">
        <v>916</v>
      </c>
      <c r="C66" s="2732"/>
      <c r="D66" s="2732" t="s">
        <v>917</v>
      </c>
      <c r="E66" s="2732" t="s">
        <v>918</v>
      </c>
      <c r="F66" s="2751" t="s">
        <v>919</v>
      </c>
      <c r="G66" s="2732" t="s">
        <v>920</v>
      </c>
      <c r="H66" s="2732" t="s">
        <v>921</v>
      </c>
      <c r="I66" s="2733" t="s">
        <v>922</v>
      </c>
      <c r="J66" s="2744" t="s">
        <v>915</v>
      </c>
      <c r="K66" s="2732" t="s">
        <v>916</v>
      </c>
      <c r="L66" s="2732" t="s">
        <v>917</v>
      </c>
      <c r="M66" s="2732" t="s">
        <v>918</v>
      </c>
      <c r="N66" s="2751" t="s">
        <v>919</v>
      </c>
      <c r="O66" s="2732" t="s">
        <v>920</v>
      </c>
      <c r="P66" s="2732" t="s">
        <v>921</v>
      </c>
      <c r="Q66" s="2733" t="s">
        <v>922</v>
      </c>
    </row>
    <row r="67" spans="1:17">
      <c r="A67" s="2744"/>
      <c r="B67" s="2732"/>
      <c r="C67" s="2732"/>
      <c r="D67" s="2732"/>
      <c r="E67" s="2732"/>
      <c r="F67" s="2751"/>
      <c r="G67" s="2732"/>
      <c r="H67" s="2732"/>
      <c r="I67" s="2733"/>
      <c r="J67" s="2744"/>
      <c r="K67" s="2732"/>
      <c r="L67" s="2732"/>
      <c r="M67" s="2732"/>
      <c r="N67" s="2751"/>
      <c r="O67" s="2732"/>
      <c r="P67" s="2732"/>
      <c r="Q67" s="2733"/>
    </row>
    <row r="68" spans="1:17" ht="14.45" customHeight="1">
      <c r="A68" s="1135">
        <f>A67+1</f>
        <v>1</v>
      </c>
      <c r="B68" s="2753"/>
      <c r="C68" s="2753"/>
      <c r="D68" s="726"/>
      <c r="E68" s="1465"/>
      <c r="F68" s="1465"/>
      <c r="G68" s="1133" t="str">
        <f t="shared" ref="G68:G75" si="6">IF(ISBLANK(B68)," ",(ROUND(((D68-B68)*1440)/(ABS(F68-E68)),1)))</f>
        <v xml:space="preserve"> </v>
      </c>
      <c r="H68" s="915" t="s">
        <v>194</v>
      </c>
      <c r="I68" s="1136" t="s">
        <v>194</v>
      </c>
      <c r="J68" s="1135">
        <v>1</v>
      </c>
      <c r="K68" s="726"/>
      <c r="L68" s="726"/>
      <c r="M68" s="1465"/>
      <c r="N68" s="1465"/>
      <c r="O68" s="1133" t="str">
        <f>IF(ISBLANK(K68)," ",(ROUND(((L68-K68)*1440)/(ABS(N68-M68)),1)))</f>
        <v xml:space="preserve"> </v>
      </c>
      <c r="P68" s="915" t="s">
        <v>194</v>
      </c>
      <c r="Q68" s="1136" t="s">
        <v>194</v>
      </c>
    </row>
    <row r="69" spans="1:17">
      <c r="A69" s="1135">
        <f>A68+1</f>
        <v>2</v>
      </c>
      <c r="B69" s="2753"/>
      <c r="C69" s="2753"/>
      <c r="D69" s="726"/>
      <c r="E69" s="1465"/>
      <c r="F69" s="1465"/>
      <c r="G69" s="1133" t="str">
        <f t="shared" si="6"/>
        <v xml:space="preserve"> </v>
      </c>
      <c r="H69" s="915" t="s">
        <v>194</v>
      </c>
      <c r="I69" s="1136" t="s">
        <v>194</v>
      </c>
      <c r="J69" s="1135">
        <v>2</v>
      </c>
      <c r="K69" s="726"/>
      <c r="L69" s="726"/>
      <c r="M69" s="1465"/>
      <c r="N69" s="1465"/>
      <c r="O69" s="1133" t="str">
        <f t="shared" ref="O69:O75" si="7">IF(ISBLANK(K69)," ",(ROUND(((L69-K69)*1440)/(ABS(N69-M69)),1)))</f>
        <v xml:space="preserve"> </v>
      </c>
      <c r="P69" s="915" t="s">
        <v>194</v>
      </c>
      <c r="Q69" s="1136" t="s">
        <v>194</v>
      </c>
    </row>
    <row r="70" spans="1:17" ht="14.45" customHeight="1">
      <c r="A70" s="1135">
        <v>3</v>
      </c>
      <c r="B70" s="2753"/>
      <c r="C70" s="2753"/>
      <c r="D70" s="726"/>
      <c r="E70" s="1465"/>
      <c r="F70" s="1465"/>
      <c r="G70" s="1133" t="str">
        <f t="shared" si="6"/>
        <v xml:space="preserve"> </v>
      </c>
      <c r="H70" s="1133" t="str">
        <f>IF(ISBLANK(B70), "",((MAX(G68:G70)-MIN(G68:G70))/MIN(G68:G70)*100))</f>
        <v/>
      </c>
      <c r="I70" s="1136" t="str">
        <f>IF(ISBLANK(B70)," ",IF(H70&lt;=10,"Yes","No"))</f>
        <v xml:space="preserve"> </v>
      </c>
      <c r="J70" s="1135">
        <v>3</v>
      </c>
      <c r="K70" s="726"/>
      <c r="L70" s="726"/>
      <c r="M70" s="1465"/>
      <c r="N70" s="1465"/>
      <c r="O70" s="1133" t="str">
        <f t="shared" si="7"/>
        <v xml:space="preserve"> </v>
      </c>
      <c r="P70" s="1133" t="str">
        <f t="shared" ref="P70:P75" si="8">IF(ISBLANK(K70), "",((MAX(O68:O70)-MIN(O68:O70))/MIN(O68:O70)*100))</f>
        <v/>
      </c>
      <c r="Q70" s="1136" t="str">
        <f t="shared" ref="Q70:Q75" si="9">IF(ISBLANK(K70)," ",IF(P70&lt;10,"Yes","No"))</f>
        <v xml:space="preserve"> </v>
      </c>
    </row>
    <row r="71" spans="1:17">
      <c r="A71" s="1135" t="str">
        <f>IF(ISBLANK(B71)," ",A70+1)</f>
        <v xml:space="preserve"> </v>
      </c>
      <c r="B71" s="2753"/>
      <c r="C71" s="2753"/>
      <c r="D71" s="726"/>
      <c r="E71" s="1465"/>
      <c r="F71" s="1465"/>
      <c r="G71" s="1133" t="str">
        <f t="shared" si="6"/>
        <v xml:space="preserve"> </v>
      </c>
      <c r="H71" s="1133" t="str">
        <f>IF(ISBLANK(B71), "",((MAX(G69:G71)-MIN(G69:G71))/MIN(G69:G71)*100))</f>
        <v/>
      </c>
      <c r="I71" s="1136" t="str">
        <f>IF(ISBLANK(B71)," ",IF(H71&lt;=10,"Yes","No"))</f>
        <v xml:space="preserve"> </v>
      </c>
      <c r="J71" s="1135" t="str">
        <f>IF(ISBLANK(K71)," ",J70+1)</f>
        <v xml:space="preserve"> </v>
      </c>
      <c r="K71" s="1134"/>
      <c r="L71" s="726"/>
      <c r="M71" s="1465"/>
      <c r="N71" s="1465"/>
      <c r="O71" s="1133" t="str">
        <f t="shared" si="7"/>
        <v xml:space="preserve"> </v>
      </c>
      <c r="P71" s="1133" t="str">
        <f t="shared" si="8"/>
        <v/>
      </c>
      <c r="Q71" s="1136" t="str">
        <f t="shared" si="9"/>
        <v xml:space="preserve"> </v>
      </c>
    </row>
    <row r="72" spans="1:17" ht="14.45" customHeight="1">
      <c r="A72" s="1135" t="str">
        <f>IF(ISBLANK(B72)," ",A71+1)</f>
        <v xml:space="preserve"> </v>
      </c>
      <c r="B72" s="2753"/>
      <c r="C72" s="2753"/>
      <c r="D72" s="726"/>
      <c r="E72" s="1465"/>
      <c r="F72" s="1465"/>
      <c r="G72" s="1133" t="str">
        <f t="shared" si="6"/>
        <v xml:space="preserve"> </v>
      </c>
      <c r="H72" s="1133" t="str">
        <f>IF(ISBLANK(B72), "",((MAX(G70:G72)-MIN(G70:G72))/MIN(G70:G72)*100))</f>
        <v/>
      </c>
      <c r="I72" s="1136" t="str">
        <f>IF(ISBLANK(B72)," ",IF(H72&lt;10,"Yes","No"))</f>
        <v xml:space="preserve"> </v>
      </c>
      <c r="J72" s="1135" t="str">
        <f>IF(ISBLANK(K72)," ",J71+1)</f>
        <v xml:space="preserve"> </v>
      </c>
      <c r="K72" s="1134"/>
      <c r="L72" s="726"/>
      <c r="M72" s="1465"/>
      <c r="N72" s="1465"/>
      <c r="O72" s="1133" t="str">
        <f t="shared" si="7"/>
        <v xml:space="preserve"> </v>
      </c>
      <c r="P72" s="1133" t="str">
        <f t="shared" si="8"/>
        <v/>
      </c>
      <c r="Q72" s="1136" t="str">
        <f t="shared" si="9"/>
        <v xml:space="preserve"> </v>
      </c>
    </row>
    <row r="73" spans="1:17">
      <c r="A73" s="1135" t="str">
        <f>IF(ISBLANK(B73)," ",A72+1)</f>
        <v xml:space="preserve"> </v>
      </c>
      <c r="B73" s="2753"/>
      <c r="C73" s="2753"/>
      <c r="D73" s="726"/>
      <c r="E73" s="1465"/>
      <c r="F73" s="1465"/>
      <c r="G73" s="1133" t="str">
        <f t="shared" si="6"/>
        <v xml:space="preserve"> </v>
      </c>
      <c r="H73" s="1133" t="str">
        <f>IF(ISBLANK(B73), "",((MAX(G71:G73)-MIN(G71:G73))/MIN(G71:G73)*100))</f>
        <v/>
      </c>
      <c r="I73" s="1136" t="str">
        <f>IF(ISBLANK(B73)," ",IF(H73&lt;10,"Yes","No"))</f>
        <v xml:space="preserve"> </v>
      </c>
      <c r="J73" s="1135" t="str">
        <f>IF(ISBLANK(K73)," ",J72+1)</f>
        <v xml:space="preserve"> </v>
      </c>
      <c r="K73" s="1134"/>
      <c r="L73" s="726"/>
      <c r="M73" s="1132"/>
      <c r="N73" s="1132"/>
      <c r="O73" s="1133" t="str">
        <f t="shared" si="7"/>
        <v xml:space="preserve"> </v>
      </c>
      <c r="P73" s="1133" t="str">
        <f t="shared" si="8"/>
        <v/>
      </c>
      <c r="Q73" s="1136" t="str">
        <f t="shared" si="9"/>
        <v xml:space="preserve"> </v>
      </c>
    </row>
    <row r="74" spans="1:17" ht="14.45" customHeight="1">
      <c r="A74" s="1135" t="str">
        <f>IF(ISBLANK(B74)," ",A73+1)</f>
        <v xml:space="preserve"> </v>
      </c>
      <c r="B74" s="2753"/>
      <c r="C74" s="2753"/>
      <c r="D74" s="726"/>
      <c r="E74" s="1465"/>
      <c r="F74" s="1465"/>
      <c r="G74" s="1133" t="str">
        <f t="shared" si="6"/>
        <v xml:space="preserve"> </v>
      </c>
      <c r="H74" s="1133" t="str">
        <f>IF(ISBLANK(B74), "",((MAX(G72:G74)-MIN(G72:G74))/MAX(G72:G74)*100))</f>
        <v/>
      </c>
      <c r="I74" s="1136" t="str">
        <f>IF(ISBLANK(B74)," ",IF(H74&lt;10,"Yes","No"))</f>
        <v xml:space="preserve"> </v>
      </c>
      <c r="J74" s="1135" t="str">
        <f>IF(ISBLANK(K74)," ",J73+1)</f>
        <v xml:space="preserve"> </v>
      </c>
      <c r="K74" s="1134"/>
      <c r="L74" s="726"/>
      <c r="M74" s="1132"/>
      <c r="N74" s="1132"/>
      <c r="O74" s="1133" t="str">
        <f t="shared" si="7"/>
        <v xml:space="preserve"> </v>
      </c>
      <c r="P74" s="1133" t="str">
        <f t="shared" si="8"/>
        <v/>
      </c>
      <c r="Q74" s="1136" t="str">
        <f t="shared" si="9"/>
        <v xml:space="preserve"> </v>
      </c>
    </row>
    <row r="75" spans="1:17">
      <c r="A75" s="1135" t="str">
        <f>IF(ISBLANK(B75)," ",A74+1)</f>
        <v xml:space="preserve"> </v>
      </c>
      <c r="B75" s="2753"/>
      <c r="C75" s="2753"/>
      <c r="D75" s="726"/>
      <c r="E75" s="1465"/>
      <c r="F75" s="1465"/>
      <c r="G75" s="1133" t="str">
        <f t="shared" si="6"/>
        <v xml:space="preserve"> </v>
      </c>
      <c r="H75" s="1133" t="str">
        <f>IF(ISBLANK(B75), "",(100*(MAX(G73:G75)-MIN(G73:G75))/MAX(G73:G75)))</f>
        <v/>
      </c>
      <c r="I75" s="1136" t="str">
        <f>IF(ISBLANK(B75)," ",IF(H75&lt;10,"Yes","No"))</f>
        <v xml:space="preserve"> </v>
      </c>
      <c r="J75" s="1135" t="str">
        <f>IF(ISBLANK(K75)," ",J74+1)</f>
        <v xml:space="preserve"> </v>
      </c>
      <c r="K75" s="1134"/>
      <c r="L75" s="726"/>
      <c r="M75" s="1132"/>
      <c r="N75" s="1132"/>
      <c r="O75" s="1133" t="str">
        <f t="shared" si="7"/>
        <v xml:space="preserve"> </v>
      </c>
      <c r="P75" s="1133" t="str">
        <f t="shared" si="8"/>
        <v/>
      </c>
      <c r="Q75" s="1136" t="str">
        <f t="shared" si="9"/>
        <v xml:space="preserve"> </v>
      </c>
    </row>
    <row r="76" spans="1:17" ht="6.75" customHeight="1">
      <c r="A76" s="784"/>
      <c r="H76" s="807"/>
      <c r="I76" s="1101"/>
      <c r="J76" s="784"/>
      <c r="Q76" s="783"/>
    </row>
    <row r="77" spans="1:17">
      <c r="A77" s="2735" t="s">
        <v>935</v>
      </c>
      <c r="B77" s="2736"/>
      <c r="C77" s="2736"/>
      <c r="D77" s="2736"/>
      <c r="E77" s="2736"/>
      <c r="F77" s="2737"/>
      <c r="G77" s="727"/>
      <c r="H77" s="792" t="s">
        <v>926</v>
      </c>
      <c r="I77" s="783"/>
      <c r="J77" s="2735" t="s">
        <v>936</v>
      </c>
      <c r="K77" s="2736"/>
      <c r="L77" s="2736"/>
      <c r="M77" s="2736"/>
      <c r="N77" s="2736"/>
      <c r="O77" s="727"/>
      <c r="P77" s="792" t="s">
        <v>926</v>
      </c>
      <c r="Q77" s="1101"/>
    </row>
    <row r="78" spans="1:17" ht="3.75" customHeight="1" thickBot="1">
      <c r="A78" s="1121"/>
      <c r="B78" s="1107"/>
      <c r="C78" s="1107"/>
      <c r="D78" s="1107"/>
      <c r="E78" s="1107"/>
      <c r="F78" s="891"/>
      <c r="G78" s="1108"/>
      <c r="H78" s="1105"/>
      <c r="I78" s="1103"/>
      <c r="J78" s="1121"/>
      <c r="K78" s="1122"/>
      <c r="L78" s="1122"/>
      <c r="M78" s="1122"/>
      <c r="N78" s="1122"/>
      <c r="O78" s="1108"/>
      <c r="P78" s="1105"/>
      <c r="Q78" s="1102"/>
    </row>
    <row r="79" spans="1:17" ht="6.75" customHeight="1">
      <c r="A79" s="777"/>
      <c r="B79" s="1488"/>
      <c r="C79" s="1489"/>
      <c r="D79" s="778"/>
      <c r="E79" s="805"/>
      <c r="F79" s="1490"/>
      <c r="G79" s="778"/>
      <c r="H79" s="1491"/>
      <c r="I79" s="1492"/>
      <c r="J79" s="1481"/>
      <c r="K79" s="1482"/>
      <c r="L79" s="1482"/>
      <c r="M79" s="1482"/>
      <c r="N79" s="1482"/>
      <c r="O79" s="1483"/>
      <c r="P79" s="1484"/>
      <c r="Q79" s="1485"/>
    </row>
    <row r="80" spans="1:17" ht="18" customHeight="1">
      <c r="A80" s="2745" t="s">
        <v>549</v>
      </c>
      <c r="B80" s="2484"/>
      <c r="C80" s="2760"/>
      <c r="D80" s="2760"/>
      <c r="E80" s="2760"/>
      <c r="I80" s="783"/>
      <c r="J80" s="2745" t="s">
        <v>549</v>
      </c>
      <c r="K80" s="2484"/>
      <c r="L80" s="2760"/>
      <c r="M80" s="2760"/>
      <c r="N80" s="2760"/>
      <c r="P80" s="611"/>
      <c r="Q80" s="787"/>
    </row>
    <row r="81" spans="1:17" ht="5.25" customHeight="1">
      <c r="A81" s="1111"/>
      <c r="B81" s="1478"/>
      <c r="C81" s="1486"/>
      <c r="D81" s="1486"/>
      <c r="E81" s="1486"/>
      <c r="I81" s="783"/>
      <c r="J81" s="1111"/>
      <c r="K81" s="1478"/>
      <c r="L81" s="1486"/>
      <c r="M81" s="1486"/>
      <c r="N81" s="1486"/>
      <c r="P81" s="611"/>
      <c r="Q81" s="783"/>
    </row>
    <row r="82" spans="1:17" ht="14.1" customHeight="1">
      <c r="A82" s="784"/>
      <c r="B82" s="2475" t="s">
        <v>937</v>
      </c>
      <c r="C82" s="2475"/>
      <c r="D82" s="776" t="s">
        <v>897</v>
      </c>
      <c r="E82" s="2741"/>
      <c r="F82" s="2741"/>
      <c r="G82" s="808" t="s">
        <v>898</v>
      </c>
      <c r="H82" s="1109"/>
      <c r="I82" s="783" t="s">
        <v>762</v>
      </c>
      <c r="J82" s="2745" t="s">
        <v>938</v>
      </c>
      <c r="K82" s="2484"/>
      <c r="L82" s="776" t="s">
        <v>897</v>
      </c>
      <c r="M82" s="2741"/>
      <c r="N82" s="2741"/>
      <c r="O82" s="808" t="s">
        <v>898</v>
      </c>
      <c r="P82" s="1109"/>
      <c r="Q82" s="783" t="s">
        <v>762</v>
      </c>
    </row>
    <row r="83" spans="1:17" ht="5.45" customHeight="1">
      <c r="A83" s="784"/>
      <c r="B83" s="776"/>
      <c r="C83" s="1493"/>
      <c r="E83" s="785"/>
      <c r="F83" s="1487"/>
      <c r="H83" s="611"/>
      <c r="I83" s="787"/>
      <c r="J83" s="784"/>
      <c r="K83" s="776"/>
      <c r="M83" s="785"/>
      <c r="N83" s="1487"/>
      <c r="P83" s="611"/>
      <c r="Q83" s="787"/>
    </row>
    <row r="84" spans="1:17">
      <c r="A84" s="784"/>
      <c r="B84" s="609" t="s">
        <v>901</v>
      </c>
      <c r="D84" s="785"/>
      <c r="E84" s="785"/>
      <c r="F84" s="785"/>
      <c r="G84" s="776" t="s">
        <v>902</v>
      </c>
      <c r="H84" s="1109"/>
      <c r="I84" s="783" t="s">
        <v>903</v>
      </c>
      <c r="J84" s="784"/>
      <c r="K84" s="609" t="s">
        <v>901</v>
      </c>
      <c r="L84" s="785"/>
      <c r="M84" s="785"/>
      <c r="N84" s="785"/>
      <c r="O84" s="776" t="s">
        <v>902</v>
      </c>
      <c r="P84" s="1109"/>
      <c r="Q84" s="783" t="s">
        <v>903</v>
      </c>
    </row>
    <row r="85" spans="1:17" ht="5.45" customHeight="1">
      <c r="A85" s="784"/>
      <c r="I85" s="783"/>
      <c r="J85" s="784"/>
      <c r="Q85" s="783"/>
    </row>
    <row r="86" spans="1:17">
      <c r="A86" s="784"/>
      <c r="B86" s="2742" t="s">
        <v>696</v>
      </c>
      <c r="C86" s="2742"/>
      <c r="D86" s="2743" t="s">
        <v>904</v>
      </c>
      <c r="E86" s="2743"/>
      <c r="I86" s="783"/>
      <c r="J86" s="784"/>
      <c r="K86" s="2742" t="s">
        <v>696</v>
      </c>
      <c r="L86" s="2743" t="s">
        <v>904</v>
      </c>
      <c r="M86" s="2743"/>
      <c r="Q86" s="783"/>
    </row>
    <row r="87" spans="1:17">
      <c r="A87" s="877"/>
      <c r="B87" s="2742"/>
      <c r="C87" s="2742"/>
      <c r="D87" s="2743"/>
      <c r="E87" s="2743"/>
      <c r="G87" s="2734" t="s">
        <v>906</v>
      </c>
      <c r="H87" s="2734"/>
      <c r="I87" s="786"/>
      <c r="J87" s="877"/>
      <c r="K87" s="2742"/>
      <c r="L87" s="2743"/>
      <c r="M87" s="2743"/>
      <c r="O87" s="2734" t="s">
        <v>906</v>
      </c>
      <c r="P87" s="2734"/>
      <c r="Q87" s="786"/>
    </row>
    <row r="88" spans="1:17">
      <c r="A88" s="784"/>
      <c r="B88" s="2746"/>
      <c r="C88" s="2746"/>
      <c r="D88" s="2746"/>
      <c r="E88" s="2746"/>
      <c r="G88" s="2734"/>
      <c r="H88" s="2734"/>
      <c r="I88" s="786"/>
      <c r="J88" s="784"/>
      <c r="K88" s="1130"/>
      <c r="L88" s="2746"/>
      <c r="M88" s="2746"/>
      <c r="O88" s="2734"/>
      <c r="P88" s="2734"/>
      <c r="Q88" s="786"/>
    </row>
    <row r="89" spans="1:17">
      <c r="A89" s="784"/>
      <c r="B89" s="2746"/>
      <c r="C89" s="2746"/>
      <c r="D89" s="2746"/>
      <c r="E89" s="2746"/>
      <c r="G89" s="2734"/>
      <c r="H89" s="2734"/>
      <c r="I89" s="786"/>
      <c r="J89" s="784"/>
      <c r="K89" s="1130"/>
      <c r="L89" s="2746"/>
      <c r="M89" s="2746"/>
      <c r="O89" s="2734"/>
      <c r="P89" s="2734"/>
      <c r="Q89" s="786"/>
    </row>
    <row r="90" spans="1:17">
      <c r="A90" s="784"/>
      <c r="B90" s="2746"/>
      <c r="C90" s="2746"/>
      <c r="D90" s="2746"/>
      <c r="E90" s="2746"/>
      <c r="G90" s="2734"/>
      <c r="H90" s="2734"/>
      <c r="I90" s="786"/>
      <c r="J90" s="784"/>
      <c r="K90" s="1130"/>
      <c r="L90" s="2746"/>
      <c r="M90" s="2746"/>
      <c r="O90" s="2734"/>
      <c r="P90" s="2734"/>
      <c r="Q90" s="786"/>
    </row>
    <row r="91" spans="1:17" ht="5.0999999999999996" customHeight="1">
      <c r="A91" s="784"/>
      <c r="I91" s="783"/>
      <c r="J91" s="784"/>
      <c r="Q91" s="783"/>
    </row>
    <row r="92" spans="1:17">
      <c r="A92" s="2744" t="s">
        <v>915</v>
      </c>
      <c r="B92" s="2732" t="s">
        <v>916</v>
      </c>
      <c r="C92" s="2732"/>
      <c r="D92" s="2732" t="s">
        <v>917</v>
      </c>
      <c r="E92" s="2732" t="s">
        <v>918</v>
      </c>
      <c r="F92" s="2751" t="s">
        <v>919</v>
      </c>
      <c r="G92" s="2732" t="s">
        <v>920</v>
      </c>
      <c r="H92" s="2732" t="s">
        <v>921</v>
      </c>
      <c r="I92" s="2733" t="s">
        <v>922</v>
      </c>
      <c r="J92" s="2744" t="s">
        <v>915</v>
      </c>
      <c r="K92" s="2732" t="s">
        <v>916</v>
      </c>
      <c r="L92" s="2732" t="s">
        <v>917</v>
      </c>
      <c r="M92" s="2732" t="s">
        <v>918</v>
      </c>
      <c r="N92" s="2751" t="s">
        <v>919</v>
      </c>
      <c r="O92" s="2732" t="s">
        <v>920</v>
      </c>
      <c r="P92" s="2732" t="s">
        <v>921</v>
      </c>
      <c r="Q92" s="2733" t="s">
        <v>922</v>
      </c>
    </row>
    <row r="93" spans="1:17">
      <c r="A93" s="2744"/>
      <c r="B93" s="2732"/>
      <c r="C93" s="2732"/>
      <c r="D93" s="2732"/>
      <c r="E93" s="2732"/>
      <c r="F93" s="2751"/>
      <c r="G93" s="2732"/>
      <c r="H93" s="2732"/>
      <c r="I93" s="2733"/>
      <c r="J93" s="2744"/>
      <c r="K93" s="2732"/>
      <c r="L93" s="2732"/>
      <c r="M93" s="2732"/>
      <c r="N93" s="2751"/>
      <c r="O93" s="2732"/>
      <c r="P93" s="2732"/>
      <c r="Q93" s="2733"/>
    </row>
    <row r="94" spans="1:17">
      <c r="A94" s="1135">
        <f>A93+1</f>
        <v>1</v>
      </c>
      <c r="B94" s="2753"/>
      <c r="C94" s="2753"/>
      <c r="D94" s="726"/>
      <c r="E94" s="1465"/>
      <c r="F94" s="1465"/>
      <c r="G94" s="1133" t="str">
        <f t="shared" ref="G94:G101" si="10">IF(ISBLANK(B94)," ",(ROUND(((D94-B94)*1440)/(ABS(F94-E94)),1)))</f>
        <v xml:space="preserve"> </v>
      </c>
      <c r="H94" s="915" t="s">
        <v>194</v>
      </c>
      <c r="I94" s="1136" t="s">
        <v>194</v>
      </c>
      <c r="J94" s="1135">
        <v>1</v>
      </c>
      <c r="K94" s="726"/>
      <c r="L94" s="726"/>
      <c r="M94" s="1465"/>
      <c r="N94" s="1465"/>
      <c r="O94" s="1133" t="str">
        <f>IF(ISBLANK(K94)," ",(ROUND(((L94-K94)*1440)/(ABS(N94-M94)),1)))</f>
        <v xml:space="preserve"> </v>
      </c>
      <c r="P94" s="915" t="s">
        <v>194</v>
      </c>
      <c r="Q94" s="1136" t="s">
        <v>194</v>
      </c>
    </row>
    <row r="95" spans="1:17">
      <c r="A95" s="1135">
        <f>A94+1</f>
        <v>2</v>
      </c>
      <c r="B95" s="2753"/>
      <c r="C95" s="2753"/>
      <c r="D95" s="726"/>
      <c r="E95" s="1465"/>
      <c r="F95" s="1465"/>
      <c r="G95" s="1133" t="str">
        <f t="shared" si="10"/>
        <v xml:space="preserve"> </v>
      </c>
      <c r="H95" s="915" t="s">
        <v>194</v>
      </c>
      <c r="I95" s="1136" t="s">
        <v>194</v>
      </c>
      <c r="J95" s="1135">
        <v>2</v>
      </c>
      <c r="K95" s="726"/>
      <c r="L95" s="726"/>
      <c r="M95" s="1465"/>
      <c r="N95" s="1465"/>
      <c r="O95" s="1133" t="str">
        <f t="shared" ref="O95:O101" si="11">IF(ISBLANK(K95)," ",(ROUND(((L95-K95)*1440)/(ABS(N95-M95)),1)))</f>
        <v xml:space="preserve"> </v>
      </c>
      <c r="P95" s="915" t="s">
        <v>194</v>
      </c>
      <c r="Q95" s="1136" t="s">
        <v>194</v>
      </c>
    </row>
    <row r="96" spans="1:17">
      <c r="A96" s="1135">
        <v>3</v>
      </c>
      <c r="B96" s="2753"/>
      <c r="C96" s="2753"/>
      <c r="D96" s="726"/>
      <c r="E96" s="1465"/>
      <c r="F96" s="1465"/>
      <c r="G96" s="1133" t="str">
        <f t="shared" si="10"/>
        <v xml:space="preserve"> </v>
      </c>
      <c r="H96" s="1133" t="str">
        <f>IF(ISBLANK(B96), "",((MAX(G94:G96)-MIN(G94:G96))/MIN(G94:G96)*100))</f>
        <v/>
      </c>
      <c r="I96" s="1136" t="str">
        <f>IF(ISBLANK(B96)," ",IF(H96&lt;=10,"Yes","No"))</f>
        <v xml:space="preserve"> </v>
      </c>
      <c r="J96" s="1135">
        <v>3</v>
      </c>
      <c r="K96" s="726"/>
      <c r="L96" s="726"/>
      <c r="M96" s="1465"/>
      <c r="N96" s="1465"/>
      <c r="O96" s="1133" t="str">
        <f t="shared" si="11"/>
        <v xml:space="preserve"> </v>
      </c>
      <c r="P96" s="1133" t="str">
        <f t="shared" ref="P96:P101" si="12">IF(ISBLANK(K96), "",((MAX(O94:O96)-MIN(O94:O96))/MIN(O94:O96)*100))</f>
        <v/>
      </c>
      <c r="Q96" s="1136" t="str">
        <f t="shared" ref="Q96:Q101" si="13">IF(ISBLANK(K96)," ",IF(P96&lt;10,"Yes","No"))</f>
        <v xml:space="preserve"> </v>
      </c>
    </row>
    <row r="97" spans="1:17">
      <c r="A97" s="1135" t="str">
        <f>IF(ISBLANK(B97)," ",A96+1)</f>
        <v xml:space="preserve"> </v>
      </c>
      <c r="B97" s="2753"/>
      <c r="C97" s="2753"/>
      <c r="D97" s="726"/>
      <c r="E97" s="1465"/>
      <c r="F97" s="1465"/>
      <c r="G97" s="1133" t="str">
        <f t="shared" si="10"/>
        <v xml:space="preserve"> </v>
      </c>
      <c r="H97" s="1133" t="str">
        <f>IF(ISBLANK(B97), "",((MAX(G95:G97)-MIN(G95:G97))/MIN(G95:G97)*100))</f>
        <v/>
      </c>
      <c r="I97" s="1136" t="str">
        <f>IF(ISBLANK(B97)," ",IF(H97&lt;=10,"Yes","No"))</f>
        <v xml:space="preserve"> </v>
      </c>
      <c r="J97" s="1135" t="str">
        <f>IF(ISBLANK(K97)," ",J96+1)</f>
        <v xml:space="preserve"> </v>
      </c>
      <c r="K97" s="1134"/>
      <c r="L97" s="726"/>
      <c r="M97" s="1465"/>
      <c r="N97" s="1465"/>
      <c r="O97" s="1133" t="str">
        <f t="shared" si="11"/>
        <v xml:space="preserve"> </v>
      </c>
      <c r="P97" s="1133" t="str">
        <f t="shared" si="12"/>
        <v/>
      </c>
      <c r="Q97" s="1136" t="str">
        <f t="shared" si="13"/>
        <v xml:space="preserve"> </v>
      </c>
    </row>
    <row r="98" spans="1:17">
      <c r="A98" s="1135" t="str">
        <f>IF(ISBLANK(B98)," ",A97+1)</f>
        <v xml:space="preserve"> </v>
      </c>
      <c r="B98" s="2753"/>
      <c r="C98" s="2753"/>
      <c r="D98" s="726"/>
      <c r="E98" s="1465"/>
      <c r="F98" s="1465"/>
      <c r="G98" s="1133" t="str">
        <f t="shared" si="10"/>
        <v xml:space="preserve"> </v>
      </c>
      <c r="H98" s="1133" t="str">
        <f>IF(ISBLANK(B98), "",((MAX(G96:G98)-MIN(G96:G98))/MIN(G96:G98)*100))</f>
        <v/>
      </c>
      <c r="I98" s="1136" t="str">
        <f>IF(ISBLANK(B98)," ",IF(H98&lt;10,"Yes","No"))</f>
        <v xml:space="preserve"> </v>
      </c>
      <c r="J98" s="1135" t="str">
        <f>IF(ISBLANK(K98)," ",J97+1)</f>
        <v xml:space="preserve"> </v>
      </c>
      <c r="K98" s="1134"/>
      <c r="L98" s="726"/>
      <c r="M98" s="1465"/>
      <c r="N98" s="1465"/>
      <c r="O98" s="1133" t="str">
        <f t="shared" si="11"/>
        <v xml:space="preserve"> </v>
      </c>
      <c r="P98" s="1133" t="str">
        <f t="shared" si="12"/>
        <v/>
      </c>
      <c r="Q98" s="1136" t="str">
        <f t="shared" si="13"/>
        <v xml:space="preserve"> </v>
      </c>
    </row>
    <row r="99" spans="1:17">
      <c r="A99" s="1135" t="str">
        <f>IF(ISBLANK(B99)," ",A98+1)</f>
        <v xml:space="preserve"> </v>
      </c>
      <c r="B99" s="2753"/>
      <c r="C99" s="2753"/>
      <c r="D99" s="726"/>
      <c r="E99" s="1465"/>
      <c r="F99" s="1465"/>
      <c r="G99" s="1133" t="str">
        <f t="shared" si="10"/>
        <v xml:space="preserve"> </v>
      </c>
      <c r="H99" s="1133" t="str">
        <f>IF(ISBLANK(B99), "",((MAX(G97:G99)-MIN(G97:G99))/MIN(G97:G99)*100))</f>
        <v/>
      </c>
      <c r="I99" s="1136" t="str">
        <f>IF(ISBLANK(B99)," ",IF(H99&lt;10,"Yes","No"))</f>
        <v xml:space="preserve"> </v>
      </c>
      <c r="J99" s="1135" t="str">
        <f>IF(ISBLANK(K99)," ",J98+1)</f>
        <v xml:space="preserve"> </v>
      </c>
      <c r="K99" s="1134"/>
      <c r="L99" s="726"/>
      <c r="M99" s="1132"/>
      <c r="N99" s="1132"/>
      <c r="O99" s="1133" t="str">
        <f t="shared" si="11"/>
        <v xml:space="preserve"> </v>
      </c>
      <c r="P99" s="1133" t="str">
        <f t="shared" si="12"/>
        <v/>
      </c>
      <c r="Q99" s="1136" t="str">
        <f t="shared" si="13"/>
        <v xml:space="preserve"> </v>
      </c>
    </row>
    <row r="100" spans="1:17">
      <c r="A100" s="1135" t="str">
        <f>IF(ISBLANK(B100)," ",A99+1)</f>
        <v xml:space="preserve"> </v>
      </c>
      <c r="B100" s="2753"/>
      <c r="C100" s="2753"/>
      <c r="D100" s="726"/>
      <c r="E100" s="1465"/>
      <c r="F100" s="1465"/>
      <c r="G100" s="1133" t="str">
        <f t="shared" si="10"/>
        <v xml:space="preserve"> </v>
      </c>
      <c r="H100" s="1133" t="str">
        <f>IF(ISBLANK(B100), "",((MAX(G98:G100)-MIN(G98:G100))/MAX(G98:G100)*100))</f>
        <v/>
      </c>
      <c r="I100" s="1136" t="str">
        <f>IF(ISBLANK(B100)," ",IF(H100&lt;10,"Yes","No"))</f>
        <v xml:space="preserve"> </v>
      </c>
      <c r="J100" s="1135" t="str">
        <f>IF(ISBLANK(K100)," ",J99+1)</f>
        <v xml:space="preserve"> </v>
      </c>
      <c r="K100" s="1134"/>
      <c r="L100" s="726"/>
      <c r="M100" s="1132"/>
      <c r="N100" s="1132"/>
      <c r="O100" s="1133" t="str">
        <f t="shared" si="11"/>
        <v xml:space="preserve"> </v>
      </c>
      <c r="P100" s="1133" t="str">
        <f t="shared" si="12"/>
        <v/>
      </c>
      <c r="Q100" s="1136" t="str">
        <f t="shared" si="13"/>
        <v xml:space="preserve"> </v>
      </c>
    </row>
    <row r="101" spans="1:17">
      <c r="A101" s="1135" t="str">
        <f>IF(ISBLANK(B101)," ",A100+1)</f>
        <v xml:space="preserve"> </v>
      </c>
      <c r="B101" s="2753"/>
      <c r="C101" s="2753"/>
      <c r="D101" s="726"/>
      <c r="E101" s="1465"/>
      <c r="F101" s="1465"/>
      <c r="G101" s="1133" t="str">
        <f t="shared" si="10"/>
        <v xml:space="preserve"> </v>
      </c>
      <c r="H101" s="1133" t="str">
        <f>IF(ISBLANK(B101), "",(100*(MAX(G99:G101)-MIN(G99:G101))/MAX(G99:G101)))</f>
        <v/>
      </c>
      <c r="I101" s="1136" t="str">
        <f>IF(ISBLANK(B101)," ",IF(H101&lt;10,"Yes","No"))</f>
        <v xml:space="preserve"> </v>
      </c>
      <c r="J101" s="1135" t="str">
        <f>IF(ISBLANK(K101)," ",J100+1)</f>
        <v xml:space="preserve"> </v>
      </c>
      <c r="K101" s="1134"/>
      <c r="L101" s="726"/>
      <c r="M101" s="1132"/>
      <c r="N101" s="1132"/>
      <c r="O101" s="1133" t="str">
        <f t="shared" si="11"/>
        <v xml:space="preserve"> </v>
      </c>
      <c r="P101" s="1133" t="str">
        <f t="shared" si="12"/>
        <v/>
      </c>
      <c r="Q101" s="1136" t="str">
        <f t="shared" si="13"/>
        <v xml:space="preserve"> </v>
      </c>
    </row>
    <row r="102" spans="1:17" ht="8.1" customHeight="1">
      <c r="A102" s="784"/>
      <c r="I102" s="1101"/>
      <c r="J102" s="784"/>
      <c r="Q102" s="783"/>
    </row>
    <row r="103" spans="1:17">
      <c r="A103" s="2735" t="s">
        <v>939</v>
      </c>
      <c r="B103" s="2736"/>
      <c r="C103" s="2736"/>
      <c r="D103" s="2736"/>
      <c r="E103" s="2736"/>
      <c r="F103" s="2736"/>
      <c r="G103" s="727"/>
      <c r="H103" s="792" t="s">
        <v>926</v>
      </c>
      <c r="I103" s="1101"/>
      <c r="J103" s="2735" t="s">
        <v>940</v>
      </c>
      <c r="K103" s="2736"/>
      <c r="L103" s="2736"/>
      <c r="M103" s="2736"/>
      <c r="N103" s="2736"/>
      <c r="O103" s="727"/>
      <c r="P103" s="792" t="s">
        <v>926</v>
      </c>
      <c r="Q103" s="1101"/>
    </row>
    <row r="104" spans="1:17" ht="6.75" customHeight="1" thickBot="1">
      <c r="A104" s="2749"/>
      <c r="B104" s="2750"/>
      <c r="C104" s="2750"/>
      <c r="D104" s="2750"/>
      <c r="E104" s="2750"/>
      <c r="F104" s="2750"/>
      <c r="G104" s="1129"/>
      <c r="H104" s="1105"/>
      <c r="I104" s="1102"/>
      <c r="J104" s="2749"/>
      <c r="K104" s="2750"/>
      <c r="L104" s="2750"/>
      <c r="M104" s="2750"/>
      <c r="N104" s="2750"/>
      <c r="O104" s="1129"/>
      <c r="P104" s="1105"/>
      <c r="Q104" s="1102"/>
    </row>
  </sheetData>
  <sheetProtection sheet="1" objects="1" scenarios="1"/>
  <customSheetViews>
    <customSheetView guid="{D1431318-1DB8-4C45-813B-5A8065DFC797}" showPageBreaks="1" showGridLines="0" zeroValues="0" printArea="1" view="pageBreakPreview">
      <selection activeCell="D4" sqref="D4:I4"/>
      <colBreaks count="2" manualBreakCount="2">
        <brk id="9" max="55" man="1"/>
        <brk id="18" max="55" man="1"/>
      </colBreaks>
      <pageMargins left="0" right="0" top="0" bottom="0" header="0" footer="0"/>
      <pageSetup scale="96" orientation="portrait" blackAndWhite="1" r:id="rId1"/>
      <headerFooter alignWithMargins="0"/>
    </customSheetView>
  </customSheetViews>
  <mergeCells count="169">
    <mergeCell ref="A103:F103"/>
    <mergeCell ref="J103:N103"/>
    <mergeCell ref="L12:M12"/>
    <mergeCell ref="L13:M13"/>
    <mergeCell ref="L14:M14"/>
    <mergeCell ref="K9:K11"/>
    <mergeCell ref="L9:M11"/>
    <mergeCell ref="A18:I18"/>
    <mergeCell ref="F16:H16"/>
    <mergeCell ref="B72:C72"/>
    <mergeCell ref="C54:E54"/>
    <mergeCell ref="B95:C95"/>
    <mergeCell ref="L40:L41"/>
    <mergeCell ref="M40:M41"/>
    <mergeCell ref="N40:N41"/>
    <mergeCell ref="M29:N29"/>
    <mergeCell ref="J40:J41"/>
    <mergeCell ref="M32:N32"/>
    <mergeCell ref="J30:K30"/>
    <mergeCell ref="L30:N30"/>
    <mergeCell ref="L54:N54"/>
    <mergeCell ref="J54:K54"/>
    <mergeCell ref="A80:B80"/>
    <mergeCell ref="C80:E80"/>
    <mergeCell ref="Q16:Q17"/>
    <mergeCell ref="O10:P14"/>
    <mergeCell ref="J4:K4"/>
    <mergeCell ref="L4:N4"/>
    <mergeCell ref="D8:F8"/>
    <mergeCell ref="G8:H8"/>
    <mergeCell ref="J16:J17"/>
    <mergeCell ref="K16:K17"/>
    <mergeCell ref="L16:L17"/>
    <mergeCell ref="M16:M17"/>
    <mergeCell ref="N16:N17"/>
    <mergeCell ref="O16:O17"/>
    <mergeCell ref="P16:P17"/>
    <mergeCell ref="A16:E16"/>
    <mergeCell ref="J6:K6"/>
    <mergeCell ref="P66:P67"/>
    <mergeCell ref="D62:E62"/>
    <mergeCell ref="B63:C63"/>
    <mergeCell ref="D63:E63"/>
    <mergeCell ref="B68:C68"/>
    <mergeCell ref="B69:C69"/>
    <mergeCell ref="F2:G2"/>
    <mergeCell ref="E52:F52"/>
    <mergeCell ref="M2:N2"/>
    <mergeCell ref="A6:I6"/>
    <mergeCell ref="E12:G12"/>
    <mergeCell ref="A10:D10"/>
    <mergeCell ref="A13:B14"/>
    <mergeCell ref="E13:E14"/>
    <mergeCell ref="O40:O41"/>
    <mergeCell ref="L37:M37"/>
    <mergeCell ref="A4:B4"/>
    <mergeCell ref="A12:B12"/>
    <mergeCell ref="M6:N6"/>
    <mergeCell ref="E10:H10"/>
    <mergeCell ref="L36:M36"/>
    <mergeCell ref="L35:M35"/>
    <mergeCell ref="L51:N51"/>
    <mergeCell ref="A20:F20"/>
    <mergeCell ref="L1:N1"/>
    <mergeCell ref="D4:H4"/>
    <mergeCell ref="E56:F56"/>
    <mergeCell ref="B56:C56"/>
    <mergeCell ref="J66:J67"/>
    <mergeCell ref="K66:K67"/>
    <mergeCell ref="L66:L67"/>
    <mergeCell ref="M66:M67"/>
    <mergeCell ref="D66:D67"/>
    <mergeCell ref="E66:E67"/>
    <mergeCell ref="F66:F67"/>
    <mergeCell ref="D59:E60"/>
    <mergeCell ref="L59:M60"/>
    <mergeCell ref="C1:F1"/>
    <mergeCell ref="C51:F51"/>
    <mergeCell ref="A24:I24"/>
    <mergeCell ref="A27:B27"/>
    <mergeCell ref="D27:E27"/>
    <mergeCell ref="A28:B28"/>
    <mergeCell ref="J29:K29"/>
    <mergeCell ref="K40:K41"/>
    <mergeCell ref="A66:A67"/>
    <mergeCell ref="B98:C98"/>
    <mergeCell ref="J80:K80"/>
    <mergeCell ref="L80:N80"/>
    <mergeCell ref="L62:M62"/>
    <mergeCell ref="L63:M63"/>
    <mergeCell ref="I66:I67"/>
    <mergeCell ref="B62:C62"/>
    <mergeCell ref="B61:C61"/>
    <mergeCell ref="B96:C96"/>
    <mergeCell ref="A64:I64"/>
    <mergeCell ref="A77:F77"/>
    <mergeCell ref="B70:C70"/>
    <mergeCell ref="A104:F104"/>
    <mergeCell ref="B97:C97"/>
    <mergeCell ref="B101:C101"/>
    <mergeCell ref="B99:C99"/>
    <mergeCell ref="B100:C100"/>
    <mergeCell ref="G92:G93"/>
    <mergeCell ref="H92:H93"/>
    <mergeCell ref="I92:I93"/>
    <mergeCell ref="A22:I22"/>
    <mergeCell ref="B89:C89"/>
    <mergeCell ref="D89:E89"/>
    <mergeCell ref="B90:C90"/>
    <mergeCell ref="D90:E90"/>
    <mergeCell ref="A92:A93"/>
    <mergeCell ref="B92:C93"/>
    <mergeCell ref="D92:D93"/>
    <mergeCell ref="E92:E93"/>
    <mergeCell ref="F92:F93"/>
    <mergeCell ref="E82:F82"/>
    <mergeCell ref="A54:B54"/>
    <mergeCell ref="D61:E61"/>
    <mergeCell ref="B66:C67"/>
    <mergeCell ref="G60:H63"/>
    <mergeCell ref="B59:C60"/>
    <mergeCell ref="J104:N104"/>
    <mergeCell ref="B82:C82"/>
    <mergeCell ref="N66:N67"/>
    <mergeCell ref="D28:E28"/>
    <mergeCell ref="L38:M38"/>
    <mergeCell ref="B71:C71"/>
    <mergeCell ref="B73:C73"/>
    <mergeCell ref="B74:C74"/>
    <mergeCell ref="B75:C75"/>
    <mergeCell ref="B88:C88"/>
    <mergeCell ref="D88:E88"/>
    <mergeCell ref="B86:C87"/>
    <mergeCell ref="D86:E87"/>
    <mergeCell ref="G87:H90"/>
    <mergeCell ref="G66:G67"/>
    <mergeCell ref="H66:H67"/>
    <mergeCell ref="J56:K56"/>
    <mergeCell ref="J32:K32"/>
    <mergeCell ref="N92:N93"/>
    <mergeCell ref="L88:M88"/>
    <mergeCell ref="L89:M89"/>
    <mergeCell ref="L90:M90"/>
    <mergeCell ref="B94:C94"/>
    <mergeCell ref="J64:Q64"/>
    <mergeCell ref="O92:O93"/>
    <mergeCell ref="P92:P93"/>
    <mergeCell ref="Q92:Q93"/>
    <mergeCell ref="O36:P38"/>
    <mergeCell ref="J27:N27"/>
    <mergeCell ref="J50:N50"/>
    <mergeCell ref="J77:N77"/>
    <mergeCell ref="M82:N82"/>
    <mergeCell ref="K86:K87"/>
    <mergeCell ref="L86:M87"/>
    <mergeCell ref="J92:J93"/>
    <mergeCell ref="K92:K93"/>
    <mergeCell ref="L92:L93"/>
    <mergeCell ref="M92:M93"/>
    <mergeCell ref="J82:K82"/>
    <mergeCell ref="O87:P90"/>
    <mergeCell ref="Q66:Q67"/>
    <mergeCell ref="O60:P63"/>
    <mergeCell ref="L61:M61"/>
    <mergeCell ref="Q40:Q41"/>
    <mergeCell ref="P40:P41"/>
    <mergeCell ref="M56:N56"/>
    <mergeCell ref="K59:K60"/>
    <mergeCell ref="O66:O67"/>
  </mergeCells>
  <conditionalFormatting sqref="K21:K25">
    <cfRule type="cellIs" dxfId="9" priority="1" stopIfTrue="1" operator="equal">
      <formula>0</formula>
    </cfRule>
  </conditionalFormatting>
  <conditionalFormatting sqref="K45:K49">
    <cfRule type="cellIs" dxfId="8" priority="2" stopIfTrue="1" operator="equal">
      <formula>0</formula>
    </cfRule>
  </conditionalFormatting>
  <conditionalFormatting sqref="K71:K75">
    <cfRule type="cellIs" dxfId="7" priority="3" stopIfTrue="1" operator="equal">
      <formula>0</formula>
    </cfRule>
  </conditionalFormatting>
  <conditionalFormatting sqref="K97:K101">
    <cfRule type="cellIs" dxfId="6" priority="9" stopIfTrue="1" operator="equal">
      <formula>0</formula>
    </cfRule>
  </conditionalFormatting>
  <dataValidations disablePrompts="1" count="1">
    <dataValidation type="list" allowBlank="1" showInputMessage="1" showErrorMessage="1" sqref="L12:L14 L36:L38 D61:D63 L61:L63 D88:D90 L88:L90" xr:uid="{00000000-0002-0000-0D00-000000000000}">
      <formula1>SoilTexture7080</formula1>
    </dataValidation>
  </dataValidations>
  <pageMargins left="0.4" right="0.4" top="0.15" bottom="0.15" header="0.5" footer="0.5"/>
  <pageSetup orientation="portrait" blackAndWhite="1" r:id="rId2"/>
  <headerFooter alignWithMargins="0"/>
  <ignoredErrors>
    <ignoredError sqref="G20" unlockedFormula="1"/>
  </ignoredErrors>
  <drawing r:id="rId3"/>
  <extLst>
    <ext xmlns:x14="http://schemas.microsoft.com/office/spreadsheetml/2009/9/main" uri="{CCE6A557-97BC-4b89-ADB6-D9C93CAAB3DF}">
      <x14:dataValidations xmlns:xm="http://schemas.microsoft.com/office/excel/2006/main" disablePrompts="1" count="1">
        <x14:dataValidation type="list" errorStyle="information" allowBlank="1" showInputMessage="1" showErrorMessage="1" xr:uid="{00000000-0002-0000-0D00-000001000000}">
          <x14:formula1>
            <xm:f>'Drop-Down Lists'!$B$2:$B$4</xm:f>
          </x14:formula1>
          <xm:sqref>D12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0">
    <tabColor theme="9" tint="0.59999389629810485"/>
  </sheetPr>
  <dimension ref="A1:AJ77"/>
  <sheetViews>
    <sheetView showGridLines="0" view="pageBreakPreview" zoomScaleNormal="100" zoomScaleSheetLayoutView="100" workbookViewId="0">
      <selection activeCell="O2" sqref="O2:R2"/>
    </sheetView>
  </sheetViews>
  <sheetFormatPr defaultColWidth="4.140625" defaultRowHeight="15"/>
  <cols>
    <col min="1" max="16384" width="4.140625" style="520"/>
  </cols>
  <sheetData>
    <row r="1" spans="1:36" ht="54.95" customHeight="1" thickBot="1">
      <c r="B1" s="820"/>
      <c r="C1" s="820"/>
      <c r="D1" s="820"/>
      <c r="F1" s="2797" t="s">
        <v>941</v>
      </c>
      <c r="G1" s="2797"/>
      <c r="H1" s="2797"/>
      <c r="I1" s="2797"/>
      <c r="J1" s="2797"/>
      <c r="K1" s="2797"/>
      <c r="L1" s="2797"/>
      <c r="M1" s="2797"/>
      <c r="N1" s="2797"/>
      <c r="O1" s="2797"/>
      <c r="P1" s="2797"/>
      <c r="Q1" s="2797"/>
      <c r="R1" s="820"/>
      <c r="S1" s="820"/>
      <c r="T1" s="820"/>
      <c r="U1" s="820"/>
      <c r="V1" s="820"/>
      <c r="W1" s="820"/>
      <c r="X1" s="820"/>
      <c r="Y1" s="820"/>
      <c r="Z1" s="820"/>
      <c r="AA1" s="820"/>
      <c r="AB1" s="820"/>
      <c r="AC1" s="820"/>
      <c r="AD1" s="820"/>
      <c r="AE1" s="820"/>
      <c r="AF1" s="820"/>
      <c r="AG1" s="820"/>
      <c r="AH1" s="820"/>
      <c r="AI1" s="820"/>
      <c r="AJ1" s="820"/>
    </row>
    <row r="2" spans="1:36" ht="15.6" customHeight="1" thickBot="1">
      <c r="A2" s="822"/>
      <c r="B2" s="823"/>
      <c r="C2" s="824"/>
      <c r="D2" s="824"/>
      <c r="E2" s="824"/>
      <c r="F2" s="2688"/>
      <c r="G2" s="2688"/>
      <c r="H2" s="2688"/>
      <c r="I2" s="2688"/>
      <c r="J2" s="2688"/>
      <c r="K2" s="2688"/>
      <c r="L2" s="2689" t="s">
        <v>551</v>
      </c>
      <c r="M2" s="2689"/>
      <c r="N2" s="2689"/>
      <c r="O2" s="2801" t="str">
        <f>IF(ISBLANK('Design Details &amp; Summary'!S3)," ",'Design Details &amp; Summary'!S3)</f>
        <v xml:space="preserve"> </v>
      </c>
      <c r="P2" s="2801"/>
      <c r="Q2" s="2801"/>
      <c r="R2" s="2801"/>
      <c r="S2" s="1090"/>
      <c r="T2" s="2691" t="str">
        <f>'Drop-Down Lists'!A2</f>
        <v>v 05.01.2026</v>
      </c>
      <c r="U2" s="2691"/>
      <c r="V2" s="2691"/>
      <c r="W2" s="2691"/>
      <c r="X2" s="2692"/>
      <c r="Y2" s="821"/>
      <c r="Z2" s="821"/>
      <c r="AA2" s="821"/>
      <c r="AB2" s="821"/>
      <c r="AC2" s="821"/>
      <c r="AD2" s="821"/>
      <c r="AE2" s="821"/>
      <c r="AF2" s="821"/>
    </row>
    <row r="3" spans="1:36" ht="3.95" customHeight="1">
      <c r="A3" s="634"/>
      <c r="B3" s="1203"/>
      <c r="C3" s="1203"/>
      <c r="D3" s="635"/>
      <c r="E3" s="635"/>
      <c r="F3" s="635"/>
      <c r="G3" s="635"/>
      <c r="H3" s="635"/>
      <c r="I3" s="635"/>
      <c r="J3" s="636"/>
      <c r="K3" s="636"/>
      <c r="L3" s="636"/>
      <c r="M3" s="636"/>
      <c r="N3" s="636"/>
      <c r="O3" s="636"/>
      <c r="P3" s="636"/>
      <c r="Q3" s="637"/>
      <c r="R3" s="637"/>
      <c r="S3" s="637"/>
      <c r="T3" s="637"/>
      <c r="U3" s="637"/>
      <c r="V3" s="637"/>
      <c r="W3" s="637"/>
      <c r="X3" s="832"/>
      <c r="Y3" s="637"/>
      <c r="Z3" s="637"/>
      <c r="AA3" s="637"/>
      <c r="AB3" s="637"/>
    </row>
    <row r="4" spans="1:36" ht="28.35" customHeight="1">
      <c r="A4" s="2802" t="s">
        <v>548</v>
      </c>
      <c r="B4" s="2693"/>
      <c r="C4" s="2693"/>
      <c r="D4" s="2693"/>
      <c r="E4" s="2693"/>
      <c r="F4" s="2693"/>
      <c r="G4" s="2693"/>
      <c r="H4" s="2803" t="str">
        <f>IF(ISBLANK('Design Details &amp; Summary'!G3)," ",'Design Details &amp; Summary'!G3)</f>
        <v/>
      </c>
      <c r="I4" s="2803"/>
      <c r="J4" s="2803"/>
      <c r="K4" s="2803"/>
      <c r="L4" s="2803"/>
      <c r="M4" s="2803"/>
      <c r="N4" s="2803"/>
      <c r="O4" s="2803"/>
      <c r="P4" s="2803"/>
      <c r="Q4" s="2803"/>
      <c r="R4" s="2803"/>
      <c r="S4" s="2803"/>
      <c r="T4" s="2803"/>
      <c r="U4" s="2803"/>
      <c r="V4" s="2803"/>
      <c r="W4" s="2803"/>
      <c r="X4" s="2804"/>
      <c r="Y4" s="818"/>
      <c r="Z4" s="818"/>
      <c r="AA4" s="818"/>
      <c r="AB4" s="818"/>
      <c r="AC4" s="818"/>
      <c r="AD4" s="818"/>
      <c r="AE4" s="818"/>
      <c r="AF4" s="818"/>
      <c r="AG4" s="818"/>
      <c r="AH4" s="818"/>
      <c r="AI4" s="818"/>
      <c r="AJ4" s="818"/>
    </row>
    <row r="5" spans="1:36" ht="3.95" customHeight="1" thickBot="1">
      <c r="A5" s="554"/>
      <c r="X5" s="526"/>
    </row>
    <row r="6" spans="1:36" ht="23.1" customHeight="1">
      <c r="A6" s="554"/>
      <c r="B6" s="826"/>
      <c r="C6" s="827"/>
      <c r="D6" s="827"/>
      <c r="E6" s="827"/>
      <c r="F6" s="827"/>
      <c r="G6" s="827"/>
      <c r="H6" s="827"/>
      <c r="I6" s="827"/>
      <c r="J6" s="827"/>
      <c r="K6" s="827"/>
      <c r="L6" s="827"/>
      <c r="M6" s="827"/>
      <c r="N6" s="827"/>
      <c r="O6" s="827"/>
      <c r="P6" s="827"/>
      <c r="Q6" s="827"/>
      <c r="R6" s="827"/>
      <c r="S6" s="827"/>
      <c r="T6" s="827"/>
      <c r="U6" s="827"/>
      <c r="V6" s="827"/>
      <c r="W6" s="828"/>
      <c r="X6" s="526"/>
    </row>
    <row r="7" spans="1:36" ht="23.1" customHeight="1">
      <c r="A7" s="554"/>
      <c r="B7" s="554"/>
      <c r="W7" s="526"/>
      <c r="X7" s="526"/>
    </row>
    <row r="8" spans="1:36" ht="23.1" customHeight="1">
      <c r="A8" s="554"/>
      <c r="B8" s="554"/>
      <c r="W8" s="526"/>
      <c r="X8" s="526"/>
    </row>
    <row r="9" spans="1:36" ht="23.1" customHeight="1">
      <c r="A9" s="554"/>
      <c r="B9" s="554"/>
      <c r="W9" s="526"/>
      <c r="X9" s="526"/>
    </row>
    <row r="10" spans="1:36" ht="23.1" customHeight="1">
      <c r="A10" s="554"/>
      <c r="B10" s="554"/>
      <c r="W10" s="526"/>
      <c r="X10" s="526"/>
    </row>
    <row r="11" spans="1:36" ht="23.1" customHeight="1">
      <c r="A11" s="554"/>
      <c r="B11" s="554"/>
      <c r="W11" s="526"/>
      <c r="X11" s="526"/>
    </row>
    <row r="12" spans="1:36" ht="23.1" customHeight="1">
      <c r="A12" s="554"/>
      <c r="B12" s="554"/>
      <c r="W12" s="526"/>
      <c r="X12" s="526"/>
    </row>
    <row r="13" spans="1:36" ht="23.1" customHeight="1">
      <c r="A13" s="554"/>
      <c r="B13" s="554"/>
      <c r="W13" s="526"/>
      <c r="X13" s="526"/>
    </row>
    <row r="14" spans="1:36" ht="23.1" customHeight="1">
      <c r="A14" s="554"/>
      <c r="B14" s="554"/>
      <c r="W14" s="526"/>
      <c r="X14" s="526"/>
    </row>
    <row r="15" spans="1:36" ht="23.1" customHeight="1">
      <c r="A15" s="554"/>
      <c r="B15" s="554"/>
      <c r="W15" s="526"/>
      <c r="X15" s="526"/>
    </row>
    <row r="16" spans="1:36" ht="23.1" customHeight="1">
      <c r="A16" s="554"/>
      <c r="B16" s="554"/>
      <c r="W16" s="526"/>
      <c r="X16" s="526"/>
    </row>
    <row r="17" spans="1:36" ht="23.1" customHeight="1">
      <c r="A17" s="554"/>
      <c r="B17" s="554"/>
      <c r="W17" s="526"/>
      <c r="X17" s="526"/>
    </row>
    <row r="18" spans="1:36" ht="23.1" customHeight="1">
      <c r="A18" s="554"/>
      <c r="B18" s="554"/>
      <c r="W18" s="526"/>
      <c r="X18" s="526"/>
    </row>
    <row r="19" spans="1:36" ht="23.1" customHeight="1">
      <c r="A19" s="554"/>
      <c r="B19" s="554"/>
      <c r="W19" s="526"/>
      <c r="X19" s="526"/>
    </row>
    <row r="20" spans="1:36" ht="23.1" customHeight="1">
      <c r="A20" s="554"/>
      <c r="B20" s="554"/>
      <c r="W20" s="526"/>
      <c r="X20" s="526"/>
    </row>
    <row r="21" spans="1:36" ht="23.1" customHeight="1">
      <c r="A21" s="554"/>
      <c r="B21" s="554"/>
      <c r="W21" s="526"/>
      <c r="X21" s="526"/>
    </row>
    <row r="22" spans="1:36" ht="23.1" customHeight="1">
      <c r="A22" s="554"/>
      <c r="B22" s="554"/>
      <c r="W22" s="526"/>
      <c r="X22" s="526"/>
    </row>
    <row r="23" spans="1:36" ht="23.1" customHeight="1">
      <c r="A23" s="554"/>
      <c r="B23" s="554"/>
      <c r="W23" s="526"/>
      <c r="X23" s="526"/>
    </row>
    <row r="24" spans="1:36" ht="23.1" customHeight="1">
      <c r="A24" s="554"/>
      <c r="B24" s="554"/>
      <c r="W24" s="526"/>
      <c r="X24" s="526"/>
    </row>
    <row r="25" spans="1:36" ht="23.1" customHeight="1">
      <c r="A25" s="554"/>
      <c r="B25" s="554"/>
      <c r="W25" s="526"/>
      <c r="X25" s="526"/>
    </row>
    <row r="26" spans="1:36" ht="23.1" customHeight="1" thickBot="1">
      <c r="A26" s="554"/>
      <c r="B26" s="829"/>
      <c r="C26" s="830"/>
      <c r="D26" s="830"/>
      <c r="E26" s="830"/>
      <c r="F26" s="830"/>
      <c r="G26" s="830"/>
      <c r="H26" s="830"/>
      <c r="I26" s="830"/>
      <c r="J26" s="830"/>
      <c r="K26" s="830"/>
      <c r="L26" s="830"/>
      <c r="M26" s="830"/>
      <c r="N26" s="830"/>
      <c r="O26" s="830"/>
      <c r="P26" s="830"/>
      <c r="Q26" s="830"/>
      <c r="R26" s="830"/>
      <c r="S26" s="830"/>
      <c r="T26" s="830"/>
      <c r="U26" s="830"/>
      <c r="V26" s="830"/>
      <c r="W26" s="831"/>
      <c r="X26" s="526"/>
    </row>
    <row r="27" spans="1:36" ht="6" customHeight="1">
      <c r="A27" s="554"/>
      <c r="X27" s="526"/>
    </row>
    <row r="28" spans="1:36">
      <c r="A28" s="2679" t="s">
        <v>752</v>
      </c>
      <c r="B28" s="2656"/>
      <c r="C28" s="2656"/>
      <c r="D28" s="2680"/>
      <c r="E28" s="2681"/>
      <c r="F28" s="2681"/>
      <c r="G28" s="2682"/>
      <c r="H28" s="819"/>
      <c r="I28" s="819"/>
      <c r="T28" s="819"/>
      <c r="X28" s="526"/>
      <c r="Y28" s="819"/>
      <c r="Z28" s="819"/>
      <c r="AE28" s="819"/>
    </row>
    <row r="29" spans="1:36">
      <c r="A29" s="554"/>
      <c r="K29" s="818"/>
      <c r="L29" s="818"/>
      <c r="M29" s="818"/>
      <c r="N29" s="818"/>
      <c r="O29" s="818"/>
      <c r="P29" s="818"/>
      <c r="Q29" s="818"/>
      <c r="R29" s="818"/>
      <c r="S29" s="818"/>
      <c r="T29" s="818"/>
      <c r="U29" s="818"/>
      <c r="V29" s="818"/>
      <c r="W29" s="818"/>
      <c r="X29" s="833"/>
      <c r="Y29" s="818"/>
      <c r="Z29" s="818"/>
      <c r="AA29" s="818"/>
      <c r="AB29" s="818"/>
      <c r="AC29" s="818"/>
      <c r="AD29" s="818"/>
      <c r="AE29" s="818"/>
      <c r="AF29" s="818"/>
      <c r="AG29" s="818"/>
      <c r="AH29" s="818"/>
      <c r="AI29" s="818"/>
      <c r="AJ29" s="818"/>
    </row>
    <row r="30" spans="1:36">
      <c r="A30" s="554"/>
      <c r="B30" s="551" t="s">
        <v>753</v>
      </c>
      <c r="K30" s="818"/>
      <c r="L30" s="818"/>
      <c r="M30" s="818"/>
      <c r="N30" s="818"/>
      <c r="O30" s="818"/>
      <c r="P30" s="818"/>
      <c r="Q30" s="818"/>
      <c r="R30" s="818"/>
      <c r="S30" s="818"/>
      <c r="T30" s="818"/>
      <c r="U30" s="818"/>
      <c r="V30" s="818"/>
      <c r="W30" s="818"/>
      <c r="X30" s="833"/>
      <c r="Y30" s="818"/>
      <c r="Z30" s="818"/>
      <c r="AA30" s="818"/>
      <c r="AB30" s="818"/>
      <c r="AC30" s="818"/>
      <c r="AD30" s="818"/>
      <c r="AE30" s="818"/>
      <c r="AF30" s="818"/>
      <c r="AG30" s="818"/>
      <c r="AH30" s="818"/>
      <c r="AI30" s="818"/>
      <c r="AJ30" s="818"/>
    </row>
    <row r="31" spans="1:36">
      <c r="A31" s="554"/>
      <c r="B31" s="520" t="s">
        <v>942</v>
      </c>
      <c r="J31" s="520" t="s">
        <v>943</v>
      </c>
      <c r="P31" s="818"/>
      <c r="Q31" s="818"/>
      <c r="R31" s="520" t="s">
        <v>944</v>
      </c>
      <c r="X31" s="833"/>
      <c r="Y31" s="818"/>
      <c r="Z31" s="818"/>
      <c r="AA31" s="818"/>
      <c r="AB31" s="818"/>
      <c r="AC31" s="818"/>
      <c r="AD31" s="818"/>
      <c r="AE31" s="818"/>
      <c r="AF31" s="818"/>
      <c r="AG31" s="818"/>
      <c r="AH31" s="818"/>
      <c r="AI31" s="818"/>
      <c r="AJ31" s="818"/>
    </row>
    <row r="32" spans="1:36" ht="15.6" customHeight="1">
      <c r="A32" s="554"/>
      <c r="B32" s="520" t="s">
        <v>945</v>
      </c>
      <c r="D32" s="2680"/>
      <c r="E32" s="2681"/>
      <c r="F32" s="2681"/>
      <c r="G32" s="2682"/>
      <c r="H32" s="520" t="s">
        <v>609</v>
      </c>
      <c r="J32" s="520" t="s">
        <v>946</v>
      </c>
      <c r="L32" s="2680"/>
      <c r="M32" s="2681"/>
      <c r="N32" s="2681"/>
      <c r="O32" s="2682"/>
      <c r="P32" s="520" t="s">
        <v>609</v>
      </c>
      <c r="Q32" s="818"/>
      <c r="T32" s="2680"/>
      <c r="U32" s="2681"/>
      <c r="V32" s="2681"/>
      <c r="W32" s="2682"/>
      <c r="X32" s="526" t="s">
        <v>609</v>
      </c>
      <c r="Y32" s="818"/>
      <c r="Z32" s="818"/>
      <c r="AA32" s="818"/>
      <c r="AB32" s="818"/>
      <c r="AC32" s="818"/>
      <c r="AD32" s="818"/>
      <c r="AE32" s="818"/>
      <c r="AF32" s="818"/>
      <c r="AG32" s="818"/>
      <c r="AH32" s="818"/>
      <c r="AI32" s="818"/>
      <c r="AJ32" s="818"/>
    </row>
    <row r="33" spans="1:36" ht="15.6" customHeight="1">
      <c r="A33" s="554"/>
      <c r="B33" s="520" t="s">
        <v>947</v>
      </c>
      <c r="D33" s="2680"/>
      <c r="E33" s="2681"/>
      <c r="F33" s="2681"/>
      <c r="G33" s="2682"/>
      <c r="H33" s="520" t="s">
        <v>609</v>
      </c>
      <c r="J33" s="520" t="s">
        <v>948</v>
      </c>
      <c r="L33" s="2680"/>
      <c r="M33" s="2681"/>
      <c r="N33" s="2681"/>
      <c r="O33" s="2682"/>
      <c r="P33" s="520" t="s">
        <v>609</v>
      </c>
      <c r="X33" s="526"/>
    </row>
    <row r="34" spans="1:36" ht="15.6" customHeight="1">
      <c r="A34" s="554"/>
      <c r="B34" s="520" t="s">
        <v>949</v>
      </c>
      <c r="D34" s="2680"/>
      <c r="E34" s="2681"/>
      <c r="F34" s="2681"/>
      <c r="G34" s="2682"/>
      <c r="H34" s="520" t="s">
        <v>609</v>
      </c>
      <c r="J34" s="520" t="s">
        <v>950</v>
      </c>
      <c r="L34" s="2680"/>
      <c r="M34" s="2681"/>
      <c r="N34" s="2681"/>
      <c r="O34" s="2682"/>
      <c r="P34" s="520" t="s">
        <v>609</v>
      </c>
      <c r="X34" s="526"/>
    </row>
    <row r="35" spans="1:36" ht="15.6" customHeight="1">
      <c r="A35" s="834"/>
      <c r="B35" s="520" t="s">
        <v>951</v>
      </c>
      <c r="D35" s="2680"/>
      <c r="E35" s="2681"/>
      <c r="F35" s="2681"/>
      <c r="G35" s="2682"/>
      <c r="H35" s="520" t="s">
        <v>609</v>
      </c>
      <c r="I35" s="551"/>
      <c r="Q35" s="551"/>
      <c r="R35" s="551"/>
      <c r="S35" s="551"/>
      <c r="T35" s="551"/>
      <c r="U35" s="551"/>
      <c r="V35" s="551"/>
      <c r="W35" s="551"/>
      <c r="X35" s="835"/>
      <c r="Y35" s="551"/>
      <c r="Z35" s="551"/>
      <c r="AA35" s="551"/>
      <c r="AB35" s="551"/>
      <c r="AC35" s="551"/>
      <c r="AD35" s="551"/>
      <c r="AE35" s="551"/>
      <c r="AF35" s="551"/>
    </row>
    <row r="36" spans="1:36">
      <c r="A36" s="554"/>
      <c r="X36" s="526"/>
    </row>
    <row r="37" spans="1:36" ht="15.75" thickBot="1">
      <c r="A37" s="829"/>
      <c r="B37" s="830"/>
      <c r="C37" s="830"/>
      <c r="D37" s="830"/>
      <c r="E37" s="830"/>
      <c r="F37" s="830"/>
      <c r="G37" s="830"/>
      <c r="H37" s="830"/>
      <c r="I37" s="830"/>
      <c r="J37" s="830"/>
      <c r="K37" s="830"/>
      <c r="L37" s="830"/>
      <c r="M37" s="830"/>
      <c r="N37" s="830"/>
      <c r="O37" s="830"/>
      <c r="P37" s="830"/>
      <c r="Q37" s="830"/>
      <c r="R37" s="830"/>
      <c r="S37" s="830"/>
      <c r="T37" s="830"/>
      <c r="U37" s="830"/>
      <c r="V37" s="830"/>
      <c r="W37" s="830"/>
      <c r="X37" s="831"/>
    </row>
    <row r="38" spans="1:36" ht="28.35" customHeight="1" thickBot="1">
      <c r="A38" s="2802" t="s">
        <v>548</v>
      </c>
      <c r="B38" s="2693"/>
      <c r="C38" s="2693"/>
      <c r="D38" s="2693"/>
      <c r="E38" s="2693"/>
      <c r="F38" s="2693"/>
      <c r="G38" s="2693"/>
      <c r="H38" s="2803" t="str">
        <f>IF(ISBLANK('Design Details &amp; Summary'!G3)," ",'Design Details &amp; Summary'!G3)</f>
        <v/>
      </c>
      <c r="I38" s="2803"/>
      <c r="J38" s="2803"/>
      <c r="K38" s="2803"/>
      <c r="L38" s="2803"/>
      <c r="M38" s="2803"/>
      <c r="N38" s="2803"/>
      <c r="O38" s="2803"/>
      <c r="P38" s="2803"/>
      <c r="Q38" s="2803"/>
      <c r="R38" s="2803"/>
      <c r="S38" s="2803"/>
      <c r="T38" s="2803"/>
      <c r="U38" s="2803"/>
      <c r="V38" s="2803"/>
      <c r="W38" s="2803"/>
      <c r="X38" s="2804"/>
      <c r="Y38" s="818"/>
      <c r="Z38" s="818"/>
      <c r="AA38" s="818"/>
      <c r="AB38" s="818"/>
      <c r="AC38" s="818"/>
      <c r="AD38" s="818"/>
      <c r="AE38" s="818"/>
      <c r="AF38" s="818"/>
      <c r="AG38" s="818"/>
      <c r="AH38" s="818"/>
      <c r="AI38" s="818"/>
      <c r="AJ38" s="818"/>
    </row>
    <row r="39" spans="1:36" ht="15.75" thickBot="1">
      <c r="A39" s="836" t="s">
        <v>854</v>
      </c>
      <c r="B39" s="837"/>
      <c r="C39" s="837"/>
      <c r="D39" s="837"/>
      <c r="E39" s="837"/>
      <c r="F39" s="837"/>
      <c r="G39" s="837"/>
      <c r="H39" s="837"/>
      <c r="I39" s="837"/>
      <c r="J39" s="837"/>
      <c r="K39" s="837"/>
      <c r="L39" s="837"/>
      <c r="M39" s="837"/>
      <c r="N39" s="837"/>
      <c r="O39" s="837"/>
      <c r="P39" s="837"/>
      <c r="Q39" s="837"/>
      <c r="R39" s="837"/>
      <c r="S39" s="837"/>
      <c r="T39" s="837"/>
      <c r="U39" s="837"/>
      <c r="V39" s="837"/>
      <c r="W39" s="837"/>
      <c r="X39" s="838"/>
      <c r="Y39" s="551"/>
      <c r="Z39" s="551"/>
      <c r="AA39" s="551"/>
      <c r="AB39" s="551"/>
      <c r="AC39" s="551"/>
      <c r="AD39" s="551"/>
      <c r="AE39" s="551"/>
      <c r="AF39" s="551"/>
    </row>
    <row r="40" spans="1:36">
      <c r="A40" s="834"/>
      <c r="B40" s="551"/>
      <c r="C40" s="551"/>
      <c r="D40" s="551"/>
      <c r="E40" s="551"/>
      <c r="F40" s="551"/>
      <c r="G40" s="551"/>
      <c r="H40" s="551"/>
      <c r="I40" s="551"/>
      <c r="J40" s="551"/>
      <c r="K40" s="551"/>
      <c r="L40" s="551"/>
      <c r="M40" s="551"/>
      <c r="N40" s="551"/>
      <c r="O40" s="551"/>
      <c r="P40" s="551"/>
      <c r="Q40" s="551"/>
      <c r="R40" s="551"/>
      <c r="S40" s="551"/>
      <c r="T40" s="551"/>
      <c r="U40" s="551"/>
      <c r="V40" s="551"/>
      <c r="W40" s="551"/>
      <c r="X40" s="835"/>
      <c r="Y40" s="551"/>
      <c r="Z40" s="551"/>
      <c r="AA40" s="551"/>
      <c r="AB40" s="551"/>
      <c r="AC40" s="551"/>
      <c r="AD40" s="551"/>
      <c r="AE40" s="551"/>
      <c r="AF40" s="551"/>
    </row>
    <row r="41" spans="1:36">
      <c r="A41" s="834"/>
      <c r="B41" s="551"/>
      <c r="C41" s="551"/>
      <c r="D41" s="551"/>
      <c r="E41" s="551"/>
      <c r="F41" s="551"/>
      <c r="G41" s="551"/>
      <c r="H41" s="551"/>
      <c r="I41" s="551"/>
      <c r="J41" s="551"/>
      <c r="K41" s="551"/>
      <c r="L41" s="551"/>
      <c r="M41" s="551"/>
      <c r="N41" s="551"/>
      <c r="O41" s="551"/>
      <c r="P41" s="551"/>
      <c r="Q41" s="551"/>
      <c r="R41" s="551"/>
      <c r="S41" s="551"/>
      <c r="T41" s="551"/>
      <c r="U41" s="551"/>
      <c r="V41" s="551"/>
      <c r="W41" s="551"/>
      <c r="X41" s="835"/>
      <c r="Y41" s="551"/>
      <c r="Z41" s="551"/>
      <c r="AA41" s="551"/>
      <c r="AB41" s="551"/>
      <c r="AC41" s="551"/>
      <c r="AD41" s="551"/>
      <c r="AE41" s="551"/>
      <c r="AF41" s="551"/>
    </row>
    <row r="42" spans="1:36">
      <c r="A42" s="834" t="s">
        <v>856</v>
      </c>
      <c r="H42" s="551" t="s">
        <v>857</v>
      </c>
      <c r="O42" s="551" t="s">
        <v>858</v>
      </c>
      <c r="X42" s="526"/>
    </row>
    <row r="43" spans="1:36" ht="15" customHeight="1">
      <c r="A43" s="554"/>
      <c r="I43" s="551"/>
      <c r="J43" s="551"/>
      <c r="K43" s="551"/>
      <c r="X43" s="526"/>
    </row>
    <row r="44" spans="1:36" ht="15" customHeight="1">
      <c r="A44" s="554"/>
      <c r="X44" s="526"/>
    </row>
    <row r="45" spans="1:36" ht="15" customHeight="1">
      <c r="A45" s="554"/>
      <c r="X45" s="526"/>
    </row>
    <row r="46" spans="1:36" ht="15" customHeight="1">
      <c r="A46" s="554"/>
      <c r="X46" s="526"/>
    </row>
    <row r="47" spans="1:36" ht="15" customHeight="1">
      <c r="A47" s="554"/>
      <c r="H47" s="551" t="s">
        <v>862</v>
      </c>
      <c r="X47" s="526"/>
    </row>
    <row r="48" spans="1:36" ht="15" customHeight="1">
      <c r="A48" s="554"/>
      <c r="X48" s="526"/>
    </row>
    <row r="49" spans="1:24" ht="15" customHeight="1">
      <c r="A49" s="554"/>
      <c r="X49" s="526"/>
    </row>
    <row r="50" spans="1:24" ht="15" customHeight="1">
      <c r="A50" s="554"/>
      <c r="X50" s="526"/>
    </row>
    <row r="51" spans="1:24" ht="15" customHeight="1">
      <c r="A51" s="554"/>
      <c r="X51" s="526"/>
    </row>
    <row r="52" spans="1:24" ht="15" customHeight="1">
      <c r="A52" s="554"/>
      <c r="X52" s="526"/>
    </row>
    <row r="53" spans="1:24">
      <c r="A53" s="554"/>
      <c r="X53" s="526"/>
    </row>
    <row r="54" spans="1:24" ht="6.6" customHeight="1">
      <c r="A54" s="554"/>
      <c r="X54" s="526"/>
    </row>
    <row r="55" spans="1:24" ht="15.75" thickBot="1">
      <c r="A55" s="554"/>
      <c r="X55" s="526"/>
    </row>
    <row r="56" spans="1:24" ht="67.5" customHeight="1" thickBot="1">
      <c r="A56" s="2798" t="s">
        <v>719</v>
      </c>
      <c r="B56" s="2799"/>
      <c r="C56" s="2799"/>
      <c r="D56" s="2799"/>
      <c r="E56" s="2799"/>
      <c r="F56" s="2799"/>
      <c r="G56" s="2799"/>
      <c r="H56" s="2799"/>
      <c r="I56" s="2799"/>
      <c r="J56" s="2799"/>
      <c r="K56" s="2799"/>
      <c r="L56" s="2799"/>
      <c r="M56" s="2799"/>
      <c r="N56" s="2799"/>
      <c r="O56" s="2799"/>
      <c r="P56" s="2799"/>
      <c r="Q56" s="2799"/>
      <c r="R56" s="2799"/>
      <c r="S56" s="2799"/>
      <c r="T56" s="2799"/>
      <c r="U56" s="2799"/>
      <c r="V56" s="2799"/>
      <c r="W56" s="2799"/>
      <c r="X56" s="2800"/>
    </row>
    <row r="57" spans="1:24">
      <c r="A57" s="554"/>
      <c r="X57" s="526"/>
    </row>
    <row r="58" spans="1:24">
      <c r="A58" s="554"/>
      <c r="X58" s="526"/>
    </row>
    <row r="59" spans="1:24">
      <c r="A59" s="554"/>
      <c r="X59" s="526"/>
    </row>
    <row r="60" spans="1:24">
      <c r="A60" s="554"/>
      <c r="X60" s="526"/>
    </row>
    <row r="61" spans="1:24">
      <c r="A61" s="554"/>
      <c r="X61" s="526"/>
    </row>
    <row r="62" spans="1:24">
      <c r="A62" s="554"/>
      <c r="X62" s="526"/>
    </row>
    <row r="63" spans="1:24">
      <c r="A63" s="554"/>
      <c r="X63" s="526"/>
    </row>
    <row r="64" spans="1:24">
      <c r="A64" s="554"/>
      <c r="X64" s="526"/>
    </row>
    <row r="65" spans="1:24">
      <c r="A65" s="554"/>
      <c r="X65" s="526"/>
    </row>
    <row r="66" spans="1:24">
      <c r="A66" s="554"/>
      <c r="X66" s="526"/>
    </row>
    <row r="67" spans="1:24">
      <c r="A67" s="554"/>
      <c r="X67" s="526"/>
    </row>
    <row r="68" spans="1:24">
      <c r="A68" s="554"/>
      <c r="X68" s="526"/>
    </row>
    <row r="69" spans="1:24">
      <c r="A69" s="554"/>
      <c r="X69" s="526"/>
    </row>
    <row r="70" spans="1:24">
      <c r="A70" s="554"/>
      <c r="X70" s="526"/>
    </row>
    <row r="71" spans="1:24">
      <c r="A71" s="554"/>
      <c r="X71" s="526"/>
    </row>
    <row r="72" spans="1:24">
      <c r="A72" s="554"/>
      <c r="X72" s="526"/>
    </row>
    <row r="73" spans="1:24">
      <c r="A73" s="554"/>
      <c r="X73" s="526"/>
    </row>
    <row r="74" spans="1:24">
      <c r="A74" s="554"/>
      <c r="X74" s="526"/>
    </row>
    <row r="75" spans="1:24">
      <c r="A75" s="554"/>
      <c r="X75" s="526"/>
    </row>
    <row r="76" spans="1:24">
      <c r="A76" s="554"/>
      <c r="X76" s="526"/>
    </row>
    <row r="77" spans="1:24" ht="15.75" thickBot="1">
      <c r="A77" s="829"/>
      <c r="B77" s="830"/>
      <c r="C77" s="830"/>
      <c r="D77" s="830"/>
      <c r="E77" s="830"/>
      <c r="F77" s="830"/>
      <c r="G77" s="830"/>
      <c r="H77" s="830"/>
      <c r="I77" s="830"/>
      <c r="J77" s="830"/>
      <c r="K77" s="830"/>
      <c r="L77" s="830"/>
      <c r="M77" s="830"/>
      <c r="N77" s="830"/>
      <c r="O77" s="830"/>
      <c r="P77" s="830"/>
      <c r="Q77" s="830"/>
      <c r="R77" s="830"/>
      <c r="S77" s="830"/>
      <c r="T77" s="830"/>
      <c r="U77" s="830"/>
      <c r="V77" s="830"/>
      <c r="W77" s="830"/>
      <c r="X77" s="831"/>
    </row>
  </sheetData>
  <sheetProtection sheet="1" objects="1" scenarios="1"/>
  <customSheetViews>
    <customSheetView guid="{D1431318-1DB8-4C45-813B-5A8065DFC797}" fitToPage="1">
      <selection activeCell="AB51" sqref="AB51"/>
      <pageMargins left="0" right="0" top="0" bottom="0" header="0" footer="0"/>
      <pageSetup orientation="portrait" blackAndWhite="1" r:id="rId1"/>
      <headerFooter alignWithMargins="0"/>
    </customSheetView>
  </customSheetViews>
  <mergeCells count="20">
    <mergeCell ref="L33:O33"/>
    <mergeCell ref="L34:O34"/>
    <mergeCell ref="D32:G32"/>
    <mergeCell ref="D33:G33"/>
    <mergeCell ref="F1:Q1"/>
    <mergeCell ref="A28:C28"/>
    <mergeCell ref="D28:G28"/>
    <mergeCell ref="T2:X2"/>
    <mergeCell ref="A56:X56"/>
    <mergeCell ref="O2:R2"/>
    <mergeCell ref="L2:N2"/>
    <mergeCell ref="F2:K2"/>
    <mergeCell ref="A4:G4"/>
    <mergeCell ref="H4:X4"/>
    <mergeCell ref="A38:G38"/>
    <mergeCell ref="H38:X38"/>
    <mergeCell ref="T32:W32"/>
    <mergeCell ref="D34:G34"/>
    <mergeCell ref="D35:G35"/>
    <mergeCell ref="L32:O32"/>
  </mergeCells>
  <pageMargins left="0.4" right="0.4" top="0.4" bottom="0.4" header="0.5" footer="0.5"/>
  <pageSetup orientation="portrait" blackAndWhite="1"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550646" r:id="rId5" name="Check Box 1910">
              <controlPr defaultSize="0" autoFill="0" autoLine="0" autoPict="0">
                <anchor moveWithCells="1" sizeWithCells="1">
                  <from>
                    <xdr:col>0</xdr:col>
                    <xdr:colOff>0</xdr:colOff>
                    <xdr:row>42</xdr:row>
                    <xdr:rowOff>0</xdr:rowOff>
                  </from>
                  <to>
                    <xdr:col>7</xdr:col>
                    <xdr:colOff>0</xdr:colOff>
                    <xdr:row>43</xdr:row>
                    <xdr:rowOff>28575</xdr:rowOff>
                  </to>
                </anchor>
              </controlPr>
            </control>
          </mc:Choice>
        </mc:AlternateContent>
        <mc:AlternateContent xmlns:mc="http://schemas.openxmlformats.org/markup-compatibility/2006">
          <mc:Choice Requires="x14">
            <control shapeId="2550647" r:id="rId6" name="Check Box 1911">
              <controlPr defaultSize="0" autoFill="0" autoLine="0" autoPict="0">
                <anchor moveWithCells="1" sizeWithCells="1">
                  <from>
                    <xdr:col>0</xdr:col>
                    <xdr:colOff>0</xdr:colOff>
                    <xdr:row>43</xdr:row>
                    <xdr:rowOff>66675</xdr:rowOff>
                  </from>
                  <to>
                    <xdr:col>7</xdr:col>
                    <xdr:colOff>0</xdr:colOff>
                    <xdr:row>44</xdr:row>
                    <xdr:rowOff>85725</xdr:rowOff>
                  </to>
                </anchor>
              </controlPr>
            </control>
          </mc:Choice>
        </mc:AlternateContent>
        <mc:AlternateContent xmlns:mc="http://schemas.openxmlformats.org/markup-compatibility/2006">
          <mc:Choice Requires="x14">
            <control shapeId="2550648" r:id="rId7" name="Check Box 1912">
              <controlPr defaultSize="0" autoFill="0" autoLine="0" autoPict="0">
                <anchor moveWithCells="1" sizeWithCells="1">
                  <from>
                    <xdr:col>0</xdr:col>
                    <xdr:colOff>0</xdr:colOff>
                    <xdr:row>44</xdr:row>
                    <xdr:rowOff>114300</xdr:rowOff>
                  </from>
                  <to>
                    <xdr:col>7</xdr:col>
                    <xdr:colOff>0</xdr:colOff>
                    <xdr:row>45</xdr:row>
                    <xdr:rowOff>142875</xdr:rowOff>
                  </to>
                </anchor>
              </controlPr>
            </control>
          </mc:Choice>
        </mc:AlternateContent>
        <mc:AlternateContent xmlns:mc="http://schemas.openxmlformats.org/markup-compatibility/2006">
          <mc:Choice Requires="x14">
            <control shapeId="2550649" r:id="rId8" name="Check Box 1913">
              <controlPr defaultSize="0" autoFill="0" autoLine="0" autoPict="0">
                <anchor moveWithCells="1" sizeWithCells="1">
                  <from>
                    <xdr:col>0</xdr:col>
                    <xdr:colOff>0</xdr:colOff>
                    <xdr:row>45</xdr:row>
                    <xdr:rowOff>180975</xdr:rowOff>
                  </from>
                  <to>
                    <xdr:col>7</xdr:col>
                    <xdr:colOff>0</xdr:colOff>
                    <xdr:row>47</xdr:row>
                    <xdr:rowOff>9525</xdr:rowOff>
                  </to>
                </anchor>
              </controlPr>
            </control>
          </mc:Choice>
        </mc:AlternateContent>
        <mc:AlternateContent xmlns:mc="http://schemas.openxmlformats.org/markup-compatibility/2006">
          <mc:Choice Requires="x14">
            <control shapeId="2550650" r:id="rId9" name="Check Box 1914">
              <controlPr defaultSize="0" autoFill="0" autoLine="0" autoPict="0">
                <anchor moveWithCells="1" sizeWithCells="1">
                  <from>
                    <xdr:col>0</xdr:col>
                    <xdr:colOff>0</xdr:colOff>
                    <xdr:row>47</xdr:row>
                    <xdr:rowOff>38100</xdr:rowOff>
                  </from>
                  <to>
                    <xdr:col>7</xdr:col>
                    <xdr:colOff>0</xdr:colOff>
                    <xdr:row>48</xdr:row>
                    <xdr:rowOff>66675</xdr:rowOff>
                  </to>
                </anchor>
              </controlPr>
            </control>
          </mc:Choice>
        </mc:AlternateContent>
        <mc:AlternateContent xmlns:mc="http://schemas.openxmlformats.org/markup-compatibility/2006">
          <mc:Choice Requires="x14">
            <control shapeId="2550651" r:id="rId10" name="Check Box 1915">
              <controlPr defaultSize="0" autoFill="0" autoLine="0" autoPict="0">
                <anchor moveWithCells="1" sizeWithCells="1">
                  <from>
                    <xdr:col>0</xdr:col>
                    <xdr:colOff>0</xdr:colOff>
                    <xdr:row>48</xdr:row>
                    <xdr:rowOff>104775</xdr:rowOff>
                  </from>
                  <to>
                    <xdr:col>7</xdr:col>
                    <xdr:colOff>0</xdr:colOff>
                    <xdr:row>49</xdr:row>
                    <xdr:rowOff>123825</xdr:rowOff>
                  </to>
                </anchor>
              </controlPr>
            </control>
          </mc:Choice>
        </mc:AlternateContent>
        <mc:AlternateContent xmlns:mc="http://schemas.openxmlformats.org/markup-compatibility/2006">
          <mc:Choice Requires="x14">
            <control shapeId="2550652" r:id="rId11" name="Check Box 1916">
              <controlPr defaultSize="0" autoFill="0" autoLine="0" autoPict="0">
                <anchor moveWithCells="1" sizeWithCells="1">
                  <from>
                    <xdr:col>0</xdr:col>
                    <xdr:colOff>0</xdr:colOff>
                    <xdr:row>49</xdr:row>
                    <xdr:rowOff>152400</xdr:rowOff>
                  </from>
                  <to>
                    <xdr:col>7</xdr:col>
                    <xdr:colOff>0</xdr:colOff>
                    <xdr:row>50</xdr:row>
                    <xdr:rowOff>180975</xdr:rowOff>
                  </to>
                </anchor>
              </controlPr>
            </control>
          </mc:Choice>
        </mc:AlternateContent>
        <mc:AlternateContent xmlns:mc="http://schemas.openxmlformats.org/markup-compatibility/2006">
          <mc:Choice Requires="x14">
            <control shapeId="2550653" r:id="rId12" name="Check Box 1917">
              <controlPr defaultSize="0" autoFill="0" autoLine="0" autoPict="0">
                <anchor moveWithCells="1" sizeWithCells="1">
                  <from>
                    <xdr:col>0</xdr:col>
                    <xdr:colOff>0</xdr:colOff>
                    <xdr:row>51</xdr:row>
                    <xdr:rowOff>28575</xdr:rowOff>
                  </from>
                  <to>
                    <xdr:col>7</xdr:col>
                    <xdr:colOff>0</xdr:colOff>
                    <xdr:row>52</xdr:row>
                    <xdr:rowOff>47625</xdr:rowOff>
                  </to>
                </anchor>
              </controlPr>
            </control>
          </mc:Choice>
        </mc:AlternateContent>
        <mc:AlternateContent xmlns:mc="http://schemas.openxmlformats.org/markup-compatibility/2006">
          <mc:Choice Requires="x14">
            <control shapeId="2550654" r:id="rId13" name="Check Box 1918">
              <controlPr defaultSize="0" autoFill="0" autoLine="0" autoPict="0">
                <anchor moveWithCells="1" sizeWithCells="1">
                  <from>
                    <xdr:col>7</xdr:col>
                    <xdr:colOff>0</xdr:colOff>
                    <xdr:row>42</xdr:row>
                    <xdr:rowOff>47625</xdr:rowOff>
                  </from>
                  <to>
                    <xdr:col>15</xdr:col>
                    <xdr:colOff>180975</xdr:colOff>
                    <xdr:row>43</xdr:row>
                    <xdr:rowOff>76200</xdr:rowOff>
                  </to>
                </anchor>
              </controlPr>
            </control>
          </mc:Choice>
        </mc:AlternateContent>
        <mc:AlternateContent xmlns:mc="http://schemas.openxmlformats.org/markup-compatibility/2006">
          <mc:Choice Requires="x14">
            <control shapeId="2550655" r:id="rId14" name="Check Box 1919">
              <controlPr defaultSize="0" autoFill="0" autoLine="0" autoPict="0">
                <anchor moveWithCells="1" sizeWithCells="1">
                  <from>
                    <xdr:col>7</xdr:col>
                    <xdr:colOff>0</xdr:colOff>
                    <xdr:row>43</xdr:row>
                    <xdr:rowOff>104775</xdr:rowOff>
                  </from>
                  <to>
                    <xdr:col>16</xdr:col>
                    <xdr:colOff>9525</xdr:colOff>
                    <xdr:row>44</xdr:row>
                    <xdr:rowOff>142875</xdr:rowOff>
                  </to>
                </anchor>
              </controlPr>
            </control>
          </mc:Choice>
        </mc:AlternateContent>
        <mc:AlternateContent xmlns:mc="http://schemas.openxmlformats.org/markup-compatibility/2006">
          <mc:Choice Requires="x14">
            <control shapeId="2550656" r:id="rId15" name="Check Box 1920">
              <controlPr defaultSize="0" autoFill="0" autoLine="0" autoPict="0">
                <anchor moveWithCells="1" sizeWithCells="1">
                  <from>
                    <xdr:col>7</xdr:col>
                    <xdr:colOff>0</xdr:colOff>
                    <xdr:row>44</xdr:row>
                    <xdr:rowOff>161925</xdr:rowOff>
                  </from>
                  <to>
                    <xdr:col>15</xdr:col>
                    <xdr:colOff>180975</xdr:colOff>
                    <xdr:row>46</xdr:row>
                    <xdr:rowOff>0</xdr:rowOff>
                  </to>
                </anchor>
              </controlPr>
            </control>
          </mc:Choice>
        </mc:AlternateContent>
        <mc:AlternateContent xmlns:mc="http://schemas.openxmlformats.org/markup-compatibility/2006">
          <mc:Choice Requires="x14">
            <control shapeId="2550657" r:id="rId16" name="Check Box 1921">
              <controlPr defaultSize="0" autoFill="0" autoLine="0" autoPict="0">
                <anchor moveWithCells="1" sizeWithCells="1">
                  <from>
                    <xdr:col>7</xdr:col>
                    <xdr:colOff>0</xdr:colOff>
                    <xdr:row>47</xdr:row>
                    <xdr:rowOff>47625</xdr:rowOff>
                  </from>
                  <to>
                    <xdr:col>16</xdr:col>
                    <xdr:colOff>161925</xdr:colOff>
                    <xdr:row>48</xdr:row>
                    <xdr:rowOff>76200</xdr:rowOff>
                  </to>
                </anchor>
              </controlPr>
            </control>
          </mc:Choice>
        </mc:AlternateContent>
        <mc:AlternateContent xmlns:mc="http://schemas.openxmlformats.org/markup-compatibility/2006">
          <mc:Choice Requires="x14">
            <control shapeId="2550658" r:id="rId17" name="Check Box 1922">
              <controlPr defaultSize="0" autoFill="0" autoLine="0" autoPict="0">
                <anchor moveWithCells="1" sizeWithCells="1">
                  <from>
                    <xdr:col>7</xdr:col>
                    <xdr:colOff>0</xdr:colOff>
                    <xdr:row>48</xdr:row>
                    <xdr:rowOff>104775</xdr:rowOff>
                  </from>
                  <to>
                    <xdr:col>20</xdr:col>
                    <xdr:colOff>0</xdr:colOff>
                    <xdr:row>49</xdr:row>
                    <xdr:rowOff>142875</xdr:rowOff>
                  </to>
                </anchor>
              </controlPr>
            </control>
          </mc:Choice>
        </mc:AlternateContent>
        <mc:AlternateContent xmlns:mc="http://schemas.openxmlformats.org/markup-compatibility/2006">
          <mc:Choice Requires="x14">
            <control shapeId="2550659" r:id="rId18" name="Check Box 1923">
              <controlPr defaultSize="0" autoFill="0" autoLine="0" autoPict="0">
                <anchor moveWithCells="1" sizeWithCells="1">
                  <from>
                    <xdr:col>7</xdr:col>
                    <xdr:colOff>0</xdr:colOff>
                    <xdr:row>49</xdr:row>
                    <xdr:rowOff>161925</xdr:rowOff>
                  </from>
                  <to>
                    <xdr:col>20</xdr:col>
                    <xdr:colOff>0</xdr:colOff>
                    <xdr:row>51</xdr:row>
                    <xdr:rowOff>0</xdr:rowOff>
                  </to>
                </anchor>
              </controlPr>
            </control>
          </mc:Choice>
        </mc:AlternateContent>
        <mc:AlternateContent xmlns:mc="http://schemas.openxmlformats.org/markup-compatibility/2006">
          <mc:Choice Requires="x14">
            <control shapeId="2550660" r:id="rId19" name="Check Box 1924">
              <controlPr defaultSize="0" autoFill="0" autoLine="0" autoPict="0">
                <anchor moveWithCells="1" sizeWithCells="1">
                  <from>
                    <xdr:col>7</xdr:col>
                    <xdr:colOff>0</xdr:colOff>
                    <xdr:row>51</xdr:row>
                    <xdr:rowOff>28575</xdr:rowOff>
                  </from>
                  <to>
                    <xdr:col>18</xdr:col>
                    <xdr:colOff>104775</xdr:colOff>
                    <xdr:row>52</xdr:row>
                    <xdr:rowOff>66675</xdr:rowOff>
                  </to>
                </anchor>
              </controlPr>
            </control>
          </mc:Choice>
        </mc:AlternateContent>
        <mc:AlternateContent xmlns:mc="http://schemas.openxmlformats.org/markup-compatibility/2006">
          <mc:Choice Requires="x14">
            <control shapeId="2550661" r:id="rId20" name="Check Box 1925">
              <controlPr defaultSize="0" autoFill="0" autoLine="0" autoPict="0">
                <anchor moveWithCells="1" sizeWithCells="1">
                  <from>
                    <xdr:col>14</xdr:col>
                    <xdr:colOff>28575</xdr:colOff>
                    <xdr:row>42</xdr:row>
                    <xdr:rowOff>28575</xdr:rowOff>
                  </from>
                  <to>
                    <xdr:col>18</xdr:col>
                    <xdr:colOff>66675</xdr:colOff>
                    <xdr:row>43</xdr:row>
                    <xdr:rowOff>66675</xdr:rowOff>
                  </to>
                </anchor>
              </controlPr>
            </control>
          </mc:Choice>
        </mc:AlternateContent>
        <mc:AlternateContent xmlns:mc="http://schemas.openxmlformats.org/markup-compatibility/2006">
          <mc:Choice Requires="x14">
            <control shapeId="2550662" r:id="rId21" name="Check Box 1926">
              <controlPr defaultSize="0" autoFill="0" autoLine="0" autoPict="0">
                <anchor moveWithCells="1" sizeWithCells="1">
                  <from>
                    <xdr:col>14</xdr:col>
                    <xdr:colOff>28575</xdr:colOff>
                    <xdr:row>43</xdr:row>
                    <xdr:rowOff>85725</xdr:rowOff>
                  </from>
                  <to>
                    <xdr:col>27</xdr:col>
                    <xdr:colOff>28575</xdr:colOff>
                    <xdr:row>44</xdr:row>
                    <xdr:rowOff>114300</xdr:rowOff>
                  </to>
                </anchor>
              </controlPr>
            </control>
          </mc:Choice>
        </mc:AlternateContent>
        <mc:AlternateContent xmlns:mc="http://schemas.openxmlformats.org/markup-compatibility/2006">
          <mc:Choice Requires="x14">
            <control shapeId="2550663" r:id="rId22" name="Check Box 1927">
              <controlPr defaultSize="0" autoFill="0" autoLine="0" autoPict="0">
                <anchor moveWithCells="1" sizeWithCells="1">
                  <from>
                    <xdr:col>14</xdr:col>
                    <xdr:colOff>28575</xdr:colOff>
                    <xdr:row>44</xdr:row>
                    <xdr:rowOff>142875</xdr:rowOff>
                  </from>
                  <to>
                    <xdr:col>27</xdr:col>
                    <xdr:colOff>28575</xdr:colOff>
                    <xdr:row>45</xdr:row>
                    <xdr:rowOff>180975</xdr:rowOff>
                  </to>
                </anchor>
              </controlPr>
            </control>
          </mc:Choice>
        </mc:AlternateContent>
        <mc:AlternateContent xmlns:mc="http://schemas.openxmlformats.org/markup-compatibility/2006">
          <mc:Choice Requires="x14">
            <control shapeId="2550664" r:id="rId23" name="Check Box 1928">
              <controlPr defaultSize="0" autoFill="0" autoLine="0" autoPict="0">
                <anchor moveWithCells="1" sizeWithCells="1">
                  <from>
                    <xdr:col>14</xdr:col>
                    <xdr:colOff>28575</xdr:colOff>
                    <xdr:row>46</xdr:row>
                    <xdr:rowOff>9525</xdr:rowOff>
                  </from>
                  <to>
                    <xdr:col>27</xdr:col>
                    <xdr:colOff>28575</xdr:colOff>
                    <xdr:row>47</xdr:row>
                    <xdr:rowOff>38100</xdr:rowOff>
                  </to>
                </anchor>
              </controlPr>
            </control>
          </mc:Choice>
        </mc:AlternateContent>
        <mc:AlternateContent xmlns:mc="http://schemas.openxmlformats.org/markup-compatibility/2006">
          <mc:Choice Requires="x14">
            <control shapeId="2550665" r:id="rId24" name="Check Box 1929">
              <controlPr defaultSize="0" autoFill="0" autoLine="0" autoPict="0">
                <anchor moveWithCells="1" sizeWithCells="1">
                  <from>
                    <xdr:col>14</xdr:col>
                    <xdr:colOff>28575</xdr:colOff>
                    <xdr:row>47</xdr:row>
                    <xdr:rowOff>66675</xdr:rowOff>
                  </from>
                  <to>
                    <xdr:col>27</xdr:col>
                    <xdr:colOff>28575</xdr:colOff>
                    <xdr:row>48</xdr:row>
                    <xdr:rowOff>85725</xdr:rowOff>
                  </to>
                </anchor>
              </controlPr>
            </control>
          </mc:Choice>
        </mc:AlternateContent>
        <mc:AlternateContent xmlns:mc="http://schemas.openxmlformats.org/markup-compatibility/2006">
          <mc:Choice Requires="x14">
            <control shapeId="2550666" r:id="rId25" name="Check Box 1930">
              <controlPr defaultSize="0" autoFill="0" autoLine="0" autoPict="0">
                <anchor moveWithCells="1" sizeWithCells="1">
                  <from>
                    <xdr:col>14</xdr:col>
                    <xdr:colOff>28575</xdr:colOff>
                    <xdr:row>48</xdr:row>
                    <xdr:rowOff>123825</xdr:rowOff>
                  </from>
                  <to>
                    <xdr:col>27</xdr:col>
                    <xdr:colOff>28575</xdr:colOff>
                    <xdr:row>49</xdr:row>
                    <xdr:rowOff>152400</xdr:rowOff>
                  </to>
                </anchor>
              </controlPr>
            </control>
          </mc:Choice>
        </mc:AlternateContent>
        <mc:AlternateContent xmlns:mc="http://schemas.openxmlformats.org/markup-compatibility/2006">
          <mc:Choice Requires="x14">
            <control shapeId="2550667" r:id="rId26" name="Check Box 1931">
              <controlPr defaultSize="0" autoFill="0" autoLine="0" autoPict="0">
                <anchor moveWithCells="1" sizeWithCells="1">
                  <from>
                    <xdr:col>8</xdr:col>
                    <xdr:colOff>161925</xdr:colOff>
                    <xdr:row>26</xdr:row>
                    <xdr:rowOff>66675</xdr:rowOff>
                  </from>
                  <to>
                    <xdr:col>12</xdr:col>
                    <xdr:colOff>28575</xdr:colOff>
                    <xdr:row>28</xdr:row>
                    <xdr:rowOff>28575</xdr:rowOff>
                  </to>
                </anchor>
              </controlPr>
            </control>
          </mc:Choice>
        </mc:AlternateContent>
        <mc:AlternateContent xmlns:mc="http://schemas.openxmlformats.org/markup-compatibility/2006">
          <mc:Choice Requires="x14">
            <control shapeId="2550668" r:id="rId27" name="Check Box 1932">
              <controlPr defaultSize="0" autoFill="0" autoLine="0" autoPict="0">
                <anchor moveWithCells="1" sizeWithCells="1">
                  <from>
                    <xdr:col>12</xdr:col>
                    <xdr:colOff>85725</xdr:colOff>
                    <xdr:row>26</xdr:row>
                    <xdr:rowOff>47625</xdr:rowOff>
                  </from>
                  <to>
                    <xdr:col>16</xdr:col>
                    <xdr:colOff>142875</xdr:colOff>
                    <xdr:row>28</xdr:row>
                    <xdr:rowOff>28575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8">
    <tabColor rgb="FFC00000"/>
  </sheetPr>
  <dimension ref="A1:AX200"/>
  <sheetViews>
    <sheetView showGridLines="0" view="pageBreakPreview" zoomScaleNormal="100" zoomScaleSheetLayoutView="100" workbookViewId="0">
      <selection activeCell="D28" sqref="D28:G28"/>
    </sheetView>
  </sheetViews>
  <sheetFormatPr defaultColWidth="4.140625" defaultRowHeight="15"/>
  <cols>
    <col min="1" max="5" width="4.140625" style="520"/>
    <col min="6" max="6" width="6.5703125" style="520" bestFit="1" customWidth="1"/>
    <col min="7" max="9" width="4.140625" style="520"/>
    <col min="10" max="10" width="7.42578125" style="520" customWidth="1"/>
    <col min="11" max="11" width="5.42578125" style="520" customWidth="1"/>
    <col min="12" max="12" width="4.140625" style="520"/>
    <col min="13" max="13" width="4.7109375" style="520" bestFit="1" customWidth="1"/>
    <col min="14" max="16" width="4.140625" style="520"/>
    <col min="17" max="17" width="6.42578125" style="520" customWidth="1"/>
    <col min="18" max="18" width="7.42578125" style="520" customWidth="1"/>
    <col min="19" max="19" width="4.140625" style="520"/>
    <col min="20" max="20" width="4.7109375" style="520" bestFit="1" customWidth="1"/>
    <col min="21" max="16384" width="4.140625" style="520"/>
  </cols>
  <sheetData>
    <row r="1" spans="1:36" ht="54.95" customHeight="1" thickBot="1">
      <c r="B1" s="820"/>
      <c r="C1" s="820"/>
      <c r="D1" s="820"/>
      <c r="F1" s="2701" t="s">
        <v>941</v>
      </c>
      <c r="G1" s="2701"/>
      <c r="H1" s="2701"/>
      <c r="I1" s="2701"/>
      <c r="J1" s="2701"/>
      <c r="K1" s="2701"/>
      <c r="L1" s="2701"/>
      <c r="M1" s="2701"/>
      <c r="N1" s="2701"/>
      <c r="O1" s="2701"/>
      <c r="P1" s="2701"/>
      <c r="Q1" s="2701"/>
      <c r="R1" s="820"/>
      <c r="S1" s="820"/>
      <c r="T1" s="820"/>
      <c r="U1" s="820"/>
      <c r="V1" s="820"/>
      <c r="W1" s="820"/>
      <c r="X1" s="820"/>
      <c r="Y1" s="820"/>
      <c r="Z1" s="820"/>
      <c r="AA1" s="820"/>
      <c r="AB1" s="820"/>
      <c r="AC1" s="820"/>
      <c r="AD1" s="820"/>
      <c r="AE1" s="820"/>
      <c r="AF1" s="820"/>
      <c r="AG1" s="820"/>
      <c r="AH1" s="820"/>
      <c r="AI1" s="820"/>
      <c r="AJ1" s="820"/>
    </row>
    <row r="2" spans="1:36" ht="15.6" customHeight="1" thickBot="1">
      <c r="A2" s="822"/>
      <c r="B2" s="824"/>
      <c r="C2" s="824"/>
      <c r="D2" s="824"/>
      <c r="E2" s="824"/>
      <c r="F2" s="2688"/>
      <c r="G2" s="2688"/>
      <c r="H2" s="2688"/>
      <c r="I2" s="2688"/>
      <c r="J2" s="2688"/>
      <c r="K2" s="2688"/>
      <c r="L2" s="2689" t="s">
        <v>551</v>
      </c>
      <c r="M2" s="2689"/>
      <c r="N2" s="2689"/>
      <c r="O2" s="2690" t="str">
        <f>IF(ISBLANK('Design Details &amp; Summary'!S3)," ",'Design Details &amp; Summary'!S3)</f>
        <v xml:space="preserve"> </v>
      </c>
      <c r="P2" s="2690"/>
      <c r="Q2" s="2690"/>
      <c r="R2" s="2690"/>
      <c r="S2" s="1090"/>
      <c r="T2" s="2691" t="str">
        <f>'Drop-Down Lists'!A2</f>
        <v>v 05.01.2026</v>
      </c>
      <c r="U2" s="2691"/>
      <c r="V2" s="2691"/>
      <c r="W2" s="2691"/>
      <c r="X2" s="2692"/>
      <c r="Y2" s="821"/>
      <c r="Z2" s="821"/>
      <c r="AA2" s="821"/>
      <c r="AB2" s="821"/>
      <c r="AC2" s="821"/>
      <c r="AD2" s="821"/>
      <c r="AE2" s="821"/>
      <c r="AF2" s="821"/>
    </row>
    <row r="3" spans="1:36" ht="3.95" customHeight="1">
      <c r="A3" s="634"/>
      <c r="B3" s="1203"/>
      <c r="C3" s="1203"/>
      <c r="D3" s="635"/>
      <c r="E3" s="635"/>
      <c r="F3" s="635"/>
      <c r="G3" s="635"/>
      <c r="H3" s="635"/>
      <c r="I3" s="635"/>
      <c r="J3" s="636"/>
      <c r="K3" s="636"/>
      <c r="L3" s="636"/>
      <c r="M3" s="636"/>
      <c r="N3" s="636"/>
      <c r="O3" s="636"/>
      <c r="P3" s="636"/>
      <c r="Q3" s="637"/>
      <c r="R3" s="637"/>
      <c r="S3" s="637"/>
      <c r="T3" s="637"/>
      <c r="U3" s="637"/>
      <c r="V3" s="637"/>
      <c r="W3" s="637"/>
      <c r="X3" s="832"/>
      <c r="Y3" s="637"/>
      <c r="Z3" s="637"/>
      <c r="AA3" s="637"/>
      <c r="AB3" s="637"/>
    </row>
    <row r="4" spans="1:36" ht="28.35" customHeight="1">
      <c r="A4" s="2802" t="s">
        <v>548</v>
      </c>
      <c r="B4" s="2693"/>
      <c r="C4" s="2693"/>
      <c r="D4" s="2693"/>
      <c r="E4" s="2693"/>
      <c r="F4" s="2693"/>
      <c r="G4" s="2693"/>
      <c r="H4" s="2805" t="str">
        <f>IF(ISBLANK('Design Details &amp; Summary'!G3)," ",'Design Details &amp; Summary'!G3)</f>
        <v/>
      </c>
      <c r="I4" s="2805"/>
      <c r="J4" s="2805"/>
      <c r="K4" s="2805"/>
      <c r="L4" s="2805"/>
      <c r="M4" s="2805"/>
      <c r="N4" s="2805"/>
      <c r="O4" s="2805"/>
      <c r="P4" s="2805"/>
      <c r="Q4" s="2805"/>
      <c r="R4" s="2805"/>
      <c r="S4" s="2805"/>
      <c r="T4" s="2805"/>
      <c r="U4" s="2805"/>
      <c r="V4" s="2805"/>
      <c r="W4" s="2805"/>
      <c r="X4" s="531"/>
      <c r="Y4" s="1244"/>
      <c r="Z4" s="1244"/>
      <c r="AA4" s="1244"/>
      <c r="AB4" s="1244"/>
      <c r="AC4" s="1244"/>
      <c r="AD4" s="1244"/>
      <c r="AE4" s="1244"/>
      <c r="AF4" s="1244"/>
      <c r="AG4" s="1244"/>
      <c r="AH4" s="1244"/>
      <c r="AI4" s="1244"/>
      <c r="AJ4" s="1244"/>
    </row>
    <row r="5" spans="1:36" ht="3.95" customHeight="1" thickBot="1">
      <c r="A5" s="554"/>
      <c r="X5" s="526"/>
    </row>
    <row r="6" spans="1:36" ht="23.1" customHeight="1">
      <c r="A6" s="554"/>
      <c r="B6" s="826"/>
      <c r="C6" s="827"/>
      <c r="D6" s="827"/>
      <c r="E6" s="827"/>
      <c r="F6" s="827"/>
      <c r="G6" s="827"/>
      <c r="H6" s="827"/>
      <c r="I6" s="827"/>
      <c r="J6" s="827"/>
      <c r="K6" s="827"/>
      <c r="L6" s="827"/>
      <c r="M6" s="827"/>
      <c r="N6" s="827"/>
      <c r="O6" s="827"/>
      <c r="P6" s="827"/>
      <c r="Q6" s="827"/>
      <c r="R6" s="827"/>
      <c r="S6" s="827"/>
      <c r="T6" s="827"/>
      <c r="U6" s="827"/>
      <c r="V6" s="827"/>
      <c r="W6" s="828"/>
      <c r="X6" s="526"/>
    </row>
    <row r="7" spans="1:36" ht="23.1" customHeight="1">
      <c r="A7" s="554"/>
      <c r="B7" s="554"/>
      <c r="W7" s="526"/>
      <c r="X7" s="526"/>
    </row>
    <row r="8" spans="1:36" ht="23.1" customHeight="1">
      <c r="A8" s="554"/>
      <c r="B8" s="554"/>
      <c r="W8" s="526"/>
      <c r="X8" s="526"/>
    </row>
    <row r="9" spans="1:36" ht="23.1" customHeight="1">
      <c r="A9" s="554"/>
      <c r="B9" s="554"/>
      <c r="W9" s="526"/>
      <c r="X9" s="526"/>
    </row>
    <row r="10" spans="1:36" ht="23.1" customHeight="1">
      <c r="A10" s="554"/>
      <c r="B10" s="554"/>
      <c r="W10" s="526"/>
      <c r="X10" s="526"/>
    </row>
    <row r="11" spans="1:36" ht="23.1" customHeight="1">
      <c r="A11" s="554"/>
      <c r="B11" s="554"/>
      <c r="W11" s="526"/>
      <c r="X11" s="526"/>
    </row>
    <row r="12" spans="1:36" ht="23.1" customHeight="1">
      <c r="A12" s="554"/>
      <c r="B12" s="554"/>
      <c r="W12" s="526"/>
      <c r="X12" s="526"/>
    </row>
    <row r="13" spans="1:36" ht="23.1" customHeight="1">
      <c r="A13" s="554"/>
      <c r="B13" s="554"/>
      <c r="W13" s="526"/>
      <c r="X13" s="526"/>
    </row>
    <row r="14" spans="1:36" ht="38.1" customHeight="1">
      <c r="A14" s="554"/>
      <c r="B14" s="554"/>
      <c r="W14" s="526"/>
      <c r="X14" s="526"/>
    </row>
    <row r="15" spans="1:36" ht="38.1" customHeight="1">
      <c r="A15" s="554"/>
      <c r="B15" s="554"/>
      <c r="W15" s="526"/>
      <c r="X15" s="526"/>
    </row>
    <row r="16" spans="1:36" ht="38.1" customHeight="1">
      <c r="A16" s="554"/>
      <c r="B16" s="554"/>
      <c r="W16" s="526"/>
      <c r="X16" s="526"/>
    </row>
    <row r="17" spans="1:36" ht="38.1" customHeight="1">
      <c r="A17" s="554"/>
      <c r="B17" s="554"/>
      <c r="W17" s="526"/>
      <c r="X17" s="526"/>
    </row>
    <row r="18" spans="1:36" ht="38.1" customHeight="1">
      <c r="A18" s="554"/>
      <c r="B18" s="554"/>
      <c r="W18" s="526"/>
      <c r="X18" s="526"/>
    </row>
    <row r="19" spans="1:36" ht="23.1" customHeight="1">
      <c r="A19" s="554"/>
      <c r="B19" s="554"/>
      <c r="W19" s="526"/>
      <c r="X19" s="526"/>
    </row>
    <row r="20" spans="1:36" ht="23.1" customHeight="1">
      <c r="A20" s="554"/>
      <c r="B20" s="554"/>
      <c r="W20" s="526"/>
      <c r="X20" s="526"/>
    </row>
    <row r="21" spans="1:36" ht="23.1" customHeight="1">
      <c r="A21" s="554"/>
      <c r="B21" s="554"/>
      <c r="W21" s="526"/>
      <c r="X21" s="526"/>
    </row>
    <row r="22" spans="1:36" ht="23.1" customHeight="1">
      <c r="A22" s="554"/>
      <c r="B22" s="554"/>
      <c r="W22" s="526"/>
      <c r="X22" s="526"/>
    </row>
    <row r="23" spans="1:36" ht="23.1" customHeight="1">
      <c r="A23" s="554"/>
      <c r="B23" s="554"/>
      <c r="W23" s="526"/>
      <c r="X23" s="526"/>
    </row>
    <row r="24" spans="1:36" ht="23.1" customHeight="1">
      <c r="A24" s="554"/>
      <c r="B24" s="554"/>
      <c r="W24" s="526"/>
      <c r="X24" s="526"/>
    </row>
    <row r="25" spans="1:36" ht="23.1" customHeight="1">
      <c r="A25" s="554"/>
      <c r="B25" s="554"/>
      <c r="W25" s="526"/>
      <c r="X25" s="526"/>
    </row>
    <row r="26" spans="1:36" ht="23.1" customHeight="1" thickBot="1">
      <c r="A26" s="554"/>
      <c r="B26" s="829"/>
      <c r="C26" s="830"/>
      <c r="D26" s="830"/>
      <c r="E26" s="830"/>
      <c r="F26" s="830"/>
      <c r="G26" s="830"/>
      <c r="H26" s="830"/>
      <c r="I26" s="830"/>
      <c r="J26" s="830"/>
      <c r="K26" s="830"/>
      <c r="L26" s="830"/>
      <c r="M26" s="830"/>
      <c r="N26" s="830"/>
      <c r="O26" s="830"/>
      <c r="P26" s="830"/>
      <c r="Q26" s="830"/>
      <c r="R26" s="830"/>
      <c r="S26" s="830"/>
      <c r="T26" s="830"/>
      <c r="U26" s="830"/>
      <c r="V26" s="830"/>
      <c r="W26" s="831"/>
      <c r="X26" s="526"/>
    </row>
    <row r="27" spans="1:36" ht="6" customHeight="1">
      <c r="A27" s="554"/>
      <c r="X27" s="526"/>
    </row>
    <row r="28" spans="1:36" ht="18">
      <c r="A28" s="2679" t="s">
        <v>752</v>
      </c>
      <c r="B28" s="2656"/>
      <c r="C28" s="2656"/>
      <c r="D28" s="2680"/>
      <c r="E28" s="2681"/>
      <c r="F28" s="2681"/>
      <c r="G28" s="2682"/>
      <c r="S28" s="1873" t="s">
        <v>952</v>
      </c>
      <c r="T28" s="1873"/>
      <c r="U28" s="1681"/>
      <c r="X28" s="526"/>
    </row>
    <row r="29" spans="1:36" ht="18">
      <c r="A29" s="554"/>
      <c r="B29" s="1873" t="s">
        <v>753</v>
      </c>
      <c r="K29" s="1244"/>
      <c r="L29" s="1244"/>
      <c r="S29" s="1656">
        <v>1</v>
      </c>
      <c r="T29" s="1656"/>
      <c r="U29" s="1656">
        <v>2</v>
      </c>
      <c r="W29" s="1244"/>
      <c r="X29" s="1376"/>
      <c r="Y29" s="1244"/>
      <c r="Z29" s="1244"/>
      <c r="AA29" s="1244"/>
      <c r="AB29" s="1244"/>
      <c r="AC29" s="1244"/>
      <c r="AD29" s="1244"/>
      <c r="AE29" s="1244"/>
      <c r="AF29" s="1244"/>
      <c r="AG29" s="1244"/>
      <c r="AH29" s="1244"/>
      <c r="AI29" s="1244"/>
      <c r="AJ29" s="1244"/>
    </row>
    <row r="30" spans="1:36" ht="18.75">
      <c r="A30" s="554"/>
      <c r="B30" s="520" t="s">
        <v>953</v>
      </c>
      <c r="F30" s="2812"/>
      <c r="G30" s="2812"/>
      <c r="H30" s="520" t="s">
        <v>609</v>
      </c>
      <c r="I30" s="2846" t="s">
        <v>954</v>
      </c>
      <c r="J30" s="2846"/>
      <c r="K30" s="2846"/>
      <c r="L30" s="2846"/>
      <c r="M30" s="2835"/>
      <c r="N30" s="2835"/>
      <c r="O30" s="2835"/>
      <c r="P30" s="2835"/>
      <c r="Q30" s="2835"/>
      <c r="S30" s="551"/>
      <c r="T30" s="1879"/>
      <c r="U30" s="1880" t="s">
        <v>770</v>
      </c>
      <c r="W30" s="1244"/>
      <c r="X30" s="1376"/>
      <c r="Y30" s="1244"/>
      <c r="Z30" s="1244"/>
      <c r="AA30" s="1244"/>
      <c r="AB30" s="1244"/>
      <c r="AC30" s="1244"/>
      <c r="AD30" s="1244"/>
      <c r="AE30" s="1244"/>
      <c r="AF30" s="1244"/>
      <c r="AG30" s="1244"/>
      <c r="AH30" s="1244"/>
      <c r="AI30" s="1244"/>
      <c r="AJ30" s="1244"/>
    </row>
    <row r="31" spans="1:36" ht="18">
      <c r="A31" s="554"/>
      <c r="B31" s="520" t="s">
        <v>942</v>
      </c>
      <c r="J31" s="520" t="s">
        <v>758</v>
      </c>
      <c r="P31" s="1244"/>
      <c r="S31" s="1656">
        <v>3</v>
      </c>
      <c r="T31" s="1656"/>
      <c r="U31" s="1656" t="s">
        <v>773</v>
      </c>
      <c r="X31" s="1376"/>
      <c r="Y31" s="1244"/>
      <c r="Z31" s="1244"/>
      <c r="AA31" s="1244"/>
      <c r="AB31" s="1244"/>
      <c r="AC31" s="1244"/>
      <c r="AD31" s="1244"/>
      <c r="AE31" s="1244"/>
      <c r="AF31" s="1244"/>
      <c r="AG31" s="1244"/>
      <c r="AH31" s="1244"/>
      <c r="AI31" s="1244"/>
      <c r="AJ31" s="1244"/>
    </row>
    <row r="32" spans="1:36" ht="15.6" customHeight="1">
      <c r="A32" s="554"/>
      <c r="B32" s="1649" t="s">
        <v>760</v>
      </c>
      <c r="D32" s="2680"/>
      <c r="E32" s="2681"/>
      <c r="F32" s="2681"/>
      <c r="G32" s="2682"/>
      <c r="H32" s="520" t="s">
        <v>609</v>
      </c>
      <c r="J32" s="520" t="s">
        <v>946</v>
      </c>
      <c r="L32" s="2680"/>
      <c r="M32" s="2681"/>
      <c r="N32" s="2681"/>
      <c r="O32" s="2682"/>
      <c r="P32" s="520" t="s">
        <v>609</v>
      </c>
      <c r="Q32" s="520" t="s">
        <v>944</v>
      </c>
      <c r="U32" s="2812"/>
      <c r="V32" s="2812"/>
      <c r="W32" s="2812"/>
      <c r="X32" s="526" t="s">
        <v>609</v>
      </c>
      <c r="Y32" s="1244"/>
      <c r="Z32" s="1244"/>
      <c r="AA32" s="1244"/>
      <c r="AB32" s="1244"/>
      <c r="AC32" s="1244"/>
      <c r="AD32" s="1244"/>
      <c r="AE32" s="1244"/>
      <c r="AF32" s="1244"/>
      <c r="AG32" s="1244"/>
      <c r="AH32" s="1244"/>
      <c r="AI32" s="1244"/>
      <c r="AJ32" s="1244"/>
    </row>
    <row r="33" spans="1:36" ht="15.6" customHeight="1">
      <c r="A33" s="554"/>
      <c r="B33" s="1649" t="s">
        <v>763</v>
      </c>
      <c r="D33" s="2680"/>
      <c r="E33" s="2681"/>
      <c r="F33" s="2681"/>
      <c r="G33" s="2682"/>
      <c r="H33" s="520" t="s">
        <v>609</v>
      </c>
      <c r="J33" s="520" t="s">
        <v>948</v>
      </c>
      <c r="L33" s="2680"/>
      <c r="M33" s="2681"/>
      <c r="N33" s="2681"/>
      <c r="O33" s="2682"/>
      <c r="P33" s="520" t="s">
        <v>609</v>
      </c>
      <c r="Q33" s="520" t="s">
        <v>955</v>
      </c>
      <c r="X33" s="526"/>
    </row>
    <row r="34" spans="1:36" ht="15.6" customHeight="1">
      <c r="A34" s="554"/>
      <c r="B34" s="1649" t="s">
        <v>766</v>
      </c>
      <c r="D34" s="2680"/>
      <c r="E34" s="2681"/>
      <c r="F34" s="2681"/>
      <c r="G34" s="2682"/>
      <c r="H34" s="520" t="s">
        <v>609</v>
      </c>
      <c r="J34" s="520" t="s">
        <v>950</v>
      </c>
      <c r="L34" s="2680"/>
      <c r="M34" s="2681"/>
      <c r="N34" s="2681"/>
      <c r="O34" s="2682"/>
      <c r="P34" s="520" t="s">
        <v>609</v>
      </c>
      <c r="Q34" s="2813"/>
      <c r="R34" s="2813"/>
      <c r="S34" s="2813"/>
      <c r="U34" s="2807"/>
      <c r="V34" s="2808"/>
      <c r="W34" s="2809"/>
      <c r="X34" s="526" t="s">
        <v>609</v>
      </c>
    </row>
    <row r="35" spans="1:36" ht="15.6" customHeight="1">
      <c r="A35" s="834"/>
      <c r="B35" s="1649" t="s">
        <v>768</v>
      </c>
      <c r="D35" s="2680"/>
      <c r="E35" s="2681"/>
      <c r="F35" s="2681"/>
      <c r="G35" s="2682"/>
      <c r="H35" s="520" t="s">
        <v>609</v>
      </c>
      <c r="I35" s="551"/>
      <c r="J35" s="520" t="s">
        <v>956</v>
      </c>
      <c r="L35" s="2680"/>
      <c r="M35" s="2681"/>
      <c r="N35" s="2681"/>
      <c r="O35" s="2682"/>
      <c r="P35" s="520" t="s">
        <v>609</v>
      </c>
      <c r="Q35" s="2806"/>
      <c r="R35" s="2806"/>
      <c r="S35" s="2806"/>
      <c r="U35" s="2807"/>
      <c r="V35" s="2808"/>
      <c r="W35" s="2809"/>
      <c r="X35" s="526" t="s">
        <v>609</v>
      </c>
      <c r="Y35" s="551"/>
      <c r="Z35" s="551"/>
      <c r="AA35" s="551"/>
      <c r="AB35" s="551"/>
      <c r="AC35" s="551"/>
      <c r="AD35" s="551"/>
      <c r="AE35" s="551"/>
      <c r="AF35" s="551"/>
    </row>
    <row r="36" spans="1:36">
      <c r="A36" s="554"/>
      <c r="X36" s="526"/>
    </row>
    <row r="37" spans="1:36">
      <c r="A37" s="554"/>
      <c r="B37" s="520" t="s">
        <v>549</v>
      </c>
      <c r="F37" s="2676"/>
      <c r="G37" s="2677"/>
      <c r="H37" s="2677"/>
      <c r="I37" s="2678"/>
      <c r="X37" s="526"/>
    </row>
    <row r="38" spans="1:36" ht="15.75" thickBot="1">
      <c r="A38" s="829"/>
      <c r="B38" s="830"/>
      <c r="C38" s="830"/>
      <c r="D38" s="830"/>
      <c r="E38" s="830"/>
      <c r="F38" s="830"/>
      <c r="G38" s="830"/>
      <c r="H38" s="830"/>
      <c r="I38" s="830"/>
      <c r="J38" s="830"/>
      <c r="K38" s="830"/>
      <c r="L38" s="830"/>
      <c r="M38" s="830"/>
      <c r="N38" s="830"/>
      <c r="O38" s="830"/>
      <c r="P38" s="830"/>
      <c r="Q38" s="830"/>
      <c r="R38" s="830"/>
      <c r="S38" s="830"/>
      <c r="T38" s="830"/>
      <c r="U38" s="830"/>
      <c r="V38" s="830"/>
      <c r="W38" s="830"/>
      <c r="X38" s="831"/>
    </row>
    <row r="39" spans="1:36" ht="28.35" customHeight="1" thickBot="1">
      <c r="A39" s="2810" t="s">
        <v>548</v>
      </c>
      <c r="B39" s="2811"/>
      <c r="C39" s="2811"/>
      <c r="D39" s="2811"/>
      <c r="E39" s="2811"/>
      <c r="F39" s="2811"/>
      <c r="G39" s="2811"/>
      <c r="H39" s="2818" t="str">
        <f>H4</f>
        <v/>
      </c>
      <c r="I39" s="2818"/>
      <c r="J39" s="2818"/>
      <c r="K39" s="2818"/>
      <c r="L39" s="2818"/>
      <c r="M39" s="2818"/>
      <c r="N39" s="2818"/>
      <c r="O39" s="2818"/>
      <c r="P39" s="2818"/>
      <c r="Q39" s="2818"/>
      <c r="R39" s="2818"/>
      <c r="S39" s="2818"/>
      <c r="T39" s="2818"/>
      <c r="U39" s="2818"/>
      <c r="V39" s="2818"/>
      <c r="W39" s="2818"/>
      <c r="X39" s="1377"/>
      <c r="Y39" s="1244"/>
      <c r="Z39" s="1244"/>
      <c r="AA39" s="1244"/>
      <c r="AB39" s="1244"/>
      <c r="AC39" s="1244"/>
      <c r="AD39" s="1244"/>
      <c r="AE39" s="1244"/>
      <c r="AF39" s="1244"/>
      <c r="AG39" s="1244"/>
      <c r="AH39" s="1244"/>
      <c r="AI39" s="1244"/>
      <c r="AJ39" s="1244"/>
    </row>
    <row r="40" spans="1:36" ht="15.75" thickBot="1">
      <c r="A40" s="836" t="s">
        <v>854</v>
      </c>
      <c r="B40" s="837"/>
      <c r="C40" s="837"/>
      <c r="D40" s="837"/>
      <c r="E40" s="837"/>
      <c r="F40" s="837"/>
      <c r="G40" s="837"/>
      <c r="H40" s="837"/>
      <c r="I40" s="837"/>
      <c r="J40" s="837"/>
      <c r="K40" s="837"/>
      <c r="L40" s="837"/>
      <c r="M40" s="837"/>
      <c r="N40" s="837"/>
      <c r="O40" s="837"/>
      <c r="P40" s="837"/>
      <c r="Q40" s="837"/>
      <c r="R40" s="837"/>
      <c r="S40" s="837"/>
      <c r="T40" s="837"/>
      <c r="U40" s="837"/>
      <c r="V40" s="837"/>
      <c r="W40" s="837"/>
      <c r="X40" s="838"/>
      <c r="Y40" s="551"/>
      <c r="Z40" s="551"/>
      <c r="AA40" s="551"/>
      <c r="AB40" s="551"/>
      <c r="AC40" s="551"/>
      <c r="AD40" s="551"/>
      <c r="AE40" s="551"/>
      <c r="AF40" s="551"/>
    </row>
    <row r="41" spans="1:36">
      <c r="A41" s="834"/>
      <c r="B41" s="551"/>
      <c r="C41" s="551"/>
      <c r="D41" s="551"/>
      <c r="E41" s="551"/>
      <c r="F41" s="551"/>
      <c r="G41" s="551"/>
      <c r="H41" s="551"/>
      <c r="I41" s="551"/>
      <c r="J41" s="551"/>
      <c r="K41" s="551"/>
      <c r="L41" s="551"/>
      <c r="M41" s="551"/>
      <c r="N41" s="551"/>
      <c r="O41" s="551"/>
      <c r="P41" s="1375"/>
      <c r="Q41" s="1375"/>
      <c r="R41" s="1375"/>
      <c r="S41" s="551"/>
      <c r="T41" s="551"/>
      <c r="U41" s="551"/>
      <c r="V41" s="551"/>
      <c r="W41" s="551"/>
      <c r="X41" s="835"/>
      <c r="Y41" s="551"/>
      <c r="Z41" s="551"/>
      <c r="AA41" s="551"/>
      <c r="AB41" s="551"/>
      <c r="AC41" s="551"/>
      <c r="AD41" s="551"/>
      <c r="AE41" s="551"/>
      <c r="AF41" s="551"/>
    </row>
    <row r="42" spans="1:36">
      <c r="A42" s="834" t="s">
        <v>856</v>
      </c>
      <c r="B42" s="551"/>
      <c r="C42" s="551"/>
      <c r="D42" s="551"/>
      <c r="E42" s="551"/>
      <c r="F42" s="551"/>
      <c r="G42" s="551"/>
      <c r="H42" s="551" t="s">
        <v>857</v>
      </c>
      <c r="I42" s="551"/>
      <c r="J42" s="551"/>
      <c r="K42" s="551"/>
      <c r="L42" s="551"/>
      <c r="M42" s="551"/>
      <c r="N42" s="551"/>
      <c r="O42" s="551" t="s">
        <v>858</v>
      </c>
      <c r="P42" s="551"/>
      <c r="Q42" s="551"/>
      <c r="R42" s="551"/>
      <c r="S42" s="551"/>
      <c r="T42" s="551"/>
      <c r="U42" s="551"/>
      <c r="V42" s="551"/>
      <c r="W42" s="551"/>
      <c r="X42" s="835"/>
      <c r="Y42" s="551"/>
      <c r="Z42" s="551"/>
      <c r="AA42" s="551"/>
      <c r="AB42" s="551"/>
      <c r="AC42" s="551"/>
      <c r="AD42" s="551"/>
      <c r="AE42" s="551"/>
      <c r="AF42" s="551"/>
    </row>
    <row r="43" spans="1:36">
      <c r="A43" s="554"/>
      <c r="X43" s="526"/>
    </row>
    <row r="44" spans="1:36" ht="15" customHeight="1">
      <c r="A44" s="554"/>
      <c r="I44" s="551"/>
      <c r="J44" s="551"/>
      <c r="K44" s="551"/>
      <c r="X44" s="526"/>
    </row>
    <row r="45" spans="1:36" ht="15" customHeight="1">
      <c r="A45" s="554"/>
      <c r="X45" s="526"/>
    </row>
    <row r="46" spans="1:36" ht="15" customHeight="1">
      <c r="A46" s="554"/>
      <c r="X46" s="526"/>
    </row>
    <row r="47" spans="1:36" ht="15" customHeight="1">
      <c r="A47" s="554"/>
      <c r="J47" s="2644"/>
      <c r="K47" s="2644"/>
      <c r="L47" s="2644"/>
      <c r="M47" s="2644"/>
      <c r="N47" s="2644"/>
      <c r="X47" s="526"/>
    </row>
    <row r="48" spans="1:36" ht="15" customHeight="1">
      <c r="A48" s="554"/>
      <c r="J48" s="2645"/>
      <c r="K48" s="2645"/>
      <c r="L48" s="2645"/>
      <c r="M48" s="2645"/>
      <c r="N48" s="2645"/>
      <c r="X48" s="526"/>
    </row>
    <row r="49" spans="1:37" ht="15" customHeight="1">
      <c r="A49" s="554"/>
      <c r="J49" s="2646"/>
      <c r="K49" s="2646"/>
      <c r="L49" s="2646"/>
      <c r="M49" s="2646"/>
      <c r="N49" s="2646"/>
      <c r="X49" s="526"/>
    </row>
    <row r="50" spans="1:37" ht="15" customHeight="1">
      <c r="A50" s="554"/>
      <c r="X50" s="526"/>
    </row>
    <row r="51" spans="1:37" ht="15" customHeight="1">
      <c r="A51" s="554"/>
      <c r="H51" s="551" t="s">
        <v>862</v>
      </c>
      <c r="Q51" s="2644"/>
      <c r="R51" s="2644"/>
      <c r="S51" s="2644"/>
      <c r="T51" s="2644"/>
      <c r="U51" s="2644"/>
      <c r="V51" s="2644"/>
      <c r="X51" s="526"/>
    </row>
    <row r="52" spans="1:37" ht="17.25" customHeight="1">
      <c r="A52" s="554"/>
      <c r="Q52" s="2645"/>
      <c r="R52" s="2645"/>
      <c r="S52" s="2645"/>
      <c r="T52" s="2645"/>
      <c r="U52" s="2645"/>
      <c r="V52" s="2645"/>
      <c r="X52" s="526"/>
    </row>
    <row r="53" spans="1:37" ht="19.5" customHeight="1">
      <c r="A53" s="554"/>
      <c r="C53" s="2647"/>
      <c r="D53" s="2647"/>
      <c r="E53" s="2647"/>
      <c r="F53" s="2647"/>
      <c r="G53" s="2647"/>
      <c r="Q53" s="2645"/>
      <c r="R53" s="2645"/>
      <c r="S53" s="2645"/>
      <c r="T53" s="2645"/>
      <c r="U53" s="2645"/>
      <c r="V53" s="2645"/>
      <c r="X53" s="526"/>
    </row>
    <row r="54" spans="1:37">
      <c r="A54" s="554"/>
      <c r="C54" s="2647"/>
      <c r="D54" s="2647"/>
      <c r="E54" s="2647"/>
      <c r="F54" s="2647"/>
      <c r="G54" s="2647"/>
      <c r="X54" s="526"/>
    </row>
    <row r="55" spans="1:37" ht="15" customHeight="1">
      <c r="A55" s="554"/>
      <c r="X55" s="526"/>
    </row>
    <row r="56" spans="1:37" ht="15.75" thickBot="1">
      <c r="A56" s="554" t="s">
        <v>719</v>
      </c>
      <c r="X56" s="526"/>
    </row>
    <row r="57" spans="1:37" ht="215.25" customHeight="1" thickBot="1">
      <c r="A57" s="2815"/>
      <c r="B57" s="2816"/>
      <c r="C57" s="2816"/>
      <c r="D57" s="2816"/>
      <c r="E57" s="2816"/>
      <c r="F57" s="2816"/>
      <c r="G57" s="2816"/>
      <c r="H57" s="2816"/>
      <c r="I57" s="2816"/>
      <c r="J57" s="2816"/>
      <c r="K57" s="2816"/>
      <c r="L57" s="2816"/>
      <c r="M57" s="2816"/>
      <c r="N57" s="2816"/>
      <c r="O57" s="2816"/>
      <c r="P57" s="2816"/>
      <c r="Q57" s="2816"/>
      <c r="R57" s="2816"/>
      <c r="S57" s="2816"/>
      <c r="T57" s="2816"/>
      <c r="U57" s="2816"/>
      <c r="V57" s="2816"/>
      <c r="W57" s="2816"/>
      <c r="X57" s="2817"/>
    </row>
    <row r="59" spans="1:37" ht="15.75" thickBot="1"/>
    <row r="60" spans="1:37" ht="54.95" customHeight="1" thickBot="1">
      <c r="A60" s="1869"/>
      <c r="B60" s="1870"/>
      <c r="C60" s="1871"/>
      <c r="D60" s="1871"/>
      <c r="E60" s="1871"/>
      <c r="F60" s="1870"/>
      <c r="G60" s="2814" t="s">
        <v>957</v>
      </c>
      <c r="H60" s="2814"/>
      <c r="I60" s="2814"/>
      <c r="J60" s="2814"/>
      <c r="K60" s="2814"/>
      <c r="L60" s="2814"/>
      <c r="M60" s="2814"/>
      <c r="N60" s="2814"/>
      <c r="O60" s="2814"/>
      <c r="P60" s="2814"/>
      <c r="Q60" s="2814"/>
      <c r="R60" s="2814"/>
      <c r="S60" s="1871"/>
      <c r="T60" s="1871"/>
      <c r="U60" s="1871"/>
      <c r="V60" s="1871"/>
      <c r="W60" s="1871"/>
      <c r="X60" s="1871"/>
      <c r="Y60" s="1872"/>
      <c r="Z60" s="820"/>
      <c r="AA60" s="820"/>
      <c r="AB60" s="820"/>
      <c r="AC60" s="820"/>
      <c r="AD60" s="820"/>
      <c r="AE60" s="820"/>
      <c r="AF60" s="820"/>
      <c r="AG60" s="820"/>
      <c r="AH60" s="820"/>
      <c r="AI60" s="820"/>
      <c r="AJ60" s="820"/>
      <c r="AK60" s="820"/>
    </row>
    <row r="61" spans="1:37" ht="15.75" customHeight="1" thickBot="1">
      <c r="A61" s="822"/>
      <c r="B61" s="542"/>
      <c r="C61" s="824"/>
      <c r="D61" s="824"/>
      <c r="E61" s="824"/>
      <c r="F61" s="824"/>
      <c r="G61" s="2688"/>
      <c r="H61" s="2688"/>
      <c r="I61" s="2688"/>
      <c r="J61" s="2688"/>
      <c r="K61" s="2688"/>
      <c r="L61" s="2688"/>
      <c r="M61" s="2689" t="s">
        <v>551</v>
      </c>
      <c r="N61" s="2689"/>
      <c r="O61" s="2689"/>
      <c r="P61" s="2690" t="str">
        <f>IF(ISBLANK(Prelim!S5),"  ",Prelim!S5)</f>
        <v xml:space="preserve">  </v>
      </c>
      <c r="Q61" s="2690"/>
      <c r="R61" s="2690"/>
      <c r="S61" s="2690"/>
      <c r="T61" s="1090"/>
      <c r="U61" s="2691" t="str">
        <f>T2</f>
        <v>v 05.01.2026</v>
      </c>
      <c r="V61" s="2691"/>
      <c r="W61" s="2691"/>
      <c r="X61" s="2691"/>
      <c r="Y61" s="2692"/>
      <c r="Z61" s="821"/>
      <c r="AA61" s="821"/>
      <c r="AB61" s="821"/>
      <c r="AC61" s="821"/>
      <c r="AD61" s="821"/>
      <c r="AE61" s="821"/>
      <c r="AF61" s="821"/>
      <c r="AG61" s="821"/>
    </row>
    <row r="62" spans="1:37" ht="3.95" customHeight="1">
      <c r="A62" s="826"/>
      <c r="B62" s="662"/>
      <c r="C62" s="2175"/>
      <c r="D62" s="2175"/>
      <c r="E62" s="2176"/>
      <c r="F62" s="2176"/>
      <c r="G62" s="2176"/>
      <c r="H62" s="2176"/>
      <c r="I62" s="2176"/>
      <c r="J62" s="2176"/>
      <c r="K62" s="2177"/>
      <c r="L62" s="2177"/>
      <c r="M62" s="2177"/>
      <c r="N62" s="2177"/>
      <c r="O62" s="2177"/>
      <c r="P62" s="2177"/>
      <c r="Q62" s="2177"/>
      <c r="R62" s="2178"/>
      <c r="S62" s="2178"/>
      <c r="T62" s="2178"/>
      <c r="U62" s="2178"/>
      <c r="V62" s="2178"/>
      <c r="W62" s="2178"/>
      <c r="X62" s="2178"/>
      <c r="Y62" s="2179"/>
      <c r="Z62" s="637"/>
      <c r="AA62" s="637"/>
      <c r="AB62" s="637"/>
      <c r="AC62" s="637"/>
    </row>
    <row r="63" spans="1:37" ht="21" customHeight="1">
      <c r="A63" s="554"/>
      <c r="B63" s="529"/>
      <c r="C63" s="1203"/>
      <c r="D63" s="2475" t="s">
        <v>548</v>
      </c>
      <c r="E63" s="2475"/>
      <c r="F63" s="2475"/>
      <c r="G63" s="2475"/>
      <c r="H63" s="2476"/>
      <c r="I63" s="2472" t="str">
        <f>IF(ISBLANK(Prelim!G3),"  ", Prelim!G3)</f>
        <v xml:space="preserve">  </v>
      </c>
      <c r="J63" s="2473"/>
      <c r="K63" s="2473"/>
      <c r="L63" s="2473"/>
      <c r="M63" s="2473"/>
      <c r="N63" s="2473"/>
      <c r="O63" s="2473"/>
      <c r="P63" s="2473"/>
      <c r="Q63" s="2473"/>
      <c r="R63" s="2474"/>
      <c r="S63" s="637"/>
      <c r="T63" s="637"/>
      <c r="U63" s="637"/>
      <c r="V63" s="637"/>
      <c r="W63" s="637"/>
      <c r="X63" s="637"/>
      <c r="Y63" s="832"/>
      <c r="Z63" s="637"/>
      <c r="AA63" s="637"/>
      <c r="AB63" s="637"/>
      <c r="AC63" s="637"/>
    </row>
    <row r="64" spans="1:37" ht="6" customHeight="1">
      <c r="A64" s="554"/>
      <c r="B64" s="529"/>
      <c r="C64" s="1203"/>
      <c r="D64" s="1203"/>
      <c r="E64" s="635"/>
      <c r="F64" s="635"/>
      <c r="G64" s="635"/>
      <c r="H64" s="635"/>
      <c r="I64" s="635"/>
      <c r="J64" s="635"/>
      <c r="K64" s="636"/>
      <c r="L64" s="636"/>
      <c r="M64" s="636"/>
      <c r="N64" s="636"/>
      <c r="O64" s="636"/>
      <c r="P64" s="636"/>
      <c r="Q64" s="636"/>
      <c r="R64" s="637"/>
      <c r="S64" s="637"/>
      <c r="T64" s="637"/>
      <c r="U64" s="637"/>
      <c r="V64" s="637"/>
      <c r="W64" s="637"/>
      <c r="X64" s="637"/>
      <c r="Y64" s="832"/>
      <c r="Z64" s="637"/>
      <c r="AA64" s="637"/>
      <c r="AB64" s="637"/>
      <c r="AC64" s="637"/>
    </row>
    <row r="65" spans="1:37" ht="21" customHeight="1">
      <c r="A65" s="554"/>
      <c r="B65" s="2693" t="s">
        <v>750</v>
      </c>
      <c r="C65" s="2693"/>
      <c r="D65" s="2693"/>
      <c r="E65" s="2693"/>
      <c r="F65" s="2693"/>
      <c r="G65" s="2693"/>
      <c r="H65" s="2693"/>
      <c r="I65" s="2694" t="str">
        <f>IF(ISBLANK(Prelim!G5),"  ",Prelim!G5 )</f>
        <v xml:space="preserve">  </v>
      </c>
      <c r="J65" s="2694"/>
      <c r="K65" s="2694"/>
      <c r="L65" s="2694"/>
      <c r="M65" s="2694"/>
      <c r="N65" s="2694"/>
      <c r="O65" s="2694"/>
      <c r="P65" s="2694"/>
      <c r="Q65" s="2694"/>
      <c r="R65" s="2694"/>
      <c r="S65" s="2694"/>
      <c r="T65" s="2694"/>
      <c r="U65" s="2694"/>
      <c r="V65" s="2694"/>
      <c r="W65" s="2694"/>
      <c r="X65" s="2694"/>
      <c r="Y65" s="531"/>
      <c r="Z65" s="1244"/>
      <c r="AA65" s="1244"/>
      <c r="AB65" s="1244"/>
      <c r="AC65" s="1244"/>
      <c r="AD65" s="1244"/>
      <c r="AE65" s="1244"/>
      <c r="AF65" s="1244"/>
      <c r="AG65" s="1244"/>
      <c r="AH65" s="1244"/>
      <c r="AI65" s="1244"/>
      <c r="AJ65" s="1244"/>
      <c r="AK65" s="1244"/>
    </row>
    <row r="66" spans="1:37" ht="6" customHeight="1">
      <c r="A66" s="554"/>
      <c r="B66" s="1636"/>
      <c r="C66" s="1636"/>
      <c r="D66" s="1636"/>
      <c r="E66" s="1636"/>
      <c r="F66" s="1636"/>
      <c r="G66" s="1636"/>
      <c r="H66" s="1636"/>
      <c r="I66" s="1203"/>
      <c r="J66" s="1203"/>
      <c r="K66" s="1203"/>
      <c r="L66" s="1203"/>
      <c r="M66" s="1203"/>
      <c r="N66" s="1203"/>
      <c r="O66" s="1203"/>
      <c r="P66" s="1203"/>
      <c r="Q66" s="1203"/>
      <c r="R66" s="1203"/>
      <c r="S66" s="1203"/>
      <c r="T66" s="1203"/>
      <c r="U66" s="1203"/>
      <c r="V66" s="1203"/>
      <c r="W66" s="1203"/>
      <c r="X66" s="1203"/>
      <c r="Y66" s="531"/>
      <c r="Z66" s="1244"/>
      <c r="AA66" s="1244"/>
      <c r="AB66" s="1244"/>
      <c r="AC66" s="1244"/>
      <c r="AD66" s="1244"/>
      <c r="AE66" s="1244"/>
      <c r="AF66" s="1244"/>
      <c r="AG66" s="1244"/>
      <c r="AH66" s="1244"/>
      <c r="AI66" s="1244"/>
      <c r="AJ66" s="1244"/>
      <c r="AK66" s="1244"/>
    </row>
    <row r="67" spans="1:37" ht="15" customHeight="1">
      <c r="A67" s="554"/>
      <c r="C67" s="520" t="s">
        <v>549</v>
      </c>
      <c r="G67" s="2676"/>
      <c r="H67" s="2677"/>
      <c r="I67" s="2677"/>
      <c r="J67" s="2678"/>
      <c r="Y67" s="526"/>
    </row>
    <row r="68" spans="1:37" ht="23.25" hidden="1" customHeight="1">
      <c r="A68" s="554"/>
      <c r="C68" s="826"/>
      <c r="D68" s="827"/>
      <c r="E68" s="827"/>
      <c r="F68" s="827"/>
      <c r="G68" s="827"/>
      <c r="H68" s="827"/>
      <c r="I68" s="827"/>
      <c r="J68" s="827"/>
      <c r="K68" s="827"/>
      <c r="L68" s="827"/>
      <c r="M68" s="827"/>
      <c r="N68" s="827"/>
      <c r="O68" s="827"/>
      <c r="P68" s="827"/>
      <c r="Q68" s="827"/>
      <c r="R68" s="827"/>
      <c r="S68" s="827"/>
      <c r="T68" s="827"/>
      <c r="U68" s="827"/>
      <c r="V68" s="827"/>
      <c r="W68" s="827"/>
      <c r="X68" s="828"/>
      <c r="Y68" s="526"/>
    </row>
    <row r="69" spans="1:37" ht="23.25" hidden="1" customHeight="1">
      <c r="A69" s="554"/>
      <c r="C69" s="554"/>
      <c r="X69" s="526"/>
      <c r="Y69" s="526"/>
    </row>
    <row r="70" spans="1:37" ht="23.25" hidden="1" customHeight="1">
      <c r="A70" s="554"/>
      <c r="C70" s="554"/>
      <c r="X70" s="526"/>
      <c r="Y70" s="526"/>
    </row>
    <row r="71" spans="1:37" ht="23.25" hidden="1" customHeight="1">
      <c r="A71" s="554"/>
      <c r="C71" s="554"/>
      <c r="X71" s="526"/>
      <c r="Y71" s="526"/>
    </row>
    <row r="72" spans="1:37" ht="23.25" hidden="1" customHeight="1">
      <c r="A72" s="554"/>
      <c r="C72" s="554"/>
      <c r="X72" s="526"/>
      <c r="Y72" s="526"/>
    </row>
    <row r="73" spans="1:37" ht="23.25" hidden="1" customHeight="1">
      <c r="A73" s="554"/>
      <c r="C73" s="554"/>
      <c r="X73" s="526"/>
      <c r="Y73" s="526"/>
    </row>
    <row r="74" spans="1:37" ht="23.25" hidden="1" customHeight="1">
      <c r="A74" s="554"/>
      <c r="C74" s="554"/>
      <c r="X74" s="526"/>
      <c r="Y74" s="526"/>
    </row>
    <row r="75" spans="1:37" ht="23.25" hidden="1" customHeight="1">
      <c r="A75" s="554"/>
      <c r="C75" s="554"/>
      <c r="X75" s="526"/>
      <c r="Y75" s="526"/>
    </row>
    <row r="76" spans="1:37" ht="38.25" hidden="1" customHeight="1">
      <c r="A76" s="554"/>
      <c r="C76" s="554"/>
      <c r="X76" s="526"/>
      <c r="Y76" s="526"/>
    </row>
    <row r="77" spans="1:37" ht="38.25" hidden="1" customHeight="1">
      <c r="A77" s="554"/>
      <c r="C77" s="554"/>
      <c r="X77" s="526"/>
      <c r="Y77" s="526"/>
    </row>
    <row r="78" spans="1:37" ht="38.25" hidden="1" customHeight="1">
      <c r="A78" s="554"/>
      <c r="C78" s="554"/>
      <c r="X78" s="526"/>
      <c r="Y78" s="526"/>
    </row>
    <row r="79" spans="1:37" ht="38.25" hidden="1" customHeight="1">
      <c r="A79" s="554"/>
      <c r="C79" s="554"/>
      <c r="X79" s="526"/>
      <c r="Y79" s="526"/>
    </row>
    <row r="80" spans="1:37" ht="38.25" hidden="1" customHeight="1">
      <c r="A80" s="554"/>
      <c r="C80" s="554"/>
      <c r="X80" s="526"/>
      <c r="Y80" s="526"/>
    </row>
    <row r="81" spans="1:37" ht="23.25" hidden="1" customHeight="1">
      <c r="A81" s="554"/>
      <c r="C81" s="554"/>
      <c r="X81" s="526"/>
      <c r="Y81" s="526"/>
    </row>
    <row r="82" spans="1:37" ht="23.25" hidden="1" customHeight="1">
      <c r="A82" s="554"/>
      <c r="C82" s="554"/>
      <c r="X82" s="526"/>
      <c r="Y82" s="526"/>
    </row>
    <row r="83" spans="1:37" ht="23.25" hidden="1" customHeight="1">
      <c r="A83" s="554"/>
      <c r="C83" s="554"/>
      <c r="X83" s="526"/>
      <c r="Y83" s="526"/>
    </row>
    <row r="84" spans="1:37" ht="23.25" hidden="1" customHeight="1">
      <c r="A84" s="554"/>
      <c r="C84" s="554"/>
      <c r="X84" s="526"/>
      <c r="Y84" s="526"/>
    </row>
    <row r="85" spans="1:37" ht="23.25" hidden="1" customHeight="1">
      <c r="A85" s="554"/>
      <c r="C85" s="554"/>
      <c r="X85" s="526"/>
      <c r="Y85" s="526"/>
    </row>
    <row r="86" spans="1:37" ht="23.25" hidden="1" customHeight="1">
      <c r="A86" s="554"/>
      <c r="C86" s="554"/>
      <c r="X86" s="526"/>
      <c r="Y86" s="526"/>
    </row>
    <row r="87" spans="1:37" ht="23.25" hidden="1" customHeight="1">
      <c r="A87" s="554"/>
      <c r="C87" s="554"/>
      <c r="X87" s="526"/>
      <c r="Y87" s="526"/>
    </row>
    <row r="88" spans="1:37" ht="23.25" hidden="1" customHeight="1">
      <c r="A88" s="554"/>
      <c r="C88" s="829"/>
      <c r="D88" s="830"/>
      <c r="E88" s="830"/>
      <c r="F88" s="830"/>
      <c r="G88" s="830"/>
      <c r="H88" s="830"/>
      <c r="I88" s="830"/>
      <c r="J88" s="830"/>
      <c r="K88" s="830"/>
      <c r="L88" s="830"/>
      <c r="M88" s="830"/>
      <c r="N88" s="830"/>
      <c r="O88" s="830"/>
      <c r="P88" s="830"/>
      <c r="Q88" s="830"/>
      <c r="R88" s="830"/>
      <c r="S88" s="830"/>
      <c r="T88" s="830"/>
      <c r="U88" s="830"/>
      <c r="V88" s="830"/>
      <c r="W88" s="830"/>
      <c r="X88" s="831"/>
      <c r="Y88" s="526"/>
    </row>
    <row r="89" spans="1:37" ht="6" hidden="1" customHeight="1">
      <c r="A89" s="554"/>
      <c r="Y89" s="526"/>
    </row>
    <row r="90" spans="1:37" ht="13.5" hidden="1" customHeight="1">
      <c r="A90" s="554"/>
      <c r="B90" s="2679" t="s">
        <v>752</v>
      </c>
      <c r="C90" s="2656"/>
      <c r="D90" s="2656"/>
      <c r="E90" s="2680"/>
      <c r="F90" s="2681"/>
      <c r="G90" s="2681"/>
      <c r="H90" s="2682"/>
      <c r="Y90" s="526"/>
    </row>
    <row r="91" spans="1:37" ht="9" customHeight="1">
      <c r="A91" s="554"/>
      <c r="L91" s="1244"/>
      <c r="M91" s="1244"/>
      <c r="N91" s="1244"/>
      <c r="O91" s="1244"/>
      <c r="P91" s="1244"/>
      <c r="Q91" s="1244"/>
      <c r="R91" s="1244"/>
      <c r="S91" s="1244"/>
      <c r="T91" s="1244"/>
      <c r="U91" s="1244"/>
      <c r="V91" s="1244"/>
      <c r="W91" s="1244"/>
      <c r="X91" s="1244"/>
      <c r="Y91" s="1376"/>
      <c r="Z91" s="1244"/>
      <c r="AA91" s="1244"/>
      <c r="AB91" s="1244"/>
      <c r="AC91" s="1244"/>
      <c r="AD91" s="1244"/>
      <c r="AE91" s="1244"/>
      <c r="AF91" s="1244"/>
      <c r="AG91" s="1244"/>
      <c r="AH91" s="1244"/>
      <c r="AI91" s="1244"/>
      <c r="AJ91" s="1244"/>
      <c r="AK91" s="1244"/>
    </row>
    <row r="92" spans="1:37" ht="15.75">
      <c r="A92" s="554"/>
      <c r="C92" s="551" t="s">
        <v>753</v>
      </c>
      <c r="G92" s="2846" t="s">
        <v>754</v>
      </c>
      <c r="H92" s="2846"/>
      <c r="I92" s="2846"/>
      <c r="J92" s="2823" t="str">
        <f>IF(ISBLANK(Field!G49)," ",Field!G49)</f>
        <v xml:space="preserve"> </v>
      </c>
      <c r="K92" s="2823"/>
      <c r="L92" s="607" t="s">
        <v>609</v>
      </c>
      <c r="M92" s="1645"/>
      <c r="O92" s="1646" t="s">
        <v>755</v>
      </c>
      <c r="P92" s="2824" t="str">
        <f>IF(ISBLANK(Field!H51)," ",Field!H51)</f>
        <v xml:space="preserve"> </v>
      </c>
      <c r="Q92" s="2825"/>
      <c r="R92" s="2825"/>
      <c r="S92" s="2825"/>
      <c r="T92" s="2825"/>
      <c r="U92" s="2825"/>
      <c r="V92" s="2825"/>
      <c r="W92" s="2825"/>
      <c r="X92" s="2826"/>
      <c r="Y92" s="1376"/>
      <c r="Z92" s="1244"/>
      <c r="AA92" s="1244"/>
      <c r="AB92" s="1244"/>
      <c r="AC92" s="1244"/>
      <c r="AD92" s="1244"/>
      <c r="AE92" s="1244"/>
      <c r="AF92" s="1244"/>
      <c r="AG92" s="1244"/>
      <c r="AH92" s="1244"/>
      <c r="AI92" s="1244"/>
      <c r="AJ92" s="1244"/>
      <c r="AK92" s="1244"/>
    </row>
    <row r="93" spans="1:37" s="1244" customFormat="1" ht="8.4499999999999993" customHeight="1">
      <c r="A93" s="1647"/>
      <c r="Y93" s="1376"/>
    </row>
    <row r="94" spans="1:37" s="1244" customFormat="1" ht="15" customHeight="1">
      <c r="A94" s="1647"/>
      <c r="C94" s="551" t="s">
        <v>756</v>
      </c>
      <c r="K94" s="1244" t="s">
        <v>958</v>
      </c>
      <c r="Y94" s="1376"/>
    </row>
    <row r="95" spans="1:37" ht="17.25" customHeight="1">
      <c r="A95" s="554"/>
      <c r="C95" s="551" t="s">
        <v>757</v>
      </c>
      <c r="H95" s="2847" t="s">
        <v>959</v>
      </c>
      <c r="I95" s="2847"/>
      <c r="J95" s="2847"/>
      <c r="K95" s="2847"/>
      <c r="L95" s="2847"/>
      <c r="M95" s="2847"/>
      <c r="N95" s="551" t="s">
        <v>960</v>
      </c>
      <c r="O95" s="551"/>
      <c r="P95" s="551"/>
      <c r="Q95" s="551"/>
      <c r="S95" s="2654" t="s">
        <v>961</v>
      </c>
      <c r="T95" s="2654"/>
      <c r="U95" s="2654"/>
      <c r="V95" s="2654"/>
      <c r="W95" s="2654"/>
      <c r="X95" s="551"/>
      <c r="Y95" s="526"/>
      <c r="Z95" s="1244"/>
      <c r="AA95" s="1648" t="s">
        <v>962</v>
      </c>
      <c r="AC95" s="1244"/>
      <c r="AD95" s="1244"/>
      <c r="AE95" s="1244"/>
      <c r="AF95" s="1244"/>
      <c r="AG95" s="1244"/>
      <c r="AH95" s="1244"/>
      <c r="AI95" s="1244"/>
      <c r="AJ95" s="1244"/>
      <c r="AK95" s="1244"/>
    </row>
    <row r="96" spans="1:37" ht="15.75" customHeight="1">
      <c r="A96" s="554"/>
      <c r="B96" s="2667" t="s">
        <v>760</v>
      </c>
      <c r="C96" s="2667"/>
      <c r="D96" s="2830"/>
      <c r="E96" s="2827" t="str">
        <f>IF(ISBLANK(D32)," ",D32)</f>
        <v xml:space="preserve"> </v>
      </c>
      <c r="F96" s="2827"/>
      <c r="G96" s="1649" t="s">
        <v>609</v>
      </c>
      <c r="H96" s="1096"/>
      <c r="I96" s="1649" t="s">
        <v>761</v>
      </c>
      <c r="J96" s="2827" t="str">
        <f>IF(ISBLANK('Soil Log (1)'!M5)," ",'Soil Log (1)'!M5)</f>
        <v xml:space="preserve"> </v>
      </c>
      <c r="K96" s="2827"/>
      <c r="L96" s="1649" t="s">
        <v>609</v>
      </c>
      <c r="O96" s="2309" t="str">
        <f>IF(ISBLANK('Soil Log (1)'!M64)," ",(J96-T96)*12)</f>
        <v xml:space="preserve"> </v>
      </c>
      <c r="P96" s="520" t="s">
        <v>762</v>
      </c>
      <c r="T96" s="2827" t="str">
        <f>IF(ISBLANK('Soil Log (1)'!M6)," ",'Soil Log (1)'!M6)</f>
        <v xml:space="preserve"> </v>
      </c>
      <c r="U96" s="2827"/>
      <c r="V96" s="1649" t="s">
        <v>609</v>
      </c>
      <c r="Y96" s="526"/>
      <c r="Z96" s="1244"/>
      <c r="AA96" s="1244"/>
      <c r="AB96" s="1653"/>
      <c r="AJ96" s="1244"/>
      <c r="AK96" s="1244"/>
    </row>
    <row r="97" spans="1:28" ht="15.75" customHeight="1">
      <c r="A97" s="554"/>
      <c r="B97" s="2667" t="s">
        <v>763</v>
      </c>
      <c r="C97" s="2667"/>
      <c r="D97" s="2830"/>
      <c r="E97" s="2827" t="str">
        <f>IF(ISBLANK(D33)," ",D33)</f>
        <v xml:space="preserve"> </v>
      </c>
      <c r="F97" s="2827"/>
      <c r="G97" s="1649" t="s">
        <v>609</v>
      </c>
      <c r="H97" s="1096"/>
      <c r="I97" s="1649" t="s">
        <v>764</v>
      </c>
      <c r="J97" s="2827" t="e">
        <f>IF(ISBLANK(#REF!)," ",#REF!)</f>
        <v>#REF!</v>
      </c>
      <c r="K97" s="2827"/>
      <c r="L97" s="1649" t="s">
        <v>609</v>
      </c>
      <c r="O97" s="2309" t="e">
        <f>IF(ISBLANK(#REF!)," ",(J97-T97)*12)</f>
        <v>#REF!</v>
      </c>
      <c r="P97" s="520" t="s">
        <v>762</v>
      </c>
      <c r="T97" s="2827" t="e">
        <f>IF(ISBLANK(#REF!)," ",#REF!)</f>
        <v>#REF!</v>
      </c>
      <c r="U97" s="2827"/>
      <c r="V97" s="1649" t="s">
        <v>609</v>
      </c>
      <c r="Y97" s="526"/>
      <c r="AB97" s="1655"/>
    </row>
    <row r="98" spans="1:28" ht="15.75" customHeight="1">
      <c r="A98" s="554"/>
      <c r="B98" s="2667" t="s">
        <v>766</v>
      </c>
      <c r="C98" s="2667"/>
      <c r="D98" s="2830"/>
      <c r="E98" s="2827" t="str">
        <f>IF(ISBLANK(D34)," ",D34)</f>
        <v xml:space="preserve"> </v>
      </c>
      <c r="F98" s="2827"/>
      <c r="G98" s="1649" t="s">
        <v>609</v>
      </c>
      <c r="H98" s="1096"/>
      <c r="I98" s="1649" t="s">
        <v>767</v>
      </c>
      <c r="J98" s="2827" t="e">
        <f>IF(ISBLANK(#REF!)," ",#REF!)</f>
        <v>#REF!</v>
      </c>
      <c r="K98" s="2827"/>
      <c r="L98" s="1649" t="s">
        <v>609</v>
      </c>
      <c r="O98" s="2309" t="e">
        <f>IF(ISBLANK(#REF!)," ",(J98-T98)*12)</f>
        <v>#REF!</v>
      </c>
      <c r="P98" s="520" t="s">
        <v>762</v>
      </c>
      <c r="T98" s="2827" t="e">
        <f>IF(ISBLANK(#REF!)," ",#REF!)</f>
        <v>#REF!</v>
      </c>
      <c r="U98" s="2827"/>
      <c r="V98" s="1649" t="s">
        <v>609</v>
      </c>
      <c r="Y98" s="526"/>
      <c r="AB98" s="1653"/>
    </row>
    <row r="99" spans="1:28" ht="15.75" customHeight="1">
      <c r="A99" s="554"/>
      <c r="B99" s="2667" t="s">
        <v>768</v>
      </c>
      <c r="C99" s="2667"/>
      <c r="D99" s="2830"/>
      <c r="E99" s="2827" t="str">
        <f>IF(ISBLANK(D35)," ",D35)</f>
        <v xml:space="preserve"> </v>
      </c>
      <c r="F99" s="2827"/>
      <c r="G99" s="1649" t="s">
        <v>609</v>
      </c>
      <c r="H99" s="1096"/>
      <c r="I99" s="1649" t="s">
        <v>769</v>
      </c>
      <c r="J99" s="2827" t="e">
        <f>IF(ISBLANK(#REF!)," ",#REF!)</f>
        <v>#REF!</v>
      </c>
      <c r="K99" s="2827"/>
      <c r="L99" s="1649" t="s">
        <v>609</v>
      </c>
      <c r="O99" s="2309" t="e">
        <f>IF(ISBLANK(#REF!)," ",(J99-T99)*12)</f>
        <v>#REF!</v>
      </c>
      <c r="P99" s="520" t="s">
        <v>762</v>
      </c>
      <c r="T99" s="2827" t="e">
        <f>IF(ISBLANK(#REF!)," ",#REF!)</f>
        <v>#REF!</v>
      </c>
      <c r="U99" s="2827"/>
      <c r="V99" s="1649" t="s">
        <v>609</v>
      </c>
      <c r="Y99" s="526"/>
      <c r="Z99" s="551"/>
      <c r="AA99" s="551"/>
    </row>
    <row r="100" spans="1:28" ht="14.45" customHeight="1">
      <c r="A100" s="554"/>
      <c r="B100" s="2667" t="s">
        <v>771</v>
      </c>
      <c r="C100" s="2667"/>
      <c r="D100" s="2830"/>
      <c r="E100" s="2827" t="str">
        <f>IF(ISBLANK(Field!E17)," ",Field!E17)</f>
        <v xml:space="preserve"> </v>
      </c>
      <c r="F100" s="2827"/>
      <c r="G100" s="520" t="s">
        <v>624</v>
      </c>
      <c r="H100" s="1096"/>
      <c r="I100" s="1649" t="s">
        <v>772</v>
      </c>
      <c r="J100" s="2827" t="e">
        <f>IF(ISBLANK(#REF!)," ",#REF!)</f>
        <v>#REF!</v>
      </c>
      <c r="K100" s="2827"/>
      <c r="L100" s="1649" t="s">
        <v>609</v>
      </c>
      <c r="O100" s="2309" t="e">
        <f>IF(ISBLANK(#REF!)," ",(J100-T100)*12)</f>
        <v>#REF!</v>
      </c>
      <c r="P100" s="520" t="s">
        <v>762</v>
      </c>
      <c r="T100" s="2827" t="e">
        <f>IF(ISBLANK(#REF!)," ",#REF!)</f>
        <v>#REF!</v>
      </c>
      <c r="U100" s="2827"/>
      <c r="V100" s="1649" t="s">
        <v>609</v>
      </c>
      <c r="Y100" s="526"/>
    </row>
    <row r="101" spans="1:28" ht="14.45" customHeight="1">
      <c r="A101" s="554"/>
      <c r="C101" s="1649"/>
      <c r="D101" s="1649"/>
      <c r="E101" s="2829"/>
      <c r="F101" s="2829"/>
      <c r="G101" s="1649"/>
      <c r="H101" s="1096"/>
      <c r="I101" s="1649" t="s">
        <v>774</v>
      </c>
      <c r="J101" s="2827" t="e">
        <f>IF(ISBLANK(#REF!)," ",#REF!)</f>
        <v>#REF!</v>
      </c>
      <c r="K101" s="2827"/>
      <c r="L101" s="1649" t="s">
        <v>609</v>
      </c>
      <c r="O101" s="2309" t="e">
        <f>IF(ISBLANK(#REF!)," ",(J101-T101)*12)</f>
        <v>#REF!</v>
      </c>
      <c r="P101" s="520" t="s">
        <v>762</v>
      </c>
      <c r="T101" s="2827" t="e">
        <f>IF(ISBLANK(#REF!)," ",#REF!)</f>
        <v>#REF!</v>
      </c>
      <c r="U101" s="2827"/>
      <c r="V101" s="1649" t="s">
        <v>609</v>
      </c>
      <c r="Y101" s="526"/>
    </row>
    <row r="102" spans="1:28" ht="14.45" customHeight="1">
      <c r="A102" s="554"/>
      <c r="G102" s="1649"/>
      <c r="I102" s="1649" t="s">
        <v>776</v>
      </c>
      <c r="J102" s="2827" t="e">
        <f>IF(ISBLANK(#REF!)," ",#REF!)</f>
        <v>#REF!</v>
      </c>
      <c r="K102" s="2827"/>
      <c r="L102" s="1649" t="s">
        <v>609</v>
      </c>
      <c r="O102" s="2309" t="e">
        <f>IF(ISBLANK(#REF!)," ",(J102-T102)*12)</f>
        <v>#REF!</v>
      </c>
      <c r="P102" s="520" t="s">
        <v>762</v>
      </c>
      <c r="T102" s="2827" t="e">
        <f>IF(ISBLANK(#REF!)," ",#REF!)</f>
        <v>#REF!</v>
      </c>
      <c r="U102" s="2827"/>
      <c r="V102" s="1649" t="s">
        <v>609</v>
      </c>
      <c r="Y102" s="526"/>
    </row>
    <row r="103" spans="1:28" ht="14.45" customHeight="1">
      <c r="A103" s="554"/>
      <c r="C103" s="1649"/>
      <c r="D103" s="1649"/>
      <c r="E103" s="1649"/>
      <c r="F103" s="1649"/>
      <c r="G103" s="1649"/>
      <c r="H103" s="1649"/>
      <c r="I103" s="1649"/>
      <c r="J103" s="1649"/>
      <c r="K103" s="1649"/>
      <c r="L103" s="1649"/>
      <c r="M103" s="1649"/>
      <c r="N103" s="1649"/>
      <c r="O103" s="1649"/>
      <c r="P103" s="1649"/>
      <c r="Q103" s="1649"/>
      <c r="Y103" s="526"/>
    </row>
    <row r="104" spans="1:28" ht="14.45" customHeight="1">
      <c r="A104" s="554"/>
      <c r="C104" s="551" t="s">
        <v>230</v>
      </c>
      <c r="D104" s="551"/>
      <c r="K104" s="551" t="s">
        <v>777</v>
      </c>
      <c r="L104" s="1649"/>
      <c r="M104" s="1649"/>
      <c r="N104" s="1649"/>
      <c r="O104" s="1649"/>
      <c r="P104" s="1649"/>
      <c r="Q104" s="1649"/>
      <c r="V104" s="2828" t="s">
        <v>765</v>
      </c>
      <c r="W104" s="2828"/>
      <c r="X104" s="1681"/>
      <c r="Y104" s="526"/>
    </row>
    <row r="105" spans="1:28" ht="15" customHeight="1">
      <c r="A105" s="554"/>
      <c r="B105" s="2819" t="s">
        <v>778</v>
      </c>
      <c r="C105" s="2819"/>
      <c r="D105" s="2819"/>
      <c r="E105" s="2819"/>
      <c r="F105" s="2819"/>
      <c r="G105" s="2820"/>
      <c r="H105" s="2831" t="str">
        <f>IF('Design Details &amp; Summary'!AA77=4,('Design Details &amp; Summary'!M94)+'Design Details &amp; Summary'!K94," ")</f>
        <v xml:space="preserve"> </v>
      </c>
      <c r="I105" s="2832"/>
      <c r="J105" s="1649" t="s">
        <v>609</v>
      </c>
      <c r="K105" s="1663" t="s">
        <v>779</v>
      </c>
      <c r="L105" s="1663"/>
      <c r="O105" s="1663" t="s">
        <v>780</v>
      </c>
      <c r="P105" s="1649"/>
      <c r="Q105" s="1664"/>
      <c r="V105" s="1656">
        <v>1</v>
      </c>
      <c r="W105" s="1656"/>
      <c r="X105" s="1656">
        <v>2</v>
      </c>
      <c r="Y105" s="526"/>
      <c r="AA105" s="1655" t="s">
        <v>963</v>
      </c>
    </row>
    <row r="106" spans="1:28" ht="15" customHeight="1">
      <c r="A106" s="554"/>
      <c r="B106" s="2819" t="s">
        <v>964</v>
      </c>
      <c r="C106" s="2819"/>
      <c r="D106" s="2819"/>
      <c r="E106" s="2820"/>
      <c r="F106" s="1882" t="str">
        <f>IF('Design Details &amp; Summary'!AA77=4,('Design Details &amp; Summary'!L133*12)," ")</f>
        <v xml:space="preserve"> </v>
      </c>
      <c r="G106" s="1645" t="s">
        <v>782</v>
      </c>
      <c r="H106" s="2821" t="str">
        <f>IF('Design Details &amp; Summary'!AA77=4,('Design Details &amp; Summary'!#REF!)," ")</f>
        <v xml:space="preserve"> </v>
      </c>
      <c r="I106" s="2822"/>
      <c r="J106" s="1649" t="s">
        <v>609</v>
      </c>
      <c r="K106" s="2823" t="str">
        <f>IF('Design Details &amp; Summary'!AA77=4,('Design Details &amp; Summary'!S131)," ")</f>
        <v xml:space="preserve"> </v>
      </c>
      <c r="L106" s="2823"/>
      <c r="M106" s="1645" t="s">
        <v>965</v>
      </c>
      <c r="N106" s="2823" t="str">
        <f>IF('Design Details &amp; Summary'!AA77=4,('Design Details &amp; Summary'!L131)," ")</f>
        <v xml:space="preserve"> </v>
      </c>
      <c r="O106" s="2823"/>
      <c r="P106" s="1664" t="s">
        <v>784</v>
      </c>
      <c r="Q106" s="1454"/>
      <c r="V106" s="551"/>
      <c r="W106" s="1879"/>
      <c r="X106" s="1880" t="s">
        <v>770</v>
      </c>
      <c r="Y106" s="526"/>
      <c r="AA106" s="520" t="s">
        <v>966</v>
      </c>
    </row>
    <row r="107" spans="1:28" ht="15" customHeight="1">
      <c r="A107" s="554"/>
      <c r="B107" s="1645" t="s">
        <v>967</v>
      </c>
      <c r="C107" s="1645"/>
      <c r="D107" s="1645"/>
      <c r="E107" s="2180"/>
      <c r="F107" s="2180"/>
      <c r="G107" s="1645"/>
      <c r="H107" s="2821" t="str">
        <f>IF('Design Details &amp; Summary'!AA77=4,'Design Details &amp; Summary'!K98," ")</f>
        <v xml:space="preserve"> </v>
      </c>
      <c r="I107" s="2822"/>
      <c r="J107" s="1649" t="s">
        <v>609</v>
      </c>
      <c r="K107" s="2823" t="str">
        <f>IF('Design Details &amp; Summary'!AA77=4,('Design Details &amp; Summary'!F133)," ")</f>
        <v xml:space="preserve"> </v>
      </c>
      <c r="L107" s="2823"/>
      <c r="M107" s="1645" t="s">
        <v>965</v>
      </c>
      <c r="N107" s="2823" t="str">
        <f>IF('Design Details &amp; Summary'!AA77=4,('Design Details &amp; Summary'!L131)," ")</f>
        <v xml:space="preserve"> </v>
      </c>
      <c r="O107" s="2823"/>
      <c r="P107" s="1649" t="s">
        <v>786</v>
      </c>
      <c r="Q107" s="1454"/>
      <c r="V107" s="1656">
        <v>3</v>
      </c>
      <c r="W107" s="1656"/>
      <c r="X107" s="1656" t="s">
        <v>773</v>
      </c>
      <c r="Y107" s="526"/>
    </row>
    <row r="108" spans="1:28" ht="15" customHeight="1">
      <c r="A108" s="554"/>
      <c r="B108" s="2819" t="s">
        <v>788</v>
      </c>
      <c r="C108" s="2819"/>
      <c r="D108" s="2819"/>
      <c r="E108" s="2819"/>
      <c r="F108" s="2819"/>
      <c r="G108" s="2820"/>
      <c r="H108" s="2821" t="str">
        <f>IF('Design Details &amp; Summary'!AA77=4,(H106+0.5)," ")</f>
        <v xml:space="preserve"> </v>
      </c>
      <c r="I108" s="2822"/>
      <c r="J108" s="1649" t="s">
        <v>609</v>
      </c>
      <c r="K108" s="2823" t="str">
        <f>IF('Design Details &amp; Summary'!AA77=4,('Design Details &amp; Summary'!L137)," ")</f>
        <v xml:space="preserve"> </v>
      </c>
      <c r="L108" s="2823"/>
      <c r="M108" s="1645" t="s">
        <v>965</v>
      </c>
      <c r="N108" s="2823" t="str">
        <f>IF('Design Details &amp; Summary'!AA77=4,('Design Details &amp; Summary'!F137)," ")</f>
        <v xml:space="preserve"> </v>
      </c>
      <c r="O108" s="2823"/>
      <c r="P108" s="1649" t="s">
        <v>789</v>
      </c>
      <c r="R108" s="1649"/>
      <c r="S108" s="1649"/>
      <c r="T108" s="1649"/>
      <c r="U108" s="2675" t="s">
        <v>775</v>
      </c>
      <c r="V108" s="2675"/>
      <c r="W108" s="2675"/>
      <c r="X108" s="2675"/>
      <c r="Y108" s="526"/>
    </row>
    <row r="109" spans="1:28" ht="15" customHeight="1">
      <c r="A109" s="554"/>
      <c r="B109" s="2819" t="s">
        <v>968</v>
      </c>
      <c r="C109" s="2819"/>
      <c r="D109" s="2819"/>
      <c r="E109" s="2819"/>
      <c r="F109" s="2819"/>
      <c r="G109" s="2820"/>
      <c r="H109" s="2821" t="str">
        <f>IF('Design Details &amp; Summary'!AA77=4,(H108+0.3)," ")</f>
        <v xml:space="preserve"> </v>
      </c>
      <c r="I109" s="2822"/>
      <c r="J109" s="1649" t="s">
        <v>609</v>
      </c>
      <c r="U109" s="2675"/>
      <c r="V109" s="2675"/>
      <c r="W109" s="2675"/>
      <c r="X109" s="2675"/>
      <c r="Y109" s="526"/>
    </row>
    <row r="110" spans="1:28" s="1244" customFormat="1" ht="15" customHeight="1">
      <c r="A110" s="1647"/>
      <c r="B110" s="2819" t="s">
        <v>969</v>
      </c>
      <c r="C110" s="2819"/>
      <c r="D110" s="2819"/>
      <c r="E110" s="2819"/>
      <c r="F110" s="2819"/>
      <c r="G110" s="2820"/>
      <c r="H110" s="2821" t="str">
        <f>IF('Design Details &amp; Summary'!AA77=4,(H109+1)," ")</f>
        <v xml:space="preserve"> </v>
      </c>
      <c r="I110" s="2822"/>
      <c r="J110" s="1649" t="s">
        <v>609</v>
      </c>
      <c r="K110" s="520"/>
      <c r="L110" s="520"/>
      <c r="M110" s="520"/>
      <c r="N110" s="520"/>
      <c r="O110" s="520"/>
      <c r="R110" s="520"/>
      <c r="S110" s="520"/>
      <c r="T110" s="520"/>
      <c r="U110" s="1649"/>
      <c r="V110" s="1649"/>
      <c r="W110" s="520"/>
      <c r="X110" s="520"/>
      <c r="Y110" s="526"/>
    </row>
    <row r="111" spans="1:28" s="1244" customFormat="1" ht="6" customHeight="1">
      <c r="A111" s="1647"/>
      <c r="C111" s="1649"/>
      <c r="D111" s="1649"/>
      <c r="E111" s="1649"/>
      <c r="F111" s="1649"/>
      <c r="G111" s="1649"/>
      <c r="H111" s="1672"/>
      <c r="I111" s="1672"/>
      <c r="J111" s="1649"/>
      <c r="K111" s="520"/>
      <c r="L111" s="520"/>
      <c r="M111" s="520"/>
      <c r="N111" s="520"/>
      <c r="O111" s="520"/>
      <c r="R111" s="520"/>
      <c r="S111" s="520"/>
      <c r="T111" s="520"/>
      <c r="U111" s="1649"/>
      <c r="V111" s="1649"/>
      <c r="W111" s="520"/>
      <c r="X111" s="520"/>
      <c r="Y111" s="526"/>
    </row>
    <row r="112" spans="1:28" s="1244" customFormat="1" ht="15" customHeight="1">
      <c r="A112" s="1647"/>
      <c r="C112" s="551" t="s">
        <v>792</v>
      </c>
      <c r="D112" s="1649"/>
      <c r="E112" s="1649"/>
      <c r="F112" s="1649"/>
      <c r="G112" s="1649"/>
      <c r="H112" s="1672"/>
      <c r="I112" s="1672"/>
      <c r="J112" s="1649"/>
      <c r="K112" s="551" t="s">
        <v>793</v>
      </c>
      <c r="L112" s="520"/>
      <c r="M112" s="520"/>
      <c r="N112" s="520"/>
      <c r="O112" s="520"/>
      <c r="R112" s="520"/>
      <c r="S112" s="520"/>
      <c r="T112" s="520"/>
      <c r="Y112" s="1376"/>
    </row>
    <row r="113" spans="1:27" s="1244" customFormat="1" ht="15" customHeight="1">
      <c r="A113" s="1647"/>
      <c r="B113" s="2819" t="s">
        <v>778</v>
      </c>
      <c r="C113" s="2819"/>
      <c r="D113" s="2819"/>
      <c r="E113" s="2819"/>
      <c r="F113" s="2819"/>
      <c r="G113" s="2820"/>
      <c r="H113" s="2821" t="str">
        <f>IF('Design Details &amp; Summary'!AA77=3,('Design Details &amp; Summary'!M94)+'Design Details &amp; Summary'!K94," ")</f>
        <v xml:space="preserve"> </v>
      </c>
      <c r="I113" s="2822"/>
      <c r="J113" s="1649" t="s">
        <v>609</v>
      </c>
      <c r="K113" s="1663" t="s">
        <v>779</v>
      </c>
      <c r="L113" s="1663"/>
      <c r="M113" s="1663" t="s">
        <v>780</v>
      </c>
      <c r="N113" s="1649"/>
      <c r="O113" s="1649"/>
      <c r="P113" s="1649"/>
      <c r="R113" s="520"/>
      <c r="S113" s="520"/>
      <c r="T113" s="520"/>
      <c r="Y113" s="1376"/>
      <c r="AA113" s="1655" t="s">
        <v>970</v>
      </c>
    </row>
    <row r="114" spans="1:27" s="1244" customFormat="1" ht="15" customHeight="1">
      <c r="A114" s="1647"/>
      <c r="B114" s="2819" t="s">
        <v>788</v>
      </c>
      <c r="C114" s="2819"/>
      <c r="D114" s="2819"/>
      <c r="E114" s="2819"/>
      <c r="F114" s="2819"/>
      <c r="G114" s="2820"/>
      <c r="H114" s="2821" t="str">
        <f>IF('Design Details &amp; Summary'!AA77=3,(H113+0.5)," ")</f>
        <v xml:space="preserve"> </v>
      </c>
      <c r="I114" s="2822"/>
      <c r="J114" s="1649" t="s">
        <v>609</v>
      </c>
      <c r="K114" s="2823" t="str">
        <f>IF('Design Details &amp; Summary'!AA77=3,('Design Details &amp; Summary'!S141)," ")</f>
        <v xml:space="preserve"> </v>
      </c>
      <c r="L114" s="2823"/>
      <c r="M114" s="1645" t="s">
        <v>965</v>
      </c>
      <c r="N114" s="2823" t="str">
        <f>IF('Design Details &amp; Summary'!AA77=3,('Design Details &amp; Summary'!L141)," ")</f>
        <v xml:space="preserve"> </v>
      </c>
      <c r="O114" s="2823"/>
      <c r="P114" s="1664" t="s">
        <v>971</v>
      </c>
      <c r="S114" s="520"/>
      <c r="T114" s="520"/>
      <c r="Y114" s="1376"/>
    </row>
    <row r="115" spans="1:27" s="1244" customFormat="1" ht="15" customHeight="1">
      <c r="A115" s="1647"/>
      <c r="B115" s="2819" t="s">
        <v>968</v>
      </c>
      <c r="C115" s="2819"/>
      <c r="D115" s="2819"/>
      <c r="E115" s="2819"/>
      <c r="F115" s="2819"/>
      <c r="G115" s="2820"/>
      <c r="H115" s="2821" t="str">
        <f>IF('Design Details &amp; Summary'!AA77=3,(H114+0.3)," ")</f>
        <v xml:space="preserve"> </v>
      </c>
      <c r="I115" s="2822"/>
      <c r="J115" s="1649" t="s">
        <v>609</v>
      </c>
      <c r="K115" s="2823" t="str">
        <f>IF('Design Details &amp; Summary'!AA77=3,('Design Details &amp; Summary'!S145)," ")</f>
        <v xml:space="preserve"> </v>
      </c>
      <c r="L115" s="2823"/>
      <c r="M115" s="1645" t="s">
        <v>965</v>
      </c>
      <c r="N115" s="2823" t="str">
        <f>IF('Design Details &amp; Summary'!AA77=3,('Design Details &amp; Summary'!F145)," ")</f>
        <v xml:space="preserve"> </v>
      </c>
      <c r="O115" s="2823"/>
      <c r="P115" s="1649" t="s">
        <v>789</v>
      </c>
      <c r="S115" s="520"/>
      <c r="T115" s="520"/>
      <c r="Y115" s="1376"/>
    </row>
    <row r="116" spans="1:27" ht="15" customHeight="1">
      <c r="A116" s="554"/>
      <c r="B116" s="1649" t="s">
        <v>791</v>
      </c>
      <c r="D116" s="1649"/>
      <c r="E116" s="1649"/>
      <c r="F116" s="1649"/>
      <c r="G116" s="1649"/>
      <c r="H116" s="2827" t="str">
        <f>IF('Design Details &amp; Summary'!AA77=3,(H115+1)," ")</f>
        <v xml:space="preserve"> </v>
      </c>
      <c r="I116" s="2827"/>
      <c r="J116" s="1649" t="s">
        <v>609</v>
      </c>
      <c r="Y116" s="526"/>
    </row>
    <row r="117" spans="1:27" ht="6" customHeight="1">
      <c r="A117" s="554"/>
      <c r="C117" s="1649"/>
      <c r="D117" s="1649"/>
      <c r="E117" s="1649"/>
      <c r="F117" s="1649"/>
      <c r="G117" s="1649"/>
      <c r="H117" s="1672"/>
      <c r="I117" s="1672"/>
      <c r="J117" s="1649"/>
      <c r="K117" s="1673"/>
      <c r="L117" s="1645"/>
      <c r="M117" s="1673"/>
      <c r="N117" s="1649"/>
      <c r="Y117" s="526"/>
    </row>
    <row r="118" spans="1:27" ht="15" customHeight="1">
      <c r="A118" s="554"/>
      <c r="C118" s="551" t="s">
        <v>796</v>
      </c>
      <c r="F118" s="1674" t="s">
        <v>797</v>
      </c>
      <c r="Y118" s="526"/>
    </row>
    <row r="119" spans="1:27" ht="15" customHeight="1">
      <c r="A119" s="554"/>
      <c r="C119" s="551"/>
      <c r="E119" s="2846" t="s">
        <v>798</v>
      </c>
      <c r="F119" s="2846"/>
      <c r="G119" s="2860"/>
      <c r="H119" s="2827" t="str">
        <f>IF('Design Details &amp; Summary'!AA77=1,('Design Details &amp; Summary'!F117)," ")</f>
        <v xml:space="preserve"> </v>
      </c>
      <c r="I119" s="2827"/>
      <c r="J119" s="1649" t="s">
        <v>799</v>
      </c>
      <c r="K119" s="1453" t="s">
        <v>779</v>
      </c>
      <c r="L119" s="2834" t="str">
        <f>IF('Design Details &amp; Summary'!AA77=1,('Design Details &amp; Summary'!S115)," ")</f>
        <v xml:space="preserve"> </v>
      </c>
      <c r="M119" s="2834"/>
      <c r="N119" s="520" t="s">
        <v>609</v>
      </c>
      <c r="P119" s="520" t="s">
        <v>800</v>
      </c>
      <c r="Q119" s="1453"/>
      <c r="R119" s="1883" t="str">
        <f>IF('Design Details &amp; Summary'!AA77=1,('Design Details &amp; Summary'!F115)," ")</f>
        <v xml:space="preserve"> </v>
      </c>
      <c r="S119" s="520" t="s">
        <v>801</v>
      </c>
      <c r="Y119" s="526"/>
    </row>
    <row r="120" spans="1:27" ht="6" customHeight="1">
      <c r="A120" s="554"/>
      <c r="C120" s="551"/>
      <c r="E120" s="1453"/>
      <c r="F120" s="2181"/>
      <c r="G120" s="1663"/>
      <c r="H120" s="1672"/>
      <c r="I120" s="1649"/>
      <c r="K120" s="1677"/>
      <c r="Y120" s="526"/>
    </row>
    <row r="121" spans="1:27" ht="15" customHeight="1">
      <c r="A121" s="554"/>
      <c r="D121" s="2653" t="s">
        <v>803</v>
      </c>
      <c r="E121" s="2653"/>
      <c r="G121" s="1884" t="s">
        <v>805</v>
      </c>
      <c r="H121" s="1884"/>
      <c r="J121" s="520" t="s">
        <v>972</v>
      </c>
      <c r="M121" s="2667" t="s">
        <v>806</v>
      </c>
      <c r="N121" s="2667"/>
      <c r="O121" s="2667"/>
      <c r="P121" s="2667"/>
      <c r="Y121" s="526"/>
    </row>
    <row r="122" spans="1:27" ht="15" customHeight="1">
      <c r="A122" s="554"/>
      <c r="D122" s="2653"/>
      <c r="E122" s="2653"/>
      <c r="G122" s="2827" t="str">
        <f>IF('Design Details &amp; Summary'!AA77=1,('Design Details &amp; Summary'!#REF!)," ")</f>
        <v xml:space="preserve"> </v>
      </c>
      <c r="H122" s="2827"/>
      <c r="I122" s="520" t="s">
        <v>629</v>
      </c>
      <c r="J122" s="1876" t="str">
        <f>IF('Design Details &amp; Summary'!AA77=1,(Trench!P6)," ")</f>
        <v xml:space="preserve"> </v>
      </c>
      <c r="K122" s="520" t="s">
        <v>629</v>
      </c>
      <c r="M122" s="1877" t="str">
        <f>IF('Design Details &amp; Summary'!AA77=1,('Design Details &amp; Summary'!L117)," ")</f>
        <v xml:space="preserve"> </v>
      </c>
      <c r="N122" s="2666" t="s">
        <v>807</v>
      </c>
      <c r="O122" s="2667"/>
      <c r="P122" s="2830"/>
      <c r="Q122" s="2844" t="str">
        <f>IF('Design Details &amp; Summary'!AA77=1,(H119/M122)," ")</f>
        <v xml:space="preserve"> </v>
      </c>
      <c r="R122" s="2848"/>
      <c r="S122" s="1649" t="s">
        <v>799</v>
      </c>
      <c r="Y122" s="526"/>
    </row>
    <row r="123" spans="1:27" s="1244" customFormat="1" ht="6" customHeight="1">
      <c r="A123" s="1647"/>
      <c r="Y123" s="1376"/>
    </row>
    <row r="124" spans="1:27" ht="15" customHeight="1">
      <c r="A124" s="554"/>
      <c r="C124" s="520" t="s">
        <v>808</v>
      </c>
      <c r="D124" s="2833"/>
      <c r="E124" s="2833"/>
      <c r="F124" s="1649" t="s">
        <v>609</v>
      </c>
      <c r="G124" s="2823" t="str">
        <f>IF(ISBLANK(D124)," ",D124-G122/12)</f>
        <v xml:space="preserve"> </v>
      </c>
      <c r="H124" s="2823"/>
      <c r="I124" s="1649" t="s">
        <v>609</v>
      </c>
      <c r="J124" s="1885" t="str">
        <f>IF(ISBLANK(D124)," ",D124-J122/12)</f>
        <v xml:space="preserve"> </v>
      </c>
      <c r="K124" s="520" t="s">
        <v>609</v>
      </c>
      <c r="M124" s="2835"/>
      <c r="N124" s="2835"/>
      <c r="O124" s="1649" t="s">
        <v>609</v>
      </c>
      <c r="Q124" s="1454"/>
      <c r="Y124" s="526"/>
      <c r="AA124" s="1655" t="s">
        <v>973</v>
      </c>
    </row>
    <row r="125" spans="1:27" ht="15" customHeight="1">
      <c r="A125" s="554"/>
      <c r="C125" s="520" t="s">
        <v>809</v>
      </c>
      <c r="D125" s="2833"/>
      <c r="E125" s="2833"/>
      <c r="F125" s="1649" t="s">
        <v>609</v>
      </c>
      <c r="G125" s="2823" t="str">
        <f>IF(ISBLANK(D125)," ",D125-G122/12)</f>
        <v xml:space="preserve"> </v>
      </c>
      <c r="H125" s="2823"/>
      <c r="I125" s="1649" t="s">
        <v>609</v>
      </c>
      <c r="J125" s="1885" t="str">
        <f>IF(ISBLANK(D125)," ",D125-J122/12)</f>
        <v xml:space="preserve"> </v>
      </c>
      <c r="K125" s="520" t="s">
        <v>609</v>
      </c>
      <c r="M125" s="2835"/>
      <c r="N125" s="2835"/>
      <c r="O125" s="1649" t="s">
        <v>609</v>
      </c>
      <c r="Q125" s="1454"/>
      <c r="R125" s="1649"/>
      <c r="Y125" s="526"/>
    </row>
    <row r="126" spans="1:27" ht="15" customHeight="1">
      <c r="A126" s="554"/>
      <c r="B126" s="1636"/>
      <c r="C126" s="520" t="s">
        <v>810</v>
      </c>
      <c r="D126" s="2833"/>
      <c r="E126" s="2833"/>
      <c r="F126" s="1649" t="s">
        <v>609</v>
      </c>
      <c r="G126" s="2823" t="str">
        <f>IF(ISBLANK(D126)," ",D126-G122/12)</f>
        <v xml:space="preserve"> </v>
      </c>
      <c r="H126" s="2823"/>
      <c r="I126" s="1649" t="s">
        <v>609</v>
      </c>
      <c r="J126" s="1885" t="str">
        <f>IF(ISBLANK(D126)," ",D126-J122/12)</f>
        <v xml:space="preserve"> </v>
      </c>
      <c r="K126" s="520" t="s">
        <v>609</v>
      </c>
      <c r="M126" s="2835"/>
      <c r="N126" s="2835"/>
      <c r="O126" s="1649" t="s">
        <v>609</v>
      </c>
      <c r="Q126" s="528"/>
      <c r="Y126" s="526"/>
      <c r="Z126" s="1244"/>
      <c r="AA126" s="1244"/>
    </row>
    <row r="127" spans="1:27" ht="15" customHeight="1">
      <c r="A127" s="554"/>
      <c r="C127" s="520" t="s">
        <v>811</v>
      </c>
      <c r="D127" s="2833"/>
      <c r="E127" s="2833"/>
      <c r="F127" s="1649" t="s">
        <v>609</v>
      </c>
      <c r="G127" s="2823" t="str">
        <f>IF(ISBLANK(D127)," ",D127-G122/12)</f>
        <v xml:space="preserve"> </v>
      </c>
      <c r="H127" s="2823"/>
      <c r="I127" s="1649" t="s">
        <v>609</v>
      </c>
      <c r="J127" s="1885" t="str">
        <f>IF(ISBLANK(D127)," ",D127-J122/12)</f>
        <v xml:space="preserve"> </v>
      </c>
      <c r="K127" s="520" t="s">
        <v>609</v>
      </c>
      <c r="M127" s="2835"/>
      <c r="N127" s="2835"/>
      <c r="O127" s="1649" t="s">
        <v>609</v>
      </c>
      <c r="Q127" s="1244"/>
      <c r="R127" s="1681"/>
      <c r="Y127" s="526"/>
      <c r="Z127" s="1244"/>
      <c r="AA127" s="1244"/>
    </row>
    <row r="128" spans="1:27" ht="15" customHeight="1">
      <c r="A128" s="554"/>
      <c r="C128" s="520" t="s">
        <v>812</v>
      </c>
      <c r="D128" s="2833"/>
      <c r="E128" s="2833"/>
      <c r="F128" s="1649" t="s">
        <v>609</v>
      </c>
      <c r="G128" s="2823" t="str">
        <f>IF(ISBLANK(D128)," ",D128-G122/12)</f>
        <v xml:space="preserve"> </v>
      </c>
      <c r="H128" s="2823"/>
      <c r="I128" s="1649" t="s">
        <v>609</v>
      </c>
      <c r="J128" s="1885" t="str">
        <f>IF(ISBLANK(D128)," ",D128-J122/12)</f>
        <v xml:space="preserve"> </v>
      </c>
      <c r="K128" s="520" t="s">
        <v>609</v>
      </c>
      <c r="M128" s="2835"/>
      <c r="N128" s="2835"/>
      <c r="O128" s="1649" t="s">
        <v>609</v>
      </c>
      <c r="Y128" s="526"/>
      <c r="Z128" s="1244"/>
      <c r="AA128" s="1244"/>
    </row>
    <row r="129" spans="1:33" ht="15" customHeight="1">
      <c r="A129" s="554"/>
      <c r="C129" s="520" t="s">
        <v>813</v>
      </c>
      <c r="D129" s="2833"/>
      <c r="E129" s="2833"/>
      <c r="F129" s="1649" t="s">
        <v>609</v>
      </c>
      <c r="G129" s="2823" t="str">
        <f>IF(ISBLANK(D129)," ",D129-G122/12)</f>
        <v xml:space="preserve"> </v>
      </c>
      <c r="H129" s="2823"/>
      <c r="I129" s="1649" t="s">
        <v>609</v>
      </c>
      <c r="J129" s="1885" t="str">
        <f>IF(ISBLANK(D129)," ",D129-J122/12)</f>
        <v xml:space="preserve"> </v>
      </c>
      <c r="K129" s="520" t="s">
        <v>609</v>
      </c>
      <c r="M129" s="2835"/>
      <c r="N129" s="2835"/>
      <c r="O129" s="1649" t="s">
        <v>609</v>
      </c>
      <c r="Y129" s="526"/>
    </row>
    <row r="130" spans="1:33" ht="15" customHeight="1">
      <c r="A130" s="554"/>
      <c r="C130" s="520" t="s">
        <v>814</v>
      </c>
      <c r="D130" s="2833"/>
      <c r="E130" s="2833"/>
      <c r="F130" s="1649" t="s">
        <v>609</v>
      </c>
      <c r="G130" s="2823" t="str">
        <f>IF(ISBLANK(D130)," ",D130-G122/12)</f>
        <v xml:space="preserve"> </v>
      </c>
      <c r="H130" s="2823"/>
      <c r="I130" s="1649" t="s">
        <v>609</v>
      </c>
      <c r="J130" s="1885" t="str">
        <f>IF(ISBLANK(D130)," ",D130-J122/12)</f>
        <v xml:space="preserve"> </v>
      </c>
      <c r="K130" s="520" t="s">
        <v>609</v>
      </c>
      <c r="M130" s="2835"/>
      <c r="N130" s="2835"/>
      <c r="O130" s="1649" t="s">
        <v>609</v>
      </c>
      <c r="Y130" s="526"/>
    </row>
    <row r="131" spans="1:33" ht="6" customHeight="1">
      <c r="A131" s="554"/>
      <c r="D131" s="1672"/>
      <c r="E131" s="1649"/>
      <c r="F131" s="1672"/>
      <c r="G131" s="1649"/>
      <c r="H131" s="1672"/>
      <c r="I131" s="1649"/>
      <c r="K131" s="1672"/>
      <c r="L131" s="1649"/>
      <c r="Y131" s="526"/>
    </row>
    <row r="132" spans="1:33" ht="15" customHeight="1">
      <c r="A132" s="554"/>
      <c r="C132" s="551" t="s">
        <v>184</v>
      </c>
      <c r="I132" s="1454"/>
      <c r="K132" s="551" t="s">
        <v>815</v>
      </c>
      <c r="R132" s="551" t="s">
        <v>816</v>
      </c>
      <c r="W132" s="1670"/>
      <c r="Y132" s="1671"/>
      <c r="AA132" s="1655" t="s">
        <v>974</v>
      </c>
    </row>
    <row r="133" spans="1:33" ht="15" customHeight="1">
      <c r="A133" s="554"/>
      <c r="B133" s="2861" t="s">
        <v>778</v>
      </c>
      <c r="C133" s="2861"/>
      <c r="D133" s="2861"/>
      <c r="E133" s="2861"/>
      <c r="F133" s="2861"/>
      <c r="G133" s="2862"/>
      <c r="H133" s="2831"/>
      <c r="I133" s="2832"/>
      <c r="J133" s="1649" t="s">
        <v>609</v>
      </c>
      <c r="K133" s="2656" t="s">
        <v>760</v>
      </c>
      <c r="L133" s="2662"/>
      <c r="M133" s="2833"/>
      <c r="N133" s="2833"/>
      <c r="O133" s="1649" t="s">
        <v>609</v>
      </c>
      <c r="R133" s="1663" t="s">
        <v>779</v>
      </c>
      <c r="S133" s="1663"/>
      <c r="T133" s="2667" t="s">
        <v>780</v>
      </c>
      <c r="U133" s="2667"/>
      <c r="X133" s="1670"/>
      <c r="Y133" s="1671"/>
    </row>
    <row r="134" spans="1:33" ht="15" customHeight="1">
      <c r="A134" s="554"/>
      <c r="B134" s="2861" t="s">
        <v>817</v>
      </c>
      <c r="C134" s="2861"/>
      <c r="D134" s="2861"/>
      <c r="E134" s="2861"/>
      <c r="F134" s="2861"/>
      <c r="G134" s="2862"/>
      <c r="H134" s="2821" t="str">
        <f>IF('Design Details &amp; Summary'!AA77=2,(H133-'Design Details &amp; Summary'!S125/12)," ")</f>
        <v xml:space="preserve"> </v>
      </c>
      <c r="I134" s="2822"/>
      <c r="J134" s="1649" t="s">
        <v>609</v>
      </c>
      <c r="K134" s="2656" t="s">
        <v>763</v>
      </c>
      <c r="L134" s="2662"/>
      <c r="M134" s="2833"/>
      <c r="N134" s="2833"/>
      <c r="O134" s="1649" t="s">
        <v>609</v>
      </c>
      <c r="R134" s="1881" t="str">
        <f>IF('Design Details &amp; Summary'!AA77=2,('Design Details &amp; Summary'!F125)," ")</f>
        <v xml:space="preserve"> </v>
      </c>
      <c r="S134" s="1645" t="s">
        <v>783</v>
      </c>
      <c r="T134" s="2823" t="str">
        <f>IF('Design Details &amp; Summary'!AA77=2,('Design Details &amp; Summary'!L125)," ")</f>
        <v xml:space="preserve"> </v>
      </c>
      <c r="U134" s="2823"/>
      <c r="V134" s="1664" t="s">
        <v>784</v>
      </c>
      <c r="X134" s="1670"/>
      <c r="Y134" s="1671"/>
    </row>
    <row r="135" spans="1:33" ht="15" customHeight="1">
      <c r="A135" s="554"/>
      <c r="B135" s="2861" t="s">
        <v>788</v>
      </c>
      <c r="C135" s="2861"/>
      <c r="D135" s="2861"/>
      <c r="E135" s="2861"/>
      <c r="F135" s="2861"/>
      <c r="G135" s="2862"/>
      <c r="H135" s="2821" t="str">
        <f>IF('Design Details &amp; Summary'!AA77=2,(H134+0.5)," ")</f>
        <v xml:space="preserve"> </v>
      </c>
      <c r="I135" s="2822"/>
      <c r="J135" s="1649" t="s">
        <v>609</v>
      </c>
      <c r="K135" s="2656" t="s">
        <v>766</v>
      </c>
      <c r="L135" s="2662"/>
      <c r="M135" s="2833"/>
      <c r="N135" s="2833"/>
      <c r="O135" s="1649" t="s">
        <v>609</v>
      </c>
      <c r="R135" s="1673"/>
      <c r="S135" s="1645"/>
      <c r="T135" s="1673"/>
      <c r="U135" s="1649"/>
      <c r="X135" s="1670"/>
      <c r="Y135" s="1671"/>
    </row>
    <row r="136" spans="1:33" ht="15" customHeight="1">
      <c r="A136" s="554"/>
      <c r="B136" s="2861" t="s">
        <v>968</v>
      </c>
      <c r="C136" s="2861"/>
      <c r="D136" s="2861"/>
      <c r="E136" s="2861"/>
      <c r="F136" s="2861"/>
      <c r="G136" s="2862"/>
      <c r="H136" s="2821" t="str">
        <f>IF('Design Details &amp; Summary'!AA77=2,(H135+0.3)," ")</f>
        <v xml:space="preserve"> </v>
      </c>
      <c r="I136" s="2822"/>
      <c r="J136" s="1649" t="s">
        <v>609</v>
      </c>
      <c r="K136" s="2656" t="s">
        <v>768</v>
      </c>
      <c r="L136" s="2662"/>
      <c r="M136" s="2833"/>
      <c r="N136" s="2833"/>
      <c r="O136" s="1649" t="s">
        <v>609</v>
      </c>
      <c r="X136" s="1670"/>
      <c r="Y136" s="1671"/>
    </row>
    <row r="137" spans="1:33" ht="15" customHeight="1">
      <c r="A137" s="554"/>
      <c r="B137" s="2861" t="s">
        <v>791</v>
      </c>
      <c r="C137" s="2861"/>
      <c r="D137" s="2861"/>
      <c r="E137" s="2861"/>
      <c r="F137" s="2861"/>
      <c r="G137" s="2862"/>
      <c r="H137" s="2827" t="str">
        <f>IF('Design Details &amp; Summary'!AA77=2,(H136+1)," ")</f>
        <v xml:space="preserve"> </v>
      </c>
      <c r="I137" s="2827"/>
      <c r="J137" s="1649" t="s">
        <v>609</v>
      </c>
      <c r="S137" s="1645"/>
      <c r="X137" s="1670"/>
      <c r="Y137" s="1671"/>
    </row>
    <row r="138" spans="1:33" ht="15" customHeight="1" thickBot="1">
      <c r="A138" s="829"/>
      <c r="B138" s="830"/>
      <c r="C138" s="830"/>
      <c r="D138" s="830"/>
      <c r="E138" s="830"/>
      <c r="F138" s="830"/>
      <c r="G138" s="830"/>
      <c r="H138" s="830"/>
      <c r="I138" s="830"/>
      <c r="J138" s="830"/>
      <c r="K138" s="830"/>
      <c r="L138" s="830"/>
      <c r="M138" s="830"/>
      <c r="N138" s="830"/>
      <c r="O138" s="830"/>
      <c r="P138" s="830"/>
      <c r="Q138" s="830"/>
      <c r="R138" s="830"/>
      <c r="S138" s="830"/>
      <c r="T138" s="830"/>
      <c r="U138" s="830"/>
      <c r="V138" s="830"/>
      <c r="W138" s="830"/>
      <c r="X138" s="1960"/>
      <c r="Y138" s="1961"/>
    </row>
    <row r="139" spans="1:33" ht="15" customHeight="1">
      <c r="A139" s="554"/>
      <c r="B139" s="551"/>
      <c r="C139" s="551" t="s">
        <v>818</v>
      </c>
      <c r="I139" s="520" t="s">
        <v>975</v>
      </c>
      <c r="J139" s="1637"/>
      <c r="Q139" s="1454"/>
      <c r="R139" s="1649"/>
      <c r="S139" s="1649"/>
      <c r="T139" s="1649"/>
      <c r="V139" s="1096"/>
      <c r="W139" s="1670"/>
      <c r="X139" s="1096"/>
      <c r="Y139" s="1671"/>
      <c r="Z139" s="551"/>
      <c r="AA139" s="551"/>
      <c r="AB139" s="551"/>
      <c r="AC139" s="551"/>
      <c r="AD139" s="551"/>
      <c r="AE139" s="551"/>
      <c r="AF139" s="551"/>
      <c r="AG139" s="551"/>
    </row>
    <row r="140" spans="1:33" ht="15" customHeight="1">
      <c r="A140" s="554"/>
      <c r="C140" s="2656" t="s">
        <v>760</v>
      </c>
      <c r="D140" s="2656"/>
      <c r="E140" s="2649"/>
      <c r="F140" s="2649"/>
      <c r="G140" s="1649" t="s">
        <v>609</v>
      </c>
      <c r="H140" s="1649"/>
      <c r="I140" s="1645" t="s">
        <v>821</v>
      </c>
      <c r="K140" s="2657"/>
      <c r="L140" s="2658"/>
      <c r="M140" s="1649" t="s">
        <v>609</v>
      </c>
      <c r="O140" s="1649"/>
      <c r="P140" s="1649"/>
      <c r="Q140" s="1649"/>
      <c r="R140" s="1649"/>
      <c r="S140" s="1649"/>
      <c r="T140" s="1649"/>
      <c r="V140" s="1096"/>
      <c r="W140" s="1670"/>
      <c r="X140" s="1096"/>
      <c r="Y140" s="1671"/>
    </row>
    <row r="141" spans="1:33" ht="15" customHeight="1">
      <c r="A141" s="554"/>
      <c r="C141" s="2656" t="s">
        <v>763</v>
      </c>
      <c r="D141" s="2656"/>
      <c r="E141" s="2649"/>
      <c r="F141" s="2649"/>
      <c r="G141" s="1649" t="s">
        <v>609</v>
      </c>
      <c r="H141" s="1663"/>
      <c r="I141" s="1645" t="s">
        <v>822</v>
      </c>
      <c r="K141" s="2657"/>
      <c r="L141" s="2658"/>
      <c r="M141" s="1649" t="s">
        <v>609</v>
      </c>
      <c r="O141" s="1649"/>
      <c r="P141" s="1649"/>
      <c r="Q141" s="1649"/>
      <c r="R141" s="2819"/>
      <c r="S141" s="2819"/>
      <c r="T141" s="2819"/>
      <c r="V141" s="1673"/>
      <c r="W141" s="1670"/>
      <c r="X141" s="1673"/>
      <c r="Y141" s="1671"/>
    </row>
    <row r="142" spans="1:33" ht="15" customHeight="1">
      <c r="A142" s="554"/>
      <c r="C142" s="2656" t="s">
        <v>766</v>
      </c>
      <c r="D142" s="2656"/>
      <c r="E142" s="2649"/>
      <c r="F142" s="2649"/>
      <c r="G142" s="1649" t="s">
        <v>609</v>
      </c>
      <c r="H142" s="1663"/>
      <c r="I142" s="1645" t="s">
        <v>823</v>
      </c>
      <c r="K142" s="2657"/>
      <c r="L142" s="2658"/>
      <c r="M142" s="1649" t="s">
        <v>609</v>
      </c>
      <c r="O142" s="1649"/>
      <c r="P142" s="1649"/>
      <c r="Q142" s="1649"/>
      <c r="R142" s="1649"/>
      <c r="S142" s="1649"/>
      <c r="T142" s="1649"/>
      <c r="V142" s="1673"/>
      <c r="W142" s="1670"/>
      <c r="X142" s="1673"/>
      <c r="Y142" s="1671"/>
    </row>
    <row r="143" spans="1:33" ht="15" customHeight="1">
      <c r="A143" s="554"/>
      <c r="C143" s="2656" t="s">
        <v>768</v>
      </c>
      <c r="D143" s="2656"/>
      <c r="E143" s="2649"/>
      <c r="F143" s="2649"/>
      <c r="G143" s="1649" t="s">
        <v>609</v>
      </c>
      <c r="H143" s="1663"/>
      <c r="I143" s="1645" t="s">
        <v>824</v>
      </c>
      <c r="K143" s="2657"/>
      <c r="L143" s="2658"/>
      <c r="M143" s="1649" t="s">
        <v>609</v>
      </c>
      <c r="O143" s="1649"/>
      <c r="P143" s="1649"/>
      <c r="Q143" s="1649"/>
      <c r="R143" s="1649"/>
      <c r="S143" s="1649"/>
      <c r="T143" s="1649"/>
      <c r="V143" s="1673"/>
      <c r="W143" s="1670"/>
      <c r="X143" s="1673"/>
      <c r="Y143" s="1671"/>
    </row>
    <row r="144" spans="1:33" ht="9.6" customHeight="1">
      <c r="A144" s="554"/>
      <c r="H144" s="1453"/>
      <c r="I144" s="1453"/>
      <c r="L144" s="1096"/>
      <c r="Q144" s="1454"/>
      <c r="R144" s="1649"/>
      <c r="S144" s="1649"/>
      <c r="T144" s="1649"/>
      <c r="V144" s="1673"/>
      <c r="W144" s="1670"/>
      <c r="X144" s="1673"/>
      <c r="Y144" s="1671"/>
    </row>
    <row r="145" spans="1:50">
      <c r="A145" s="554"/>
      <c r="B145" s="520" t="s">
        <v>719</v>
      </c>
      <c r="Y145" s="526"/>
    </row>
    <row r="146" spans="1:50" ht="57" customHeight="1">
      <c r="A146" s="554"/>
      <c r="B146" s="2643"/>
      <c r="C146" s="2643"/>
      <c r="D146" s="2643"/>
      <c r="E146" s="2643"/>
      <c r="F146" s="2643"/>
      <c r="G146" s="2643"/>
      <c r="H146" s="2643"/>
      <c r="I146" s="2643"/>
      <c r="J146" s="2643"/>
      <c r="K146" s="2643"/>
      <c r="L146" s="2643"/>
      <c r="M146" s="2643"/>
      <c r="N146" s="2643"/>
      <c r="O146" s="2643"/>
      <c r="P146" s="2643"/>
      <c r="Q146" s="2643"/>
      <c r="R146" s="2643"/>
      <c r="S146" s="2643"/>
      <c r="T146" s="2643"/>
      <c r="U146" s="2643"/>
      <c r="V146" s="2643"/>
      <c r="W146" s="2643"/>
      <c r="X146" s="2643"/>
      <c r="Y146" s="1886"/>
      <c r="AA146" s="1888"/>
      <c r="AB146" s="1888"/>
      <c r="AC146" s="1888"/>
      <c r="AD146" s="1888"/>
      <c r="AE146" s="1888"/>
      <c r="AF146" s="1888"/>
      <c r="AG146" s="1888"/>
      <c r="AH146" s="1888"/>
      <c r="AI146" s="1888"/>
      <c r="AJ146" s="1888"/>
      <c r="AK146" s="1888"/>
      <c r="AL146" s="1888"/>
      <c r="AM146" s="1888"/>
      <c r="AN146" s="1888"/>
      <c r="AO146" s="1888"/>
      <c r="AP146" s="1888"/>
      <c r="AQ146" s="1888"/>
      <c r="AR146" s="1888"/>
      <c r="AS146" s="1888"/>
      <c r="AT146" s="1888"/>
      <c r="AU146" s="1888"/>
      <c r="AV146" s="1888"/>
      <c r="AW146" s="1888"/>
      <c r="AX146" s="1888"/>
    </row>
    <row r="147" spans="1:50" ht="9.9499999999999993" customHeight="1">
      <c r="A147" s="554"/>
      <c r="Y147" s="526"/>
    </row>
    <row r="148" spans="1:50" ht="17.25" customHeight="1">
      <c r="A148" s="554"/>
      <c r="C148" s="551" t="s">
        <v>825</v>
      </c>
      <c r="Y148" s="526"/>
    </row>
    <row r="149" spans="1:50" ht="17.25" customHeight="1">
      <c r="A149" s="554"/>
      <c r="B149" s="1686" t="s">
        <v>826</v>
      </c>
      <c r="H149" s="2835"/>
      <c r="I149" s="2835"/>
      <c r="J149" s="1649" t="s">
        <v>609</v>
      </c>
      <c r="Y149" s="526"/>
    </row>
    <row r="150" spans="1:50" ht="17.25" customHeight="1">
      <c r="A150" s="554"/>
      <c r="B150" s="1686" t="s">
        <v>827</v>
      </c>
      <c r="H150" s="2835"/>
      <c r="I150" s="2835"/>
      <c r="J150" s="1649" t="s">
        <v>609</v>
      </c>
      <c r="Y150" s="526"/>
    </row>
    <row r="151" spans="1:50" ht="17.25" customHeight="1">
      <c r="A151" s="554"/>
      <c r="B151" s="1686" t="s">
        <v>828</v>
      </c>
      <c r="H151" s="2835"/>
      <c r="I151" s="2835"/>
      <c r="J151" s="1649" t="s">
        <v>829</v>
      </c>
      <c r="N151" s="520" t="s">
        <v>976</v>
      </c>
      <c r="Y151" s="526"/>
    </row>
    <row r="152" spans="1:50" ht="17.25" customHeight="1">
      <c r="A152" s="554"/>
      <c r="Y152" s="526"/>
    </row>
    <row r="153" spans="1:50" ht="17.25" customHeight="1">
      <c r="A153" s="554"/>
      <c r="C153" s="551" t="s">
        <v>830</v>
      </c>
      <c r="K153" s="1599" t="s">
        <v>831</v>
      </c>
      <c r="N153" s="551"/>
      <c r="O153" s="551" t="s">
        <v>830</v>
      </c>
      <c r="P153" s="551"/>
      <c r="Q153" s="551"/>
      <c r="R153" s="551"/>
      <c r="S153" s="551"/>
      <c r="W153" s="1599" t="s">
        <v>831</v>
      </c>
      <c r="Y153" s="526"/>
      <c r="AA153" s="1887"/>
    </row>
    <row r="154" spans="1:50" ht="17.25" customHeight="1">
      <c r="A154" s="554"/>
      <c r="B154" s="2836"/>
      <c r="C154" s="2850">
        <v>1</v>
      </c>
      <c r="D154" s="1887" t="s">
        <v>835</v>
      </c>
      <c r="E154" s="1645"/>
      <c r="F154" s="1649"/>
      <c r="H154" s="2853"/>
      <c r="I154" s="2854"/>
      <c r="J154" s="1649" t="s">
        <v>609</v>
      </c>
      <c r="K154" s="1649"/>
      <c r="M154" s="1649"/>
      <c r="N154" s="2836"/>
      <c r="O154" s="2850">
        <v>2</v>
      </c>
      <c r="P154" s="1887" t="s">
        <v>835</v>
      </c>
      <c r="Q154" s="1649"/>
      <c r="R154" s="1649"/>
      <c r="S154" s="2649"/>
      <c r="T154" s="2649"/>
      <c r="U154" s="1649" t="s">
        <v>609</v>
      </c>
      <c r="W154" s="1649"/>
      <c r="Y154" s="526"/>
    </row>
    <row r="155" spans="1:50" ht="17.25" customHeight="1">
      <c r="A155" s="554"/>
      <c r="B155" s="2837"/>
      <c r="C155" s="2851"/>
      <c r="D155" s="1645" t="s">
        <v>837</v>
      </c>
      <c r="E155" s="1645"/>
      <c r="F155" s="1649"/>
      <c r="H155" s="2853"/>
      <c r="I155" s="2854"/>
      <c r="J155" s="1649" t="s">
        <v>609</v>
      </c>
      <c r="K155" s="1875" t="str">
        <f>IF(ISBLANK(H155)," ",H154-H155)</f>
        <v xml:space="preserve"> </v>
      </c>
      <c r="L155" s="1649" t="s">
        <v>609</v>
      </c>
      <c r="M155" s="1649"/>
      <c r="N155" s="2837"/>
      <c r="O155" s="2851"/>
      <c r="P155" s="1649" t="s">
        <v>837</v>
      </c>
      <c r="Q155" s="1649"/>
      <c r="R155" s="1649"/>
      <c r="S155" s="2649"/>
      <c r="T155" s="2649"/>
      <c r="U155" s="1649" t="s">
        <v>609</v>
      </c>
      <c r="V155" s="2664" t="str">
        <f>IF(ISBLANK(S155)," ",S154-S155)</f>
        <v xml:space="preserve"> </v>
      </c>
      <c r="W155" s="2665"/>
      <c r="X155" s="1649" t="s">
        <v>609</v>
      </c>
      <c r="Y155" s="526"/>
    </row>
    <row r="156" spans="1:50" ht="17.25" customHeight="1">
      <c r="A156" s="554"/>
      <c r="B156" s="2838"/>
      <c r="C156" s="2852"/>
      <c r="D156" s="2182" t="s">
        <v>838</v>
      </c>
      <c r="E156" s="1645"/>
      <c r="F156" s="1649"/>
      <c r="H156" s="2853"/>
      <c r="I156" s="2854"/>
      <c r="J156" s="1649" t="s">
        <v>609</v>
      </c>
      <c r="K156" s="1875" t="str">
        <f>IF(ISBLANK(H156)," ",H154-H156)</f>
        <v xml:space="preserve"> </v>
      </c>
      <c r="L156" s="1649" t="s">
        <v>609</v>
      </c>
      <c r="M156" s="1649"/>
      <c r="N156" s="2838"/>
      <c r="O156" s="2852"/>
      <c r="P156" s="1688" t="s">
        <v>838</v>
      </c>
      <c r="Q156" s="1649"/>
      <c r="R156" s="1649"/>
      <c r="S156" s="2649"/>
      <c r="T156" s="2649"/>
      <c r="U156" s="1649" t="s">
        <v>609</v>
      </c>
      <c r="V156" s="2664" t="str">
        <f>IF(ISBLANK(S156)," ",S154-S156)</f>
        <v xml:space="preserve"> </v>
      </c>
      <c r="W156" s="2665"/>
      <c r="X156" s="1649" t="s">
        <v>609</v>
      </c>
      <c r="Y156" s="526"/>
    </row>
    <row r="157" spans="1:50" ht="17.25" customHeight="1">
      <c r="A157" s="554"/>
      <c r="C157" s="551"/>
      <c r="D157" s="1645"/>
      <c r="E157" s="1645"/>
      <c r="F157" s="1649"/>
      <c r="I157" s="1689"/>
      <c r="J157" s="1649"/>
      <c r="K157" s="1663"/>
      <c r="M157" s="1453"/>
      <c r="N157" s="1453"/>
      <c r="O157" s="1637"/>
      <c r="Q157" s="1686"/>
      <c r="R157" s="1686"/>
      <c r="S157" s="1686"/>
      <c r="Y157" s="526"/>
    </row>
    <row r="158" spans="1:50" ht="17.25" customHeight="1">
      <c r="A158" s="554"/>
      <c r="B158" s="2836"/>
      <c r="C158" s="2850">
        <v>3</v>
      </c>
      <c r="D158" s="1887" t="s">
        <v>835</v>
      </c>
      <c r="E158" s="1645"/>
      <c r="F158" s="1649"/>
      <c r="H158" s="2853"/>
      <c r="I158" s="2854"/>
      <c r="J158" s="1649" t="s">
        <v>609</v>
      </c>
      <c r="K158" s="1649"/>
      <c r="M158" s="1649"/>
      <c r="N158" s="2836"/>
      <c r="O158" s="2850">
        <v>4</v>
      </c>
      <c r="P158" s="1887" t="s">
        <v>835</v>
      </c>
      <c r="Q158" s="1649"/>
      <c r="R158" s="1649"/>
      <c r="S158" s="2649"/>
      <c r="T158" s="2649"/>
      <c r="U158" s="1649" t="s">
        <v>609</v>
      </c>
      <c r="W158" s="1649"/>
      <c r="Y158" s="526"/>
    </row>
    <row r="159" spans="1:50" ht="17.25" customHeight="1">
      <c r="A159" s="554"/>
      <c r="B159" s="2837"/>
      <c r="C159" s="2851"/>
      <c r="D159" s="1645" t="s">
        <v>837</v>
      </c>
      <c r="E159" s="1645"/>
      <c r="F159" s="1649"/>
      <c r="H159" s="2853"/>
      <c r="I159" s="2854"/>
      <c r="J159" s="1649" t="s">
        <v>609</v>
      </c>
      <c r="K159" s="1875" t="str">
        <f>IF(ISBLANK(H159)," ",H158-H159)</f>
        <v xml:space="preserve"> </v>
      </c>
      <c r="L159" s="1649" t="s">
        <v>609</v>
      </c>
      <c r="M159" s="1649"/>
      <c r="N159" s="2837"/>
      <c r="O159" s="2851"/>
      <c r="P159" s="1649" t="s">
        <v>837</v>
      </c>
      <c r="Q159" s="1649"/>
      <c r="R159" s="1649"/>
      <c r="S159" s="2649"/>
      <c r="T159" s="2649"/>
      <c r="U159" s="1649" t="s">
        <v>609</v>
      </c>
      <c r="V159" s="2664" t="str">
        <f>IF(ISBLANK(S159)," ",S158-S159)</f>
        <v xml:space="preserve"> </v>
      </c>
      <c r="W159" s="2665"/>
      <c r="X159" s="1649" t="s">
        <v>609</v>
      </c>
      <c r="Y159" s="526"/>
    </row>
    <row r="160" spans="1:50" ht="17.25" customHeight="1">
      <c r="A160" s="554"/>
      <c r="B160" s="2838"/>
      <c r="C160" s="2852"/>
      <c r="D160" s="2182" t="s">
        <v>838</v>
      </c>
      <c r="E160" s="1645"/>
      <c r="F160" s="1649"/>
      <c r="H160" s="2853"/>
      <c r="I160" s="2854"/>
      <c r="J160" s="1649" t="s">
        <v>609</v>
      </c>
      <c r="K160" s="1875" t="str">
        <f>IF(ISBLANK(H160)," ",H158-H160)</f>
        <v xml:space="preserve"> </v>
      </c>
      <c r="L160" s="1649" t="s">
        <v>609</v>
      </c>
      <c r="M160" s="1649"/>
      <c r="N160" s="2838"/>
      <c r="O160" s="2852"/>
      <c r="P160" s="1688" t="s">
        <v>838</v>
      </c>
      <c r="Q160" s="1649"/>
      <c r="R160" s="1649"/>
      <c r="S160" s="2649"/>
      <c r="T160" s="2649"/>
      <c r="U160" s="1649" t="s">
        <v>609</v>
      </c>
      <c r="V160" s="2664" t="str">
        <f>IF(ISBLANK(S160)," ",S158-S160)</f>
        <v xml:space="preserve"> </v>
      </c>
      <c r="W160" s="2665"/>
      <c r="X160" s="1649" t="s">
        <v>609</v>
      </c>
      <c r="Y160" s="526"/>
    </row>
    <row r="161" spans="1:50" ht="17.25" customHeight="1">
      <c r="A161" s="554"/>
      <c r="B161" s="1677"/>
      <c r="C161" s="1677"/>
      <c r="D161" s="2182"/>
      <c r="E161" s="1645"/>
      <c r="F161" s="1649"/>
      <c r="I161" s="1672"/>
      <c r="J161" s="1649"/>
      <c r="K161" s="1672"/>
      <c r="M161" s="1453"/>
      <c r="N161" s="1453"/>
      <c r="O161" s="1453"/>
      <c r="Y161" s="526"/>
    </row>
    <row r="162" spans="1:50" ht="17.25" customHeight="1">
      <c r="A162" s="554"/>
      <c r="B162" s="2839" t="s">
        <v>841</v>
      </c>
      <c r="C162" s="2840"/>
      <c r="D162" s="1887" t="s">
        <v>835</v>
      </c>
      <c r="E162" s="1645"/>
      <c r="F162" s="1649"/>
      <c r="H162" s="2853"/>
      <c r="I162" s="2854"/>
      <c r="J162" s="1649" t="s">
        <v>609</v>
      </c>
      <c r="K162" s="1649"/>
      <c r="N162" s="2839" t="s">
        <v>843</v>
      </c>
      <c r="O162" s="2840"/>
      <c r="P162" s="1887" t="s">
        <v>835</v>
      </c>
      <c r="Q162" s="1649"/>
      <c r="R162" s="1649"/>
      <c r="S162" s="2649"/>
      <c r="T162" s="2649"/>
      <c r="U162" s="1649" t="s">
        <v>609</v>
      </c>
      <c r="W162" s="1649"/>
      <c r="Y162" s="526"/>
    </row>
    <row r="163" spans="1:50" ht="17.25" customHeight="1">
      <c r="A163" s="554"/>
      <c r="B163" s="2841"/>
      <c r="C163" s="2842"/>
      <c r="D163" s="1645" t="s">
        <v>837</v>
      </c>
      <c r="E163" s="1645"/>
      <c r="F163" s="1649"/>
      <c r="H163" s="2853"/>
      <c r="I163" s="2854"/>
      <c r="J163" s="1649" t="s">
        <v>609</v>
      </c>
      <c r="K163" s="1875" t="str">
        <f>IF(ISBLANK(H163)," ",H162-H163)</f>
        <v xml:space="preserve"> </v>
      </c>
      <c r="L163" s="1649" t="s">
        <v>609</v>
      </c>
      <c r="N163" s="2841"/>
      <c r="O163" s="2842"/>
      <c r="P163" s="1649" t="s">
        <v>837</v>
      </c>
      <c r="Q163" s="1649"/>
      <c r="R163" s="1649"/>
      <c r="S163" s="2649"/>
      <c r="T163" s="2649"/>
      <c r="U163" s="1649" t="s">
        <v>609</v>
      </c>
      <c r="V163" s="2664" t="s">
        <v>977</v>
      </c>
      <c r="W163" s="2665"/>
      <c r="X163" s="1649" t="s">
        <v>609</v>
      </c>
      <c r="Y163" s="526"/>
    </row>
    <row r="164" spans="1:50" ht="17.25" customHeight="1">
      <c r="A164" s="554"/>
      <c r="B164" s="2856" t="s">
        <v>978</v>
      </c>
      <c r="C164" s="2856"/>
      <c r="D164" s="2856"/>
      <c r="E164" s="2856"/>
      <c r="F164" s="2856"/>
      <c r="G164" s="2856"/>
      <c r="H164" s="2856"/>
      <c r="I164" s="2856"/>
      <c r="J164" s="2856"/>
      <c r="K164" s="2856"/>
      <c r="L164" s="2856"/>
      <c r="M164" s="2856"/>
      <c r="N164" s="2856"/>
      <c r="O164" s="917"/>
      <c r="P164" s="1688"/>
      <c r="Q164" s="1649"/>
      <c r="R164" s="1649"/>
      <c r="S164" s="2855"/>
      <c r="T164" s="2855"/>
      <c r="U164" s="1649"/>
      <c r="V164" s="2855"/>
      <c r="W164" s="2855"/>
      <c r="X164" s="1649"/>
      <c r="Y164" s="526"/>
    </row>
    <row r="165" spans="1:50" ht="12" customHeight="1">
      <c r="A165" s="554"/>
      <c r="B165" s="1677"/>
      <c r="C165" s="1677"/>
      <c r="D165" s="1688"/>
      <c r="E165" s="1649"/>
      <c r="F165" s="1649"/>
      <c r="H165" s="1672"/>
      <c r="I165" s="1649"/>
      <c r="J165" s="1649"/>
      <c r="K165" s="1672"/>
      <c r="Q165" s="1686"/>
      <c r="R165" s="1686"/>
      <c r="S165" s="1686"/>
      <c r="T165" s="1686"/>
      <c r="Y165" s="526"/>
    </row>
    <row r="166" spans="1:50" ht="17.25" customHeight="1">
      <c r="A166" s="554"/>
      <c r="C166" s="551" t="s">
        <v>979</v>
      </c>
      <c r="Y166" s="526"/>
      <c r="AE166" s="1649"/>
      <c r="AG166" s="1673"/>
      <c r="AH166" s="1670"/>
      <c r="AI166" s="1691" t="s">
        <v>847</v>
      </c>
      <c r="AJ166" s="1670"/>
    </row>
    <row r="167" spans="1:50" ht="17.25" customHeight="1">
      <c r="A167" s="554"/>
      <c r="D167" s="1649" t="s">
        <v>848</v>
      </c>
      <c r="J167" s="1650"/>
      <c r="K167" s="1670" t="s">
        <v>609</v>
      </c>
      <c r="Y167" s="526"/>
      <c r="AB167" s="2849" t="s">
        <v>980</v>
      </c>
      <c r="AC167" s="2849"/>
      <c r="AD167" s="2849"/>
      <c r="AE167" s="2849"/>
      <c r="AF167" s="2849"/>
      <c r="AG167" s="2849"/>
      <c r="AH167" s="2849"/>
      <c r="AI167" s="1889"/>
      <c r="AJ167" s="1244"/>
      <c r="AK167" s="2859" t="s">
        <v>981</v>
      </c>
      <c r="AL167" s="2859"/>
      <c r="AM167" s="2859"/>
      <c r="AN167" s="2859"/>
      <c r="AO167" s="2859"/>
      <c r="AP167" s="2859"/>
      <c r="AQ167" s="2859"/>
    </row>
    <row r="168" spans="1:50" ht="17.25" customHeight="1">
      <c r="A168" s="554"/>
      <c r="D168" s="1649" t="s">
        <v>850</v>
      </c>
      <c r="J168" s="1878"/>
      <c r="K168" s="1649" t="s">
        <v>982</v>
      </c>
      <c r="Y168" s="526"/>
      <c r="AB168" s="2849"/>
      <c r="AC168" s="2849"/>
      <c r="AD168" s="2849"/>
      <c r="AE168" s="2849"/>
      <c r="AF168" s="2849"/>
      <c r="AG168" s="2849"/>
      <c r="AH168" s="2849"/>
      <c r="AI168" s="1889"/>
      <c r="AK168" s="2859"/>
      <c r="AL168" s="2859"/>
      <c r="AM168" s="2859"/>
      <c r="AN168" s="2859"/>
      <c r="AO168" s="2859"/>
      <c r="AP168" s="2859"/>
      <c r="AQ168" s="2859"/>
    </row>
    <row r="169" spans="1:50" ht="17.25" customHeight="1">
      <c r="A169" s="554"/>
      <c r="Y169" s="526"/>
      <c r="AB169" s="1890"/>
      <c r="AC169" s="1890"/>
      <c r="AD169" s="1890"/>
      <c r="AE169" s="1890"/>
      <c r="AF169" s="1890"/>
      <c r="AG169" s="1890"/>
      <c r="AH169" s="1890"/>
      <c r="AI169" s="1889"/>
      <c r="AJ169" s="1670"/>
    </row>
    <row r="170" spans="1:50" ht="17.25" customHeight="1">
      <c r="A170" s="554"/>
      <c r="C170" s="551" t="s">
        <v>852</v>
      </c>
      <c r="J170" s="1244"/>
      <c r="Y170" s="526"/>
      <c r="AB170" s="2849" t="s">
        <v>983</v>
      </c>
      <c r="AC170" s="2849"/>
      <c r="AD170" s="2849"/>
      <c r="AE170" s="2849"/>
      <c r="AF170" s="2849"/>
      <c r="AG170" s="2849"/>
      <c r="AH170" s="2849"/>
      <c r="AI170" s="1889"/>
      <c r="AJ170" s="1244"/>
      <c r="AK170" s="2849" t="s">
        <v>984</v>
      </c>
      <c r="AL170" s="2849"/>
      <c r="AM170" s="2849"/>
      <c r="AN170" s="2849"/>
      <c r="AO170" s="2849"/>
      <c r="AP170" s="2849"/>
      <c r="AQ170" s="2849"/>
    </row>
    <row r="171" spans="1:50" ht="17.25" customHeight="1">
      <c r="A171" s="554"/>
      <c r="C171" s="1678"/>
      <c r="D171" s="2857" t="s">
        <v>853</v>
      </c>
      <c r="E171" s="2857"/>
      <c r="F171" s="2857"/>
      <c r="G171" s="2857"/>
      <c r="H171" s="2857"/>
      <c r="I171" s="2858"/>
      <c r="J171" s="1878"/>
      <c r="K171" s="1670" t="s">
        <v>609</v>
      </c>
      <c r="Y171" s="526"/>
      <c r="AB171" s="2849"/>
      <c r="AC171" s="2849"/>
      <c r="AD171" s="2849"/>
      <c r="AE171" s="2849"/>
      <c r="AF171" s="2849"/>
      <c r="AG171" s="2849"/>
      <c r="AH171" s="2849"/>
      <c r="AI171" s="1889"/>
      <c r="AJ171" s="1670"/>
      <c r="AK171" s="2849"/>
      <c r="AL171" s="2849"/>
      <c r="AM171" s="2849"/>
      <c r="AN171" s="2849"/>
      <c r="AO171" s="2849"/>
      <c r="AP171" s="2849"/>
      <c r="AQ171" s="2849"/>
    </row>
    <row r="172" spans="1:50" ht="6" customHeight="1">
      <c r="A172" s="554"/>
      <c r="C172" s="1678"/>
      <c r="D172" s="1678"/>
      <c r="E172" s="1678"/>
      <c r="F172" s="1678"/>
      <c r="G172" s="1678"/>
      <c r="H172" s="1672"/>
      <c r="I172" s="1244"/>
      <c r="Y172" s="526"/>
      <c r="AC172" s="1874"/>
      <c r="AD172" s="1874"/>
      <c r="AE172" s="1874"/>
      <c r="AF172" s="1874"/>
      <c r="AG172" s="1874"/>
      <c r="AH172" s="1874"/>
      <c r="AI172" s="1889"/>
      <c r="AJ172" s="1670"/>
    </row>
    <row r="173" spans="1:50" ht="18" customHeight="1">
      <c r="A173" s="554"/>
      <c r="B173" s="551" t="s">
        <v>985</v>
      </c>
      <c r="C173" s="1678"/>
      <c r="D173" s="1678"/>
      <c r="E173" s="1678"/>
      <c r="F173" s="1678"/>
      <c r="G173" s="1678"/>
      <c r="H173" s="1672"/>
      <c r="I173" s="1244"/>
      <c r="Y173" s="526"/>
      <c r="AC173" s="1874"/>
      <c r="AD173" s="1874"/>
      <c r="AE173" s="1874"/>
      <c r="AF173" s="1874"/>
      <c r="AG173" s="1874"/>
      <c r="AH173" s="1874"/>
      <c r="AI173" s="1889"/>
      <c r="AJ173" s="1670"/>
    </row>
    <row r="174" spans="1:50" ht="18" customHeight="1">
      <c r="A174" s="554"/>
      <c r="C174" s="1678"/>
      <c r="D174" s="2653" t="s">
        <v>986</v>
      </c>
      <c r="E174" s="2653"/>
      <c r="F174" s="2653"/>
      <c r="G174" s="2843"/>
      <c r="H174" s="2843"/>
      <c r="I174" s="2843"/>
      <c r="J174" s="527" t="s">
        <v>987</v>
      </c>
      <c r="K174" s="2844" t="str">
        <f>J92</f>
        <v xml:space="preserve"> </v>
      </c>
      <c r="L174" s="2845"/>
      <c r="M174" s="527" t="s">
        <v>988</v>
      </c>
      <c r="N174" s="2663"/>
      <c r="O174" s="2663"/>
      <c r="Y174" s="526"/>
      <c r="AC174" s="1874"/>
      <c r="AD174" s="1874"/>
      <c r="AE174" s="1874"/>
      <c r="AF174" s="1874"/>
      <c r="AG174" s="1874"/>
      <c r="AH174" s="1874"/>
      <c r="AI174" s="1889"/>
      <c r="AJ174" s="1670"/>
    </row>
    <row r="175" spans="1:50" ht="15.75" customHeight="1">
      <c r="A175" s="554"/>
      <c r="B175" s="520" t="s">
        <v>719</v>
      </c>
      <c r="Y175" s="526"/>
      <c r="AD175" s="1891"/>
      <c r="AE175" s="1891"/>
      <c r="AF175" s="1891"/>
      <c r="AG175" s="1891"/>
      <c r="AH175" s="1874"/>
      <c r="AI175" s="1889"/>
    </row>
    <row r="176" spans="1:50" ht="57" customHeight="1">
      <c r="A176" s="554"/>
      <c r="B176" s="2643"/>
      <c r="C176" s="2643"/>
      <c r="D176" s="2643"/>
      <c r="E176" s="2643"/>
      <c r="F176" s="2643"/>
      <c r="G176" s="2643"/>
      <c r="H176" s="2643"/>
      <c r="I176" s="2643"/>
      <c r="J176" s="2643"/>
      <c r="K176" s="2643"/>
      <c r="L176" s="2643"/>
      <c r="M176" s="2643"/>
      <c r="N176" s="2643"/>
      <c r="O176" s="2643"/>
      <c r="P176" s="2643"/>
      <c r="Q176" s="2643"/>
      <c r="R176" s="2643"/>
      <c r="S176" s="2643"/>
      <c r="T176" s="2643"/>
      <c r="U176" s="2643"/>
      <c r="V176" s="2643"/>
      <c r="W176" s="2643"/>
      <c r="X176" s="2643"/>
      <c r="Y176" s="1886"/>
      <c r="AA176" s="1888"/>
      <c r="AI176" s="1889"/>
      <c r="AJ176" s="1888"/>
      <c r="AK176" s="1888"/>
      <c r="AL176" s="1888"/>
      <c r="AM176" s="1888"/>
      <c r="AN176" s="1888"/>
      <c r="AO176" s="1888"/>
      <c r="AP176" s="1888"/>
      <c r="AQ176" s="1888"/>
      <c r="AR176" s="1888"/>
      <c r="AS176" s="1888"/>
      <c r="AT176" s="1888"/>
      <c r="AU176" s="1888"/>
      <c r="AV176" s="1888"/>
      <c r="AW176" s="1888"/>
      <c r="AX176" s="1888"/>
    </row>
    <row r="177" spans="1:35" ht="17.25" customHeight="1" thickBot="1">
      <c r="A177" s="829"/>
      <c r="B177" s="830"/>
      <c r="C177" s="830"/>
      <c r="D177" s="830"/>
      <c r="E177" s="830"/>
      <c r="F177" s="830"/>
      <c r="G177" s="830"/>
      <c r="H177" s="830"/>
      <c r="I177" s="830"/>
      <c r="J177" s="830"/>
      <c r="K177" s="830"/>
      <c r="L177" s="830"/>
      <c r="M177" s="830"/>
      <c r="N177" s="830"/>
      <c r="O177" s="830"/>
      <c r="P177" s="830"/>
      <c r="Q177" s="830"/>
      <c r="R177" s="830"/>
      <c r="S177" s="830"/>
      <c r="T177" s="830"/>
      <c r="U177" s="830"/>
      <c r="V177" s="830"/>
      <c r="W177" s="830"/>
      <c r="X177" s="830"/>
      <c r="Y177" s="831"/>
      <c r="AC177" s="1891"/>
      <c r="AD177" s="1891"/>
      <c r="AE177" s="1891"/>
      <c r="AF177" s="1891"/>
      <c r="AG177" s="1891"/>
      <c r="AH177" s="1892"/>
    </row>
    <row r="178" spans="1:35" ht="17.25" customHeight="1">
      <c r="A178" s="554"/>
      <c r="AI178" s="895"/>
    </row>
    <row r="179" spans="1:35" ht="17.25" customHeight="1">
      <c r="A179" s="554"/>
    </row>
    <row r="180" spans="1:35" ht="17.25" customHeight="1">
      <c r="A180" s="554"/>
      <c r="AI180" s="1889"/>
    </row>
    <row r="181" spans="1:35" ht="17.25" customHeight="1">
      <c r="AF181" s="1244"/>
      <c r="AG181" s="1692"/>
      <c r="AI181" s="1672"/>
    </row>
    <row r="182" spans="1:35" ht="17.25" customHeight="1"/>
    <row r="183" spans="1:35" ht="17.25" customHeight="1">
      <c r="AC183" s="1888"/>
      <c r="AD183" s="1696"/>
      <c r="AE183" s="1696"/>
      <c r="AF183" s="1696"/>
      <c r="AG183" s="1697"/>
      <c r="AH183" s="1889"/>
    </row>
    <row r="184" spans="1:35" ht="17.25" customHeight="1"/>
    <row r="185" spans="1:35" ht="17.25" customHeight="1"/>
    <row r="186" spans="1:35" ht="17.25" customHeight="1"/>
    <row r="187" spans="1:35" ht="17.25" customHeight="1"/>
    <row r="188" spans="1:35" ht="17.25" customHeight="1"/>
    <row r="189" spans="1:35" ht="17.25" customHeight="1"/>
    <row r="190" spans="1:35" ht="17.25" customHeight="1"/>
    <row r="191" spans="1:35" ht="17.25" customHeight="1"/>
    <row r="192" spans="1:35" ht="17.25" customHeight="1"/>
    <row r="193" ht="17.25" customHeight="1"/>
    <row r="194" ht="17.25" customHeight="1"/>
    <row r="195" ht="17.25" customHeight="1"/>
    <row r="196" ht="17.25" customHeight="1"/>
    <row r="197" ht="17.25" customHeight="1"/>
    <row r="198" ht="17.25" customHeight="1"/>
    <row r="199" ht="17.25" customHeight="1"/>
    <row r="200" ht="17.25" customHeight="1"/>
  </sheetData>
  <sheetProtection sheet="1" objects="1" scenarios="1"/>
  <mergeCells count="219">
    <mergeCell ref="AB170:AH171"/>
    <mergeCell ref="D171:I171"/>
    <mergeCell ref="AK167:AQ168"/>
    <mergeCell ref="AK170:AQ171"/>
    <mergeCell ref="M30:Q30"/>
    <mergeCell ref="F30:G30"/>
    <mergeCell ref="I30:L30"/>
    <mergeCell ref="V155:W155"/>
    <mergeCell ref="V156:W156"/>
    <mergeCell ref="V159:W159"/>
    <mergeCell ref="V160:W160"/>
    <mergeCell ref="V163:W163"/>
    <mergeCell ref="V164:W164"/>
    <mergeCell ref="N162:O163"/>
    <mergeCell ref="E119:G119"/>
    <mergeCell ref="B133:G133"/>
    <mergeCell ref="B134:G134"/>
    <mergeCell ref="B135:G135"/>
    <mergeCell ref="B136:G136"/>
    <mergeCell ref="B137:G137"/>
    <mergeCell ref="T134:U134"/>
    <mergeCell ref="T133:U133"/>
    <mergeCell ref="H149:I149"/>
    <mergeCell ref="D129:E129"/>
    <mergeCell ref="AB167:AH168"/>
    <mergeCell ref="C154:C156"/>
    <mergeCell ref="B158:B160"/>
    <mergeCell ref="C158:C160"/>
    <mergeCell ref="N154:N156"/>
    <mergeCell ref="O154:O156"/>
    <mergeCell ref="N158:N160"/>
    <mergeCell ref="O158:O160"/>
    <mergeCell ref="H154:I154"/>
    <mergeCell ref="H155:I155"/>
    <mergeCell ref="H156:I156"/>
    <mergeCell ref="H158:I158"/>
    <mergeCell ref="H159:I159"/>
    <mergeCell ref="H160:I160"/>
    <mergeCell ref="H162:I162"/>
    <mergeCell ref="H163:I163"/>
    <mergeCell ref="S154:T154"/>
    <mergeCell ref="S156:T156"/>
    <mergeCell ref="S160:T160"/>
    <mergeCell ref="S164:T164"/>
    <mergeCell ref="B164:N164"/>
    <mergeCell ref="D130:E130"/>
    <mergeCell ref="G124:H124"/>
    <mergeCell ref="G125:H125"/>
    <mergeCell ref="G126:H126"/>
    <mergeCell ref="G127:H127"/>
    <mergeCell ref="G128:H128"/>
    <mergeCell ref="G129:H129"/>
    <mergeCell ref="G130:H130"/>
    <mergeCell ref="D124:E124"/>
    <mergeCell ref="Q122:R122"/>
    <mergeCell ref="N122:P122"/>
    <mergeCell ref="M121:P121"/>
    <mergeCell ref="D125:E125"/>
    <mergeCell ref="D126:E126"/>
    <mergeCell ref="D127:E127"/>
    <mergeCell ref="D128:E128"/>
    <mergeCell ref="M124:N124"/>
    <mergeCell ref="M125:N125"/>
    <mergeCell ref="M126:N126"/>
    <mergeCell ref="M127:N127"/>
    <mergeCell ref="M128:N128"/>
    <mergeCell ref="G122:H122"/>
    <mergeCell ref="D121:E122"/>
    <mergeCell ref="H113:I113"/>
    <mergeCell ref="B113:G113"/>
    <mergeCell ref="B114:G114"/>
    <mergeCell ref="B115:G115"/>
    <mergeCell ref="T101:U101"/>
    <mergeCell ref="T102:U102"/>
    <mergeCell ref="G92:I92"/>
    <mergeCell ref="J92:K92"/>
    <mergeCell ref="H95:M95"/>
    <mergeCell ref="T96:U96"/>
    <mergeCell ref="T97:U97"/>
    <mergeCell ref="T98:U98"/>
    <mergeCell ref="T99:U99"/>
    <mergeCell ref="T100:U100"/>
    <mergeCell ref="J96:K96"/>
    <mergeCell ref="J97:K97"/>
    <mergeCell ref="J98:K98"/>
    <mergeCell ref="J99:K99"/>
    <mergeCell ref="J100:K100"/>
    <mergeCell ref="J101:K101"/>
    <mergeCell ref="U108:X109"/>
    <mergeCell ref="H105:I105"/>
    <mergeCell ref="B96:D96"/>
    <mergeCell ref="B97:D97"/>
    <mergeCell ref="B176:X176"/>
    <mergeCell ref="S162:T162"/>
    <mergeCell ref="S163:T163"/>
    <mergeCell ref="K143:L143"/>
    <mergeCell ref="B146:X146"/>
    <mergeCell ref="S155:T155"/>
    <mergeCell ref="S158:T158"/>
    <mergeCell ref="S159:T159"/>
    <mergeCell ref="C143:D143"/>
    <mergeCell ref="E143:F143"/>
    <mergeCell ref="H150:I150"/>
    <mergeCell ref="H151:I151"/>
    <mergeCell ref="B154:B156"/>
    <mergeCell ref="B162:C163"/>
    <mergeCell ref="D174:F174"/>
    <mergeCell ref="G174:I174"/>
    <mergeCell ref="K174:L174"/>
    <mergeCell ref="N174:O174"/>
    <mergeCell ref="K140:L140"/>
    <mergeCell ref="C141:D141"/>
    <mergeCell ref="E141:F141"/>
    <mergeCell ref="K141:L141"/>
    <mergeCell ref="R141:T141"/>
    <mergeCell ref="C142:D142"/>
    <mergeCell ref="E142:F142"/>
    <mergeCell ref="K142:L142"/>
    <mergeCell ref="H135:I135"/>
    <mergeCell ref="K135:L135"/>
    <mergeCell ref="M135:N135"/>
    <mergeCell ref="H136:I136"/>
    <mergeCell ref="K136:L136"/>
    <mergeCell ref="M136:N136"/>
    <mergeCell ref="H137:I137"/>
    <mergeCell ref="C140:D140"/>
    <mergeCell ref="E140:F140"/>
    <mergeCell ref="H133:I133"/>
    <mergeCell ref="K133:L133"/>
    <mergeCell ref="M133:N133"/>
    <mergeCell ref="H134:I134"/>
    <mergeCell ref="K134:L134"/>
    <mergeCell ref="M134:N134"/>
    <mergeCell ref="H114:I114"/>
    <mergeCell ref="H115:I115"/>
    <mergeCell ref="H116:I116"/>
    <mergeCell ref="N114:O114"/>
    <mergeCell ref="N115:O115"/>
    <mergeCell ref="K114:L114"/>
    <mergeCell ref="K115:L115"/>
    <mergeCell ref="H119:I119"/>
    <mergeCell ref="L119:M119"/>
    <mergeCell ref="M129:N129"/>
    <mergeCell ref="M130:N130"/>
    <mergeCell ref="E101:F101"/>
    <mergeCell ref="B98:D98"/>
    <mergeCell ref="B99:D99"/>
    <mergeCell ref="B100:D100"/>
    <mergeCell ref="J102:K102"/>
    <mergeCell ref="S95:W95"/>
    <mergeCell ref="N106:O106"/>
    <mergeCell ref="N107:O107"/>
    <mergeCell ref="N108:O108"/>
    <mergeCell ref="E97:F97"/>
    <mergeCell ref="B105:G105"/>
    <mergeCell ref="B108:G108"/>
    <mergeCell ref="B109:G109"/>
    <mergeCell ref="B110:G110"/>
    <mergeCell ref="B106:E106"/>
    <mergeCell ref="H106:I106"/>
    <mergeCell ref="H107:I107"/>
    <mergeCell ref="H108:I108"/>
    <mergeCell ref="H109:I109"/>
    <mergeCell ref="H110:I110"/>
    <mergeCell ref="D63:H63"/>
    <mergeCell ref="I63:R63"/>
    <mergeCell ref="B65:H65"/>
    <mergeCell ref="I65:X65"/>
    <mergeCell ref="G67:J67"/>
    <mergeCell ref="K106:L106"/>
    <mergeCell ref="K107:L107"/>
    <mergeCell ref="K108:L108"/>
    <mergeCell ref="B90:D90"/>
    <mergeCell ref="E90:H90"/>
    <mergeCell ref="P92:X92"/>
    <mergeCell ref="E96:F96"/>
    <mergeCell ref="V104:W104"/>
    <mergeCell ref="E98:F98"/>
    <mergeCell ref="E99:F99"/>
    <mergeCell ref="E100:F100"/>
    <mergeCell ref="G60:R60"/>
    <mergeCell ref="G61:L61"/>
    <mergeCell ref="M61:O61"/>
    <mergeCell ref="P61:S61"/>
    <mergeCell ref="U61:Y61"/>
    <mergeCell ref="C54:G54"/>
    <mergeCell ref="A57:X57"/>
    <mergeCell ref="H39:W39"/>
    <mergeCell ref="J47:N47"/>
    <mergeCell ref="J48:N48"/>
    <mergeCell ref="J49:N49"/>
    <mergeCell ref="Q51:V51"/>
    <mergeCell ref="Q52:V52"/>
    <mergeCell ref="C53:G53"/>
    <mergeCell ref="Q53:V53"/>
    <mergeCell ref="F37:I37"/>
    <mergeCell ref="A39:G39"/>
    <mergeCell ref="L35:O35"/>
    <mergeCell ref="U34:W34"/>
    <mergeCell ref="A28:C28"/>
    <mergeCell ref="D28:G28"/>
    <mergeCell ref="D32:G32"/>
    <mergeCell ref="L32:O32"/>
    <mergeCell ref="U32:W32"/>
    <mergeCell ref="D33:G33"/>
    <mergeCell ref="L33:O33"/>
    <mergeCell ref="D34:G34"/>
    <mergeCell ref="L34:O34"/>
    <mergeCell ref="Q34:S34"/>
    <mergeCell ref="A4:G4"/>
    <mergeCell ref="H4:W4"/>
    <mergeCell ref="F1:Q1"/>
    <mergeCell ref="F2:K2"/>
    <mergeCell ref="L2:N2"/>
    <mergeCell ref="O2:R2"/>
    <mergeCell ref="T2:X2"/>
    <mergeCell ref="D35:G35"/>
    <mergeCell ref="Q35:S35"/>
    <mergeCell ref="U35:W35"/>
  </mergeCells>
  <dataValidations disablePrompts="1" count="2">
    <dataValidation allowBlank="1" showInputMessage="1" showErrorMessage="1" prompt="Data from &quot;Field Sheet&quot;_x000a_" sqref="E100:F100 J92:K92" xr:uid="{0581D687-5298-468B-B1BF-6F2A5A8229AC}"/>
    <dataValidation allowBlank="1" showInputMessage="1" showErrorMessage="1" prompt="Data from &quot;Field Sheet&quot;" sqref="P92:X92" xr:uid="{FB2530C3-08FC-4665-B831-A7F3A025EE78}"/>
  </dataValidations>
  <pageMargins left="0.4" right="0.15" top="0.4" bottom="0.4" header="0.5" footer="0.5"/>
  <pageSetup scale="87" fitToHeight="4" orientation="portrait" blackAndWhite="1" r:id="rId1"/>
  <headerFooter alignWithMargins="0"/>
  <rowBreaks count="2" manualBreakCount="2">
    <brk id="58" max="24" man="1"/>
    <brk id="138" max="24" man="1"/>
  </rowBreaks>
  <ignoredErrors>
    <ignoredError sqref="H105"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140033" r:id="rId4" name="Check Box 1">
              <controlPr defaultSize="0" autoFill="0" autoLine="0" autoPict="0">
                <anchor moveWithCells="1" sizeWithCells="1">
                  <from>
                    <xdr:col>7</xdr:col>
                    <xdr:colOff>38100</xdr:colOff>
                    <xdr:row>50</xdr:row>
                    <xdr:rowOff>171450</xdr:rowOff>
                  </from>
                  <to>
                    <xdr:col>11</xdr:col>
                    <xdr:colOff>200025</xdr:colOff>
                    <xdr:row>52</xdr:row>
                    <xdr:rowOff>19050</xdr:rowOff>
                  </to>
                </anchor>
              </controlPr>
            </control>
          </mc:Choice>
        </mc:AlternateContent>
        <mc:AlternateContent xmlns:mc="http://schemas.openxmlformats.org/markup-compatibility/2006">
          <mc:Choice Requires="x14">
            <control shapeId="4140034" r:id="rId5" name="Check Box 2">
              <controlPr defaultSize="0" autoFill="0" autoLine="0" autoPict="0">
                <anchor moveWithCells="1" sizeWithCells="1">
                  <from>
                    <xdr:col>7</xdr:col>
                    <xdr:colOff>38100</xdr:colOff>
                    <xdr:row>51</xdr:row>
                    <xdr:rowOff>161925</xdr:rowOff>
                  </from>
                  <to>
                    <xdr:col>11</xdr:col>
                    <xdr:colOff>133350</xdr:colOff>
                    <xdr:row>53</xdr:row>
                    <xdr:rowOff>9525</xdr:rowOff>
                  </to>
                </anchor>
              </controlPr>
            </control>
          </mc:Choice>
        </mc:AlternateContent>
        <mc:AlternateContent xmlns:mc="http://schemas.openxmlformats.org/markup-compatibility/2006">
          <mc:Choice Requires="x14">
            <control shapeId="4140035" r:id="rId6" name="Check Box 3">
              <controlPr defaultSize="0" autoFill="0" autoLine="0" autoPict="0">
                <anchor moveWithCells="1" sizeWithCells="1">
                  <from>
                    <xdr:col>7</xdr:col>
                    <xdr:colOff>38100</xdr:colOff>
                    <xdr:row>52</xdr:row>
                    <xdr:rowOff>200025</xdr:rowOff>
                  </from>
                  <to>
                    <xdr:col>11</xdr:col>
                    <xdr:colOff>104775</xdr:colOff>
                    <xdr:row>53</xdr:row>
                    <xdr:rowOff>180975</xdr:rowOff>
                  </to>
                </anchor>
              </controlPr>
            </control>
          </mc:Choice>
        </mc:AlternateContent>
        <mc:AlternateContent xmlns:mc="http://schemas.openxmlformats.org/markup-compatibility/2006">
          <mc:Choice Requires="x14">
            <control shapeId="4140036" r:id="rId7" name="Check Box 4">
              <controlPr defaultSize="0" autoFill="0" autoLine="0" autoPict="0">
                <anchor moveWithCells="1" sizeWithCells="1">
                  <from>
                    <xdr:col>7</xdr:col>
                    <xdr:colOff>38100</xdr:colOff>
                    <xdr:row>53</xdr:row>
                    <xdr:rowOff>190500</xdr:rowOff>
                  </from>
                  <to>
                    <xdr:col>14</xdr:col>
                    <xdr:colOff>9525</xdr:colOff>
                    <xdr:row>54</xdr:row>
                    <xdr:rowOff>180975</xdr:rowOff>
                  </to>
                </anchor>
              </controlPr>
            </control>
          </mc:Choice>
        </mc:AlternateContent>
        <mc:AlternateContent xmlns:mc="http://schemas.openxmlformats.org/markup-compatibility/2006">
          <mc:Choice Requires="x14">
            <control shapeId="4140037" r:id="rId8" name="Check Box 5">
              <controlPr defaultSize="0" autoFill="0" autoLine="0" autoPict="0">
                <anchor moveWithCells="1" sizeWithCells="1">
                  <from>
                    <xdr:col>8</xdr:col>
                    <xdr:colOff>161925</xdr:colOff>
                    <xdr:row>26</xdr:row>
                    <xdr:rowOff>66675</xdr:rowOff>
                  </from>
                  <to>
                    <xdr:col>12</xdr:col>
                    <xdr:colOff>28575</xdr:colOff>
                    <xdr:row>28</xdr:row>
                    <xdr:rowOff>28575</xdr:rowOff>
                  </to>
                </anchor>
              </controlPr>
            </control>
          </mc:Choice>
        </mc:AlternateContent>
        <mc:AlternateContent xmlns:mc="http://schemas.openxmlformats.org/markup-compatibility/2006">
          <mc:Choice Requires="x14">
            <control shapeId="4140038" r:id="rId9" name="Check Box 6">
              <controlPr defaultSize="0" autoFill="0" autoLine="0" autoPict="0">
                <anchor moveWithCells="1" sizeWithCells="1">
                  <from>
                    <xdr:col>12</xdr:col>
                    <xdr:colOff>85725</xdr:colOff>
                    <xdr:row>26</xdr:row>
                    <xdr:rowOff>47625</xdr:rowOff>
                  </from>
                  <to>
                    <xdr:col>16</xdr:col>
                    <xdr:colOff>142875</xdr:colOff>
                    <xdr:row>28</xdr:row>
                    <xdr:rowOff>28575</xdr:rowOff>
                  </to>
                </anchor>
              </controlPr>
            </control>
          </mc:Choice>
        </mc:AlternateContent>
        <mc:AlternateContent xmlns:mc="http://schemas.openxmlformats.org/markup-compatibility/2006">
          <mc:Choice Requires="x14">
            <control shapeId="4140039" r:id="rId10" name="Check Box 7">
              <controlPr defaultSize="0" autoFill="0" autoLine="0" autoPict="0">
                <anchor moveWithCells="1">
                  <from>
                    <xdr:col>14</xdr:col>
                    <xdr:colOff>28575</xdr:colOff>
                    <xdr:row>52</xdr:row>
                    <xdr:rowOff>47625</xdr:rowOff>
                  </from>
                  <to>
                    <xdr:col>16</xdr:col>
                    <xdr:colOff>0</xdr:colOff>
                    <xdr:row>52</xdr:row>
                    <xdr:rowOff>228600</xdr:rowOff>
                  </to>
                </anchor>
              </controlPr>
            </control>
          </mc:Choice>
        </mc:AlternateContent>
        <mc:AlternateContent xmlns:mc="http://schemas.openxmlformats.org/markup-compatibility/2006">
          <mc:Choice Requires="x14">
            <control shapeId="4140040" r:id="rId11" name="Check Box 8">
              <controlPr defaultSize="0" autoFill="0" autoLine="0" autoPict="0">
                <anchor moveWithCells="1" sizeWithCells="1">
                  <from>
                    <xdr:col>14</xdr:col>
                    <xdr:colOff>28575</xdr:colOff>
                    <xdr:row>42</xdr:row>
                    <xdr:rowOff>28575</xdr:rowOff>
                  </from>
                  <to>
                    <xdr:col>18</xdr:col>
                    <xdr:colOff>66675</xdr:colOff>
                    <xdr:row>43</xdr:row>
                    <xdr:rowOff>66675</xdr:rowOff>
                  </to>
                </anchor>
              </controlPr>
            </control>
          </mc:Choice>
        </mc:AlternateContent>
        <mc:AlternateContent xmlns:mc="http://schemas.openxmlformats.org/markup-compatibility/2006">
          <mc:Choice Requires="x14">
            <control shapeId="4140041" r:id="rId12" name="Check Box 9">
              <controlPr defaultSize="0" autoFill="0" autoLine="0" autoPict="0">
                <anchor moveWithCells="1" sizeWithCells="1">
                  <from>
                    <xdr:col>14</xdr:col>
                    <xdr:colOff>28575</xdr:colOff>
                    <xdr:row>43</xdr:row>
                    <xdr:rowOff>133350</xdr:rowOff>
                  </from>
                  <to>
                    <xdr:col>21</xdr:col>
                    <xdr:colOff>28575</xdr:colOff>
                    <xdr:row>44</xdr:row>
                    <xdr:rowOff>133350</xdr:rowOff>
                  </to>
                </anchor>
              </controlPr>
            </control>
          </mc:Choice>
        </mc:AlternateContent>
        <mc:AlternateContent xmlns:mc="http://schemas.openxmlformats.org/markup-compatibility/2006">
          <mc:Choice Requires="x14">
            <control shapeId="4140042" r:id="rId13" name="Check Box 10">
              <controlPr defaultSize="0" autoFill="0" autoLine="0" autoPict="0">
                <anchor moveWithCells="1" sizeWithCells="1">
                  <from>
                    <xdr:col>14</xdr:col>
                    <xdr:colOff>28575</xdr:colOff>
                    <xdr:row>45</xdr:row>
                    <xdr:rowOff>0</xdr:rowOff>
                  </from>
                  <to>
                    <xdr:col>20</xdr:col>
                    <xdr:colOff>114300</xdr:colOff>
                    <xdr:row>46</xdr:row>
                    <xdr:rowOff>38100</xdr:rowOff>
                  </to>
                </anchor>
              </controlPr>
            </control>
          </mc:Choice>
        </mc:AlternateContent>
        <mc:AlternateContent xmlns:mc="http://schemas.openxmlformats.org/markup-compatibility/2006">
          <mc:Choice Requires="x14">
            <control shapeId="4140043" r:id="rId14" name="Check Box 11">
              <controlPr defaultSize="0" autoFill="0" autoLine="0" autoPict="0">
                <anchor moveWithCells="1" sizeWithCells="1">
                  <from>
                    <xdr:col>14</xdr:col>
                    <xdr:colOff>28575</xdr:colOff>
                    <xdr:row>46</xdr:row>
                    <xdr:rowOff>9525</xdr:rowOff>
                  </from>
                  <to>
                    <xdr:col>20</xdr:col>
                    <xdr:colOff>104775</xdr:colOff>
                    <xdr:row>47</xdr:row>
                    <xdr:rowOff>85725</xdr:rowOff>
                  </to>
                </anchor>
              </controlPr>
            </control>
          </mc:Choice>
        </mc:AlternateContent>
        <mc:AlternateContent xmlns:mc="http://schemas.openxmlformats.org/markup-compatibility/2006">
          <mc:Choice Requires="x14">
            <control shapeId="4140044" r:id="rId15" name="Check Box 12">
              <controlPr defaultSize="0" autoFill="0" autoLine="0" autoPict="0">
                <anchor moveWithCells="1" sizeWithCells="1">
                  <from>
                    <xdr:col>14</xdr:col>
                    <xdr:colOff>28575</xdr:colOff>
                    <xdr:row>47</xdr:row>
                    <xdr:rowOff>66675</xdr:rowOff>
                  </from>
                  <to>
                    <xdr:col>19</xdr:col>
                    <xdr:colOff>152400</xdr:colOff>
                    <xdr:row>48</xdr:row>
                    <xdr:rowOff>123825</xdr:rowOff>
                  </to>
                </anchor>
              </controlPr>
            </control>
          </mc:Choice>
        </mc:AlternateContent>
        <mc:AlternateContent xmlns:mc="http://schemas.openxmlformats.org/markup-compatibility/2006">
          <mc:Choice Requires="x14">
            <control shapeId="4140045" r:id="rId16" name="Check Box 13">
              <controlPr defaultSize="0" autoFill="0" autoLine="0" autoPict="0">
                <anchor moveWithCells="1" sizeWithCells="1">
                  <from>
                    <xdr:col>14</xdr:col>
                    <xdr:colOff>28575</xdr:colOff>
                    <xdr:row>48</xdr:row>
                    <xdr:rowOff>123825</xdr:rowOff>
                  </from>
                  <to>
                    <xdr:col>19</xdr:col>
                    <xdr:colOff>190500</xdr:colOff>
                    <xdr:row>50</xdr:row>
                    <xdr:rowOff>0</xdr:rowOff>
                  </to>
                </anchor>
              </controlPr>
            </control>
          </mc:Choice>
        </mc:AlternateContent>
        <mc:AlternateContent xmlns:mc="http://schemas.openxmlformats.org/markup-compatibility/2006">
          <mc:Choice Requires="x14">
            <control shapeId="4140046" r:id="rId17" name="Check Box 14">
              <controlPr defaultSize="0" autoFill="0" autoLine="0" autoPict="0">
                <anchor moveWithCells="1">
                  <from>
                    <xdr:col>14</xdr:col>
                    <xdr:colOff>28575</xdr:colOff>
                    <xdr:row>50</xdr:row>
                    <xdr:rowOff>9525</xdr:rowOff>
                  </from>
                  <to>
                    <xdr:col>16</xdr:col>
                    <xdr:colOff>0</xdr:colOff>
                    <xdr:row>51</xdr:row>
                    <xdr:rowOff>0</xdr:rowOff>
                  </to>
                </anchor>
              </controlPr>
            </control>
          </mc:Choice>
        </mc:AlternateContent>
        <mc:AlternateContent xmlns:mc="http://schemas.openxmlformats.org/markup-compatibility/2006">
          <mc:Choice Requires="x14">
            <control shapeId="4140047" r:id="rId18" name="Check Box 15">
              <controlPr defaultSize="0" autoFill="0" autoLine="0" autoPict="0">
                <anchor moveWithCells="1">
                  <from>
                    <xdr:col>14</xdr:col>
                    <xdr:colOff>28575</xdr:colOff>
                    <xdr:row>51</xdr:row>
                    <xdr:rowOff>38100</xdr:rowOff>
                  </from>
                  <to>
                    <xdr:col>16</xdr:col>
                    <xdr:colOff>0</xdr:colOff>
                    <xdr:row>52</xdr:row>
                    <xdr:rowOff>0</xdr:rowOff>
                  </to>
                </anchor>
              </controlPr>
            </control>
          </mc:Choice>
        </mc:AlternateContent>
        <mc:AlternateContent xmlns:mc="http://schemas.openxmlformats.org/markup-compatibility/2006">
          <mc:Choice Requires="x14">
            <control shapeId="4140048" r:id="rId19" name="Check Box 16">
              <controlPr defaultSize="0" autoFill="0" autoLine="0" autoPict="0">
                <anchor moveWithCells="1" sizeWithCells="1">
                  <from>
                    <xdr:col>7</xdr:col>
                    <xdr:colOff>0</xdr:colOff>
                    <xdr:row>42</xdr:row>
                    <xdr:rowOff>47625</xdr:rowOff>
                  </from>
                  <to>
                    <xdr:col>10</xdr:col>
                    <xdr:colOff>28575</xdr:colOff>
                    <xdr:row>43</xdr:row>
                    <xdr:rowOff>123825</xdr:rowOff>
                  </to>
                </anchor>
              </controlPr>
            </control>
          </mc:Choice>
        </mc:AlternateContent>
        <mc:AlternateContent xmlns:mc="http://schemas.openxmlformats.org/markup-compatibility/2006">
          <mc:Choice Requires="x14">
            <control shapeId="4140049" r:id="rId20" name="Check Box 17">
              <controlPr defaultSize="0" autoFill="0" autoLine="0" autoPict="0">
                <anchor moveWithCells="1" sizeWithCells="1">
                  <from>
                    <xdr:col>7</xdr:col>
                    <xdr:colOff>0</xdr:colOff>
                    <xdr:row>43</xdr:row>
                    <xdr:rowOff>104775</xdr:rowOff>
                  </from>
                  <to>
                    <xdr:col>11</xdr:col>
                    <xdr:colOff>180975</xdr:colOff>
                    <xdr:row>44</xdr:row>
                    <xdr:rowOff>133350</xdr:rowOff>
                  </to>
                </anchor>
              </controlPr>
            </control>
          </mc:Choice>
        </mc:AlternateContent>
        <mc:AlternateContent xmlns:mc="http://schemas.openxmlformats.org/markup-compatibility/2006">
          <mc:Choice Requires="x14">
            <control shapeId="4140050" r:id="rId21" name="Check Box 18">
              <controlPr defaultSize="0" autoFill="0" autoLine="0" autoPict="0">
                <anchor moveWithCells="1" sizeWithCells="1">
                  <from>
                    <xdr:col>7</xdr:col>
                    <xdr:colOff>0</xdr:colOff>
                    <xdr:row>44</xdr:row>
                    <xdr:rowOff>161925</xdr:rowOff>
                  </from>
                  <to>
                    <xdr:col>9</xdr:col>
                    <xdr:colOff>266700</xdr:colOff>
                    <xdr:row>46</xdr:row>
                    <xdr:rowOff>19050</xdr:rowOff>
                  </to>
                </anchor>
              </controlPr>
            </control>
          </mc:Choice>
        </mc:AlternateContent>
        <mc:AlternateContent xmlns:mc="http://schemas.openxmlformats.org/markup-compatibility/2006">
          <mc:Choice Requires="x14">
            <control shapeId="4140051" r:id="rId22" name="Check Box 19">
              <controlPr defaultSize="0" autoFill="0" autoLine="0" autoPict="0">
                <anchor moveWithCells="1">
                  <from>
                    <xdr:col>7</xdr:col>
                    <xdr:colOff>0</xdr:colOff>
                    <xdr:row>46</xdr:row>
                    <xdr:rowOff>28575</xdr:rowOff>
                  </from>
                  <to>
                    <xdr:col>8</xdr:col>
                    <xdr:colOff>247650</xdr:colOff>
                    <xdr:row>47</xdr:row>
                    <xdr:rowOff>19050</xdr:rowOff>
                  </to>
                </anchor>
              </controlPr>
            </control>
          </mc:Choice>
        </mc:AlternateContent>
        <mc:AlternateContent xmlns:mc="http://schemas.openxmlformats.org/markup-compatibility/2006">
          <mc:Choice Requires="x14">
            <control shapeId="4140052" r:id="rId23" name="Check Box 20">
              <controlPr defaultSize="0" autoFill="0" autoLine="0" autoPict="0">
                <anchor moveWithCells="1">
                  <from>
                    <xdr:col>7</xdr:col>
                    <xdr:colOff>0</xdr:colOff>
                    <xdr:row>47</xdr:row>
                    <xdr:rowOff>57150</xdr:rowOff>
                  </from>
                  <to>
                    <xdr:col>8</xdr:col>
                    <xdr:colOff>247650</xdr:colOff>
                    <xdr:row>48</xdr:row>
                    <xdr:rowOff>47625</xdr:rowOff>
                  </to>
                </anchor>
              </controlPr>
            </control>
          </mc:Choice>
        </mc:AlternateContent>
        <mc:AlternateContent xmlns:mc="http://schemas.openxmlformats.org/markup-compatibility/2006">
          <mc:Choice Requires="x14">
            <control shapeId="4140053" r:id="rId24" name="Check Box 21">
              <controlPr defaultSize="0" autoFill="0" autoLine="0" autoPict="0">
                <anchor moveWithCells="1" sizeWithCells="1">
                  <from>
                    <xdr:col>0</xdr:col>
                    <xdr:colOff>0</xdr:colOff>
                    <xdr:row>42</xdr:row>
                    <xdr:rowOff>0</xdr:rowOff>
                  </from>
                  <to>
                    <xdr:col>7</xdr:col>
                    <xdr:colOff>0</xdr:colOff>
                    <xdr:row>43</xdr:row>
                    <xdr:rowOff>28575</xdr:rowOff>
                  </to>
                </anchor>
              </controlPr>
            </control>
          </mc:Choice>
        </mc:AlternateContent>
        <mc:AlternateContent xmlns:mc="http://schemas.openxmlformats.org/markup-compatibility/2006">
          <mc:Choice Requires="x14">
            <control shapeId="4140054" r:id="rId25" name="Check Box 22">
              <controlPr defaultSize="0" autoFill="0" autoLine="0" autoPict="0">
                <anchor moveWithCells="1" sizeWithCells="1">
                  <from>
                    <xdr:col>0</xdr:col>
                    <xdr:colOff>0</xdr:colOff>
                    <xdr:row>43</xdr:row>
                    <xdr:rowOff>66675</xdr:rowOff>
                  </from>
                  <to>
                    <xdr:col>7</xdr:col>
                    <xdr:colOff>0</xdr:colOff>
                    <xdr:row>44</xdr:row>
                    <xdr:rowOff>85725</xdr:rowOff>
                  </to>
                </anchor>
              </controlPr>
            </control>
          </mc:Choice>
        </mc:AlternateContent>
        <mc:AlternateContent xmlns:mc="http://schemas.openxmlformats.org/markup-compatibility/2006">
          <mc:Choice Requires="x14">
            <control shapeId="4140055" r:id="rId26" name="Check Box 23">
              <controlPr defaultSize="0" autoFill="0" autoLine="0" autoPict="0">
                <anchor moveWithCells="1" sizeWithCells="1">
                  <from>
                    <xdr:col>0</xdr:col>
                    <xdr:colOff>0</xdr:colOff>
                    <xdr:row>44</xdr:row>
                    <xdr:rowOff>114300</xdr:rowOff>
                  </from>
                  <to>
                    <xdr:col>7</xdr:col>
                    <xdr:colOff>0</xdr:colOff>
                    <xdr:row>45</xdr:row>
                    <xdr:rowOff>142875</xdr:rowOff>
                  </to>
                </anchor>
              </controlPr>
            </control>
          </mc:Choice>
        </mc:AlternateContent>
        <mc:AlternateContent xmlns:mc="http://schemas.openxmlformats.org/markup-compatibility/2006">
          <mc:Choice Requires="x14">
            <control shapeId="4140056" r:id="rId27" name="Check Box 24">
              <controlPr defaultSize="0" autoFill="0" autoLine="0" autoPict="0">
                <anchor moveWithCells="1" sizeWithCells="1">
                  <from>
                    <xdr:col>0</xdr:col>
                    <xdr:colOff>0</xdr:colOff>
                    <xdr:row>45</xdr:row>
                    <xdr:rowOff>180975</xdr:rowOff>
                  </from>
                  <to>
                    <xdr:col>7</xdr:col>
                    <xdr:colOff>0</xdr:colOff>
                    <xdr:row>47</xdr:row>
                    <xdr:rowOff>9525</xdr:rowOff>
                  </to>
                </anchor>
              </controlPr>
            </control>
          </mc:Choice>
        </mc:AlternateContent>
        <mc:AlternateContent xmlns:mc="http://schemas.openxmlformats.org/markup-compatibility/2006">
          <mc:Choice Requires="x14">
            <control shapeId="4140057" r:id="rId28" name="Check Box 25">
              <controlPr defaultSize="0" autoFill="0" autoLine="0" autoPict="0">
                <anchor moveWithCells="1" sizeWithCells="1">
                  <from>
                    <xdr:col>0</xdr:col>
                    <xdr:colOff>0</xdr:colOff>
                    <xdr:row>47</xdr:row>
                    <xdr:rowOff>38100</xdr:rowOff>
                  </from>
                  <to>
                    <xdr:col>7</xdr:col>
                    <xdr:colOff>0</xdr:colOff>
                    <xdr:row>48</xdr:row>
                    <xdr:rowOff>66675</xdr:rowOff>
                  </to>
                </anchor>
              </controlPr>
            </control>
          </mc:Choice>
        </mc:AlternateContent>
        <mc:AlternateContent xmlns:mc="http://schemas.openxmlformats.org/markup-compatibility/2006">
          <mc:Choice Requires="x14">
            <control shapeId="4140058" r:id="rId29" name="Check Box 26">
              <controlPr defaultSize="0" autoFill="0" autoLine="0" autoPict="0">
                <anchor moveWithCells="1" sizeWithCells="1">
                  <from>
                    <xdr:col>0</xdr:col>
                    <xdr:colOff>0</xdr:colOff>
                    <xdr:row>48</xdr:row>
                    <xdr:rowOff>104775</xdr:rowOff>
                  </from>
                  <to>
                    <xdr:col>7</xdr:col>
                    <xdr:colOff>0</xdr:colOff>
                    <xdr:row>49</xdr:row>
                    <xdr:rowOff>123825</xdr:rowOff>
                  </to>
                </anchor>
              </controlPr>
            </control>
          </mc:Choice>
        </mc:AlternateContent>
        <mc:AlternateContent xmlns:mc="http://schemas.openxmlformats.org/markup-compatibility/2006">
          <mc:Choice Requires="x14">
            <control shapeId="4140059" r:id="rId30" name="Check Box 27">
              <controlPr defaultSize="0" autoFill="0" autoLine="0" autoPict="0">
                <anchor moveWithCells="1" sizeWithCells="1">
                  <from>
                    <xdr:col>0</xdr:col>
                    <xdr:colOff>0</xdr:colOff>
                    <xdr:row>49</xdr:row>
                    <xdr:rowOff>152400</xdr:rowOff>
                  </from>
                  <to>
                    <xdr:col>7</xdr:col>
                    <xdr:colOff>0</xdr:colOff>
                    <xdr:row>50</xdr:row>
                    <xdr:rowOff>180975</xdr:rowOff>
                  </to>
                </anchor>
              </controlPr>
            </control>
          </mc:Choice>
        </mc:AlternateContent>
        <mc:AlternateContent xmlns:mc="http://schemas.openxmlformats.org/markup-compatibility/2006">
          <mc:Choice Requires="x14">
            <control shapeId="4140060" r:id="rId31" name="Check Box 28">
              <controlPr defaultSize="0" autoFill="0" autoLine="0" autoPict="0">
                <anchor moveWithCells="1" sizeWithCells="1">
                  <from>
                    <xdr:col>0</xdr:col>
                    <xdr:colOff>0</xdr:colOff>
                    <xdr:row>50</xdr:row>
                    <xdr:rowOff>152400</xdr:rowOff>
                  </from>
                  <to>
                    <xdr:col>7</xdr:col>
                    <xdr:colOff>0</xdr:colOff>
                    <xdr:row>52</xdr:row>
                    <xdr:rowOff>9525</xdr:rowOff>
                  </to>
                </anchor>
              </controlPr>
            </control>
          </mc:Choice>
        </mc:AlternateContent>
        <mc:AlternateContent xmlns:mc="http://schemas.openxmlformats.org/markup-compatibility/2006">
          <mc:Choice Requires="x14">
            <control shapeId="4140061" r:id="rId32" name="Check Box 29">
              <controlPr defaultSize="0" autoFill="0" autoLine="0" autoPict="0">
                <anchor moveWithCells="1">
                  <from>
                    <xdr:col>0</xdr:col>
                    <xdr:colOff>0</xdr:colOff>
                    <xdr:row>52</xdr:row>
                    <xdr:rowOff>28575</xdr:rowOff>
                  </from>
                  <to>
                    <xdr:col>1</xdr:col>
                    <xdr:colOff>247650</xdr:colOff>
                    <xdr:row>52</xdr:row>
                    <xdr:rowOff>209550</xdr:rowOff>
                  </to>
                </anchor>
              </controlPr>
            </control>
          </mc:Choice>
        </mc:AlternateContent>
        <mc:AlternateContent xmlns:mc="http://schemas.openxmlformats.org/markup-compatibility/2006">
          <mc:Choice Requires="x14">
            <control shapeId="4140062" r:id="rId33" name="Check Box 30">
              <controlPr defaultSize="0" autoFill="0" autoLine="0" autoPict="0">
                <anchor moveWithCells="1">
                  <from>
                    <xdr:col>0</xdr:col>
                    <xdr:colOff>0</xdr:colOff>
                    <xdr:row>53</xdr:row>
                    <xdr:rowOff>28575</xdr:rowOff>
                  </from>
                  <to>
                    <xdr:col>1</xdr:col>
                    <xdr:colOff>247650</xdr:colOff>
                    <xdr:row>54</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ST - Septic Tank_x000a_HT Holding Tank_x000a_" xr:uid="{E80981A5-8EED-4C44-92FA-EEEF5A7DDF89}">
          <x14:formula1>
            <xm:f>'Drop-Down Lists'!$CF$2:$CF$3</xm:f>
          </x14:formula1>
          <xm:sqref>N154 B154 B158 N158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tabColor rgb="FFFFFF00"/>
    <pageSetUpPr autoPageBreaks="0"/>
  </sheetPr>
  <dimension ref="A1:BG223"/>
  <sheetViews>
    <sheetView showGridLines="0" showRuler="0" view="pageBreakPreview" zoomScaleNormal="100" zoomScaleSheetLayoutView="100" workbookViewId="0">
      <selection activeCell="S5" sqref="S5:U5"/>
    </sheetView>
  </sheetViews>
  <sheetFormatPr defaultColWidth="9.140625" defaultRowHeight="14.1" customHeight="1"/>
  <cols>
    <col min="1" max="1" width="1.140625" style="1" customWidth="1"/>
    <col min="2" max="3" width="4.85546875" style="853" customWidth="1"/>
    <col min="4" max="21" width="4.85546875" style="1" customWidth="1"/>
    <col min="22" max="22" width="2.5703125" style="12" customWidth="1"/>
    <col min="23" max="26" width="4.85546875" style="12" customWidth="1"/>
    <col min="27" max="27" width="8" style="12" customWidth="1"/>
    <col min="28" max="28" width="4.85546875" style="12" customWidth="1"/>
    <col min="29" max="29" width="8.28515625" style="12" customWidth="1"/>
    <col min="30" max="43" width="4.85546875" style="12" customWidth="1"/>
    <col min="44" max="48" width="4.85546875" style="1" customWidth="1"/>
    <col min="49" max="16384" width="9.140625" style="1"/>
  </cols>
  <sheetData>
    <row r="1" spans="1:36" ht="15.75" customHeight="1">
      <c r="A1" s="987"/>
      <c r="B1" s="988" t="s">
        <v>475</v>
      </c>
      <c r="C1" s="989" t="s">
        <v>989</v>
      </c>
      <c r="D1" s="989"/>
      <c r="E1" s="989"/>
      <c r="F1" s="989"/>
      <c r="G1" s="989"/>
      <c r="H1" s="989"/>
      <c r="I1" s="989"/>
      <c r="J1" s="990"/>
      <c r="K1" s="989"/>
      <c r="L1" s="989"/>
      <c r="M1" s="989"/>
      <c r="N1" s="989"/>
      <c r="O1" s="989"/>
      <c r="P1" s="989"/>
      <c r="Q1" s="989"/>
      <c r="R1" s="989"/>
      <c r="S1" s="991" t="str">
        <f>'Drop-Down Lists'!A2</f>
        <v>v 05.01.2026</v>
      </c>
      <c r="T1" s="991"/>
      <c r="U1" s="989"/>
      <c r="V1" s="992"/>
    </row>
    <row r="2" spans="1:36" ht="6" customHeight="1">
      <c r="A2" s="564"/>
      <c r="B2" s="1918"/>
      <c r="C2" s="1919"/>
      <c r="D2" s="1919"/>
      <c r="E2" s="1919"/>
      <c r="F2" s="1920"/>
      <c r="G2" s="1920"/>
      <c r="H2" s="1920"/>
      <c r="I2" s="1920"/>
      <c r="J2" s="1920"/>
      <c r="K2" s="1920"/>
      <c r="L2" s="1920"/>
      <c r="M2" s="1920"/>
      <c r="N2" s="1920"/>
      <c r="O2" s="1920"/>
      <c r="P2" s="1919"/>
      <c r="Q2" s="1919"/>
      <c r="R2" s="1919"/>
      <c r="S2" s="1919"/>
      <c r="T2" s="3"/>
      <c r="U2" s="3"/>
      <c r="V2" s="920"/>
    </row>
    <row r="3" spans="1:36" ht="18" customHeight="1">
      <c r="A3" s="564"/>
      <c r="B3" s="1918"/>
      <c r="C3" s="1921"/>
      <c r="D3" s="1921"/>
      <c r="E3" s="1921"/>
      <c r="F3" s="1922" t="s">
        <v>548</v>
      </c>
      <c r="G3" s="2961" t="str">
        <f>IF(ISBLANK(Prelim!G3), "",Prelim!G3)</f>
        <v/>
      </c>
      <c r="H3" s="2962"/>
      <c r="I3" s="2962"/>
      <c r="J3" s="2962"/>
      <c r="K3" s="2962"/>
      <c r="L3" s="2962"/>
      <c r="M3" s="2962"/>
      <c r="N3" s="2962"/>
      <c r="O3" s="2962"/>
      <c r="P3" s="2963"/>
      <c r="Q3" s="1918"/>
      <c r="R3" s="922" t="s">
        <v>551</v>
      </c>
      <c r="S3" s="2929" t="str">
        <f>IF(ISBLANK(Prelim!S5)," ",Prelim!S5)</f>
        <v xml:space="preserve"> </v>
      </c>
      <c r="T3" s="2960"/>
      <c r="U3" s="2900"/>
      <c r="V3" s="920"/>
      <c r="AA3" s="1"/>
    </row>
    <row r="4" spans="1:36" ht="3.95" customHeight="1">
      <c r="A4" s="564"/>
      <c r="B4" s="1918"/>
      <c r="C4" s="1919"/>
      <c r="D4" s="1919"/>
      <c r="E4" s="1919"/>
      <c r="F4" s="1920"/>
      <c r="G4" s="3"/>
      <c r="H4" s="3"/>
      <c r="I4" s="3"/>
      <c r="J4" s="3"/>
      <c r="K4" s="3"/>
      <c r="L4" s="3"/>
      <c r="M4" s="3"/>
      <c r="N4" s="3"/>
      <c r="O4" s="3"/>
      <c r="P4" s="3"/>
      <c r="Q4" s="1919"/>
      <c r="R4" s="1919"/>
      <c r="S4" s="3"/>
      <c r="T4" s="3"/>
      <c r="U4" s="1919"/>
      <c r="V4" s="920"/>
    </row>
    <row r="5" spans="1:36" ht="18" customHeight="1">
      <c r="A5" s="564"/>
      <c r="B5" s="1918"/>
      <c r="C5" s="3"/>
      <c r="D5" s="3"/>
      <c r="E5" s="3"/>
      <c r="F5" s="24" t="s">
        <v>550</v>
      </c>
      <c r="G5" s="2961" t="str">
        <f>IF(ISBLANK(Prelim!G5),"",Prelim!G5)</f>
        <v/>
      </c>
      <c r="H5" s="2962"/>
      <c r="I5" s="2962"/>
      <c r="J5" s="2962"/>
      <c r="K5" s="2962"/>
      <c r="L5" s="2962"/>
      <c r="M5" s="2962"/>
      <c r="N5" s="2962"/>
      <c r="O5" s="2962"/>
      <c r="P5" s="2963"/>
      <c r="Q5" s="1918"/>
      <c r="R5" s="24" t="s">
        <v>990</v>
      </c>
      <c r="S5" s="2974"/>
      <c r="T5" s="2975"/>
      <c r="U5" s="2976"/>
      <c r="V5" s="920"/>
    </row>
    <row r="6" spans="1:36" ht="3.95" customHeight="1">
      <c r="A6" s="564"/>
      <c r="B6" s="1923"/>
      <c r="C6" s="24"/>
      <c r="D6" s="24"/>
      <c r="E6" s="483"/>
      <c r="F6" s="3"/>
      <c r="G6" s="3"/>
      <c r="H6" s="3"/>
      <c r="I6" s="3"/>
      <c r="J6" s="3"/>
      <c r="K6" s="3"/>
      <c r="L6" s="3"/>
      <c r="M6" s="3"/>
      <c r="N6" s="3"/>
      <c r="O6" s="3"/>
      <c r="P6" s="3"/>
      <c r="Q6" s="1923"/>
      <c r="R6" s="2078"/>
      <c r="S6" s="2078"/>
      <c r="T6" s="1924"/>
      <c r="U6" s="1919"/>
      <c r="V6" s="920"/>
    </row>
    <row r="7" spans="1:36" ht="18" customHeight="1">
      <c r="A7" s="564"/>
      <c r="B7" s="1918"/>
      <c r="C7" s="3"/>
      <c r="D7" s="86"/>
      <c r="E7" s="3"/>
      <c r="F7" s="24" t="s">
        <v>991</v>
      </c>
      <c r="G7" s="2961" t="str">
        <f>IF(ISBLANK(Prelim!G7), "", Prelim!G7)</f>
        <v/>
      </c>
      <c r="H7" s="2962"/>
      <c r="I7" s="2962"/>
      <c r="J7" s="2962"/>
      <c r="K7" s="2962"/>
      <c r="L7" s="2962"/>
      <c r="M7" s="2962"/>
      <c r="N7" s="2962"/>
      <c r="O7" s="2962"/>
      <c r="P7" s="2963"/>
      <c r="Q7" s="2079"/>
      <c r="R7" s="1922" t="s">
        <v>553</v>
      </c>
      <c r="S7" s="2929" t="str">
        <f>IF(ISBLANK(Prelim!S7),"", Prelim!S7)</f>
        <v/>
      </c>
      <c r="T7" s="2960"/>
      <c r="U7" s="2900"/>
      <c r="V7" s="920"/>
    </row>
    <row r="8" spans="1:36" ht="3.95" customHeight="1">
      <c r="A8" s="564"/>
      <c r="B8" s="1918"/>
      <c r="C8" s="1919"/>
      <c r="D8" s="1919"/>
      <c r="E8" s="1919"/>
      <c r="F8" s="1920"/>
      <c r="G8" s="3"/>
      <c r="H8" s="3"/>
      <c r="I8" s="3"/>
      <c r="J8" s="3"/>
      <c r="K8" s="3"/>
      <c r="L8" s="3"/>
      <c r="M8" s="3"/>
      <c r="N8" s="3"/>
      <c r="O8" s="3"/>
      <c r="P8" s="3"/>
      <c r="Q8" s="1919"/>
      <c r="R8" s="1919"/>
      <c r="S8" s="3"/>
      <c r="T8" s="3"/>
      <c r="U8" s="3"/>
      <c r="V8" s="920"/>
    </row>
    <row r="9" spans="1:36" ht="15.75" customHeight="1">
      <c r="A9" s="993"/>
      <c r="B9" s="994" t="s">
        <v>481</v>
      </c>
      <c r="C9" s="1361" t="s">
        <v>992</v>
      </c>
      <c r="D9" s="1361"/>
      <c r="E9" s="1361"/>
      <c r="F9" s="1361"/>
      <c r="G9" s="1361"/>
      <c r="H9" s="1361"/>
      <c r="I9" s="1361"/>
      <c r="J9" s="1361"/>
      <c r="K9" s="1361"/>
      <c r="L9" s="1361"/>
      <c r="M9" s="1361"/>
      <c r="N9" s="1361"/>
      <c r="O9" s="1361"/>
      <c r="P9" s="1361"/>
      <c r="Q9" s="1361"/>
      <c r="R9" s="1361"/>
      <c r="S9" s="995"/>
      <c r="T9" s="995"/>
      <c r="U9" s="1361"/>
      <c r="V9" s="996"/>
      <c r="Y9" s="2084" t="s">
        <v>993</v>
      </c>
      <c r="Z9" s="2080"/>
      <c r="AA9" s="2080"/>
      <c r="AB9" s="2080"/>
      <c r="AC9" s="2080"/>
      <c r="AD9" s="2080"/>
      <c r="AE9" s="2080"/>
      <c r="AF9" s="2080"/>
      <c r="AG9" s="2080"/>
      <c r="AH9" s="2080"/>
      <c r="AI9" s="2080"/>
      <c r="AJ9" s="2080"/>
    </row>
    <row r="10" spans="1:36" ht="6" customHeight="1">
      <c r="A10" s="564"/>
      <c r="B10" s="921"/>
      <c r="C10" s="1918"/>
      <c r="D10" s="3"/>
      <c r="E10" s="3"/>
      <c r="F10" s="3"/>
      <c r="G10" s="3"/>
      <c r="H10" s="3"/>
      <c r="I10" s="3"/>
      <c r="J10" s="3"/>
      <c r="K10" s="3"/>
      <c r="L10" s="10"/>
      <c r="M10" s="10"/>
      <c r="N10" s="10"/>
      <c r="O10" s="10"/>
      <c r="P10" s="10"/>
      <c r="Q10" s="10"/>
      <c r="R10" s="10"/>
      <c r="S10" s="10"/>
      <c r="T10" s="10"/>
      <c r="U10" s="473"/>
      <c r="V10" s="920"/>
      <c r="AC10" s="473"/>
    </row>
    <row r="11" spans="1:36" ht="18" customHeight="1">
      <c r="A11" s="564"/>
      <c r="B11" s="1925"/>
      <c r="C11" s="3"/>
      <c r="D11" s="3"/>
      <c r="H11" s="24" t="s">
        <v>582</v>
      </c>
      <c r="I11" s="2932" t="str">
        <f>IF(ISBLANK(Prelim!I40), "",Prelim!I40)</f>
        <v/>
      </c>
      <c r="J11" s="2933"/>
      <c r="K11" s="3" t="s">
        <v>583</v>
      </c>
      <c r="L11" s="10"/>
      <c r="M11" s="10"/>
      <c r="N11" s="10"/>
      <c r="O11" s="10"/>
      <c r="P11" s="10"/>
      <c r="Q11" s="3"/>
      <c r="R11" s="1104" t="s">
        <v>584</v>
      </c>
      <c r="S11" s="2985" t="str">
        <f>IF(ISBLANK(Prelim!R40), "",Prelim!R40)</f>
        <v/>
      </c>
      <c r="T11" s="2986"/>
      <c r="U11" s="2987"/>
      <c r="V11" s="920"/>
      <c r="AC11" s="473"/>
    </row>
    <row r="12" spans="1:36" ht="4.3499999999999996" customHeight="1">
      <c r="A12" s="564"/>
      <c r="B12" s="1918"/>
      <c r="C12" s="3"/>
      <c r="D12" s="3"/>
      <c r="E12" s="3"/>
      <c r="F12" s="3"/>
      <c r="G12" s="3"/>
      <c r="H12" s="3"/>
      <c r="I12" s="3"/>
      <c r="J12" s="3"/>
      <c r="K12" s="3"/>
      <c r="L12" s="3"/>
      <c r="M12" s="3"/>
      <c r="N12" s="3"/>
      <c r="O12" s="3"/>
      <c r="P12" s="3"/>
      <c r="Q12" s="3"/>
      <c r="R12" s="3"/>
      <c r="S12" s="3"/>
      <c r="T12" s="3"/>
      <c r="U12" s="3"/>
      <c r="V12" s="920"/>
      <c r="W12" s="8"/>
      <c r="AC12" s="473"/>
    </row>
    <row r="13" spans="1:36" ht="18" customHeight="1">
      <c r="A13" s="564"/>
      <c r="B13" s="1918"/>
      <c r="C13" s="3"/>
      <c r="D13" s="3"/>
      <c r="E13" s="3"/>
      <c r="F13" s="3"/>
      <c r="G13" s="3"/>
      <c r="H13" s="776" t="s">
        <v>586</v>
      </c>
      <c r="I13" s="2932" t="str">
        <f>IF(ISBLANK(Prelim!I42), "",Prelim!I42)</f>
        <v xml:space="preserve"> </v>
      </c>
      <c r="J13" s="2933"/>
      <c r="K13" s="609" t="s">
        <v>587</v>
      </c>
      <c r="L13" s="776" t="s">
        <v>994</v>
      </c>
      <c r="M13" s="2932" t="str">
        <f>IF(ISBLANK(Prelim!M42), "", Prelim!M42)</f>
        <v xml:space="preserve"> </v>
      </c>
      <c r="N13" s="2933"/>
      <c r="O13" s="609" t="s">
        <v>587</v>
      </c>
      <c r="P13" s="609"/>
      <c r="Q13" s="609"/>
      <c r="R13" s="776" t="s">
        <v>995</v>
      </c>
      <c r="S13" s="2932" t="str">
        <f>IF(ISBLANK(Prelim!S42),"",Prelim!S42)</f>
        <v xml:space="preserve"> </v>
      </c>
      <c r="T13" s="2933"/>
      <c r="U13" s="609" t="s">
        <v>587</v>
      </c>
      <c r="V13" s="920"/>
      <c r="AC13" s="473"/>
    </row>
    <row r="14" spans="1:36" ht="4.3499999999999996" customHeight="1">
      <c r="A14" s="564"/>
      <c r="B14" s="1918"/>
      <c r="C14" s="3"/>
      <c r="D14" s="3"/>
      <c r="E14" s="3"/>
      <c r="F14" s="3"/>
      <c r="G14" s="3"/>
      <c r="H14" s="3"/>
      <c r="I14" s="3"/>
      <c r="J14" s="3"/>
      <c r="K14" s="3"/>
      <c r="L14" s="3"/>
      <c r="M14" s="3"/>
      <c r="N14" s="3"/>
      <c r="O14" s="3"/>
      <c r="P14" s="3"/>
      <c r="Q14" s="3"/>
      <c r="R14" s="3"/>
      <c r="S14" s="3"/>
      <c r="T14" s="3"/>
      <c r="U14" s="3"/>
      <c r="V14" s="920"/>
      <c r="AC14" s="473"/>
    </row>
    <row r="15" spans="1:36" ht="18" customHeight="1">
      <c r="A15" s="564"/>
      <c r="B15" s="3"/>
      <c r="C15" s="3"/>
      <c r="D15" s="3"/>
      <c r="E15" s="3"/>
      <c r="F15" s="3"/>
      <c r="G15" s="3"/>
      <c r="H15" s="922" t="s">
        <v>996</v>
      </c>
      <c r="I15" s="2872"/>
      <c r="J15" s="2874"/>
      <c r="K15" s="1926" t="s">
        <v>997</v>
      </c>
      <c r="L15" s="10"/>
      <c r="M15" s="10"/>
      <c r="N15" s="10"/>
      <c r="O15" s="10"/>
      <c r="P15" s="10"/>
      <c r="Q15" s="10"/>
      <c r="R15" s="10"/>
      <c r="S15" s="10"/>
      <c r="T15" s="473"/>
      <c r="U15" s="3"/>
      <c r="V15" s="920"/>
      <c r="AC15" s="473"/>
    </row>
    <row r="16" spans="1:36" ht="3.95" customHeight="1">
      <c r="A16" s="564"/>
      <c r="B16" s="3"/>
      <c r="C16" s="3"/>
      <c r="D16" s="3"/>
      <c r="E16" s="3"/>
      <c r="F16" s="3"/>
      <c r="G16" s="3"/>
      <c r="H16" s="1927"/>
      <c r="I16" s="3"/>
      <c r="J16" s="3"/>
      <c r="K16" s="10"/>
      <c r="L16" s="10"/>
      <c r="M16" s="10"/>
      <c r="N16" s="10"/>
      <c r="O16" s="10"/>
      <c r="P16" s="10"/>
      <c r="Q16" s="10"/>
      <c r="R16" s="10"/>
      <c r="S16" s="10"/>
      <c r="T16" s="473"/>
      <c r="U16" s="3"/>
      <c r="V16" s="920"/>
      <c r="AC16" s="473"/>
    </row>
    <row r="17" spans="1:43" ht="15.75" customHeight="1">
      <c r="A17" s="993"/>
      <c r="B17" s="997" t="s">
        <v>487</v>
      </c>
      <c r="C17" s="1360" t="s">
        <v>998</v>
      </c>
      <c r="D17" s="995"/>
      <c r="E17" s="995"/>
      <c r="F17" s="995"/>
      <c r="G17" s="995"/>
      <c r="H17" s="1808" t="s">
        <v>999</v>
      </c>
      <c r="I17" s="995"/>
      <c r="J17" s="995"/>
      <c r="K17" s="998"/>
      <c r="L17" s="998"/>
      <c r="M17" s="998"/>
      <c r="N17" s="998"/>
      <c r="O17" s="998"/>
      <c r="P17" s="998"/>
      <c r="Q17" s="998"/>
      <c r="R17" s="998"/>
      <c r="S17" s="998"/>
      <c r="T17" s="999"/>
      <c r="U17" s="1000"/>
      <c r="V17" s="996"/>
      <c r="W17" s="1"/>
      <c r="X17" s="1"/>
      <c r="Y17" s="2083" t="s">
        <v>1000</v>
      </c>
      <c r="Z17" s="1"/>
      <c r="AA17" s="1"/>
      <c r="AB17" s="1"/>
      <c r="AC17" s="1"/>
      <c r="AD17" s="1"/>
      <c r="AE17" s="1"/>
      <c r="AF17" s="1"/>
    </row>
    <row r="18" spans="1:43" ht="3.95" customHeight="1">
      <c r="A18" s="564"/>
      <c r="B18" s="921"/>
      <c r="C18" s="1918"/>
      <c r="D18" s="3"/>
      <c r="E18" s="3"/>
      <c r="F18" s="3"/>
      <c r="G18" s="3"/>
      <c r="H18" s="3"/>
      <c r="I18" s="3"/>
      <c r="J18" s="3"/>
      <c r="K18" s="3"/>
      <c r="L18" s="10"/>
      <c r="M18" s="10"/>
      <c r="N18" s="10"/>
      <c r="O18" s="10"/>
      <c r="P18" s="10"/>
      <c r="Q18" s="10"/>
      <c r="R18" s="10"/>
      <c r="S18" s="10"/>
      <c r="T18" s="10"/>
      <c r="U18" s="473"/>
      <c r="V18" s="920"/>
      <c r="W18" s="1"/>
      <c r="X18" s="1"/>
      <c r="Y18" s="1"/>
      <c r="Z18" s="1"/>
      <c r="AA18" s="1"/>
      <c r="AB18" s="1"/>
      <c r="AC18" s="1"/>
      <c r="AD18" s="1"/>
      <c r="AE18" s="1"/>
      <c r="AF18" s="1"/>
    </row>
    <row r="19" spans="1:43" ht="3.95" customHeight="1">
      <c r="A19" s="564"/>
      <c r="V19" s="920"/>
      <c r="W19" s="1"/>
      <c r="Z19" s="2083"/>
      <c r="AA19" s="2083"/>
      <c r="AB19" s="2083"/>
      <c r="AC19" s="2083"/>
      <c r="AD19" s="2083"/>
      <c r="AE19" s="2083"/>
      <c r="AF19" s="2083"/>
      <c r="AG19" s="2083"/>
      <c r="AH19" s="2083"/>
      <c r="AI19" s="2083"/>
      <c r="AJ19" s="2083"/>
      <c r="AK19" s="2083"/>
      <c r="AL19" s="2083"/>
      <c r="AM19" s="2083"/>
      <c r="AN19" s="2083"/>
      <c r="AO19" s="2083"/>
      <c r="AP19" s="2083"/>
      <c r="AQ19" s="2083"/>
    </row>
    <row r="20" spans="1:43" ht="18" customHeight="1">
      <c r="A20" s="564"/>
      <c r="B20" s="921"/>
      <c r="C20" s="1918"/>
      <c r="D20" s="3"/>
      <c r="E20" s="3"/>
      <c r="F20" s="3"/>
      <c r="G20" s="3"/>
      <c r="H20" s="24" t="s">
        <v>1001</v>
      </c>
      <c r="I20" s="2940"/>
      <c r="J20" s="2941"/>
      <c r="K20" s="3" t="s">
        <v>1002</v>
      </c>
      <c r="L20" s="10"/>
      <c r="M20" s="4" t="s">
        <v>1003</v>
      </c>
      <c r="N20" s="2938"/>
      <c r="O20" s="2939"/>
      <c r="P20" s="3" t="s">
        <v>1004</v>
      </c>
      <c r="Q20" s="10"/>
      <c r="R20" s="10"/>
      <c r="S20" s="10"/>
      <c r="T20" s="10"/>
      <c r="U20" s="473"/>
      <c r="V20" s="920"/>
      <c r="W20" s="1"/>
      <c r="X20" s="1"/>
      <c r="Y20" s="1"/>
      <c r="Z20" s="1"/>
      <c r="AA20" s="1"/>
      <c r="AB20" s="1"/>
      <c r="AC20" s="1"/>
      <c r="AD20" s="1"/>
      <c r="AE20" s="1"/>
      <c r="AF20" s="1"/>
    </row>
    <row r="21" spans="1:43" ht="3.95" customHeight="1">
      <c r="A21" s="564"/>
      <c r="B21" s="921"/>
      <c r="C21" s="1918"/>
      <c r="D21" s="3"/>
      <c r="E21" s="3"/>
      <c r="F21" s="3"/>
      <c r="G21" s="3"/>
      <c r="H21" s="3"/>
      <c r="I21" s="3"/>
      <c r="J21" s="3"/>
      <c r="K21" s="3"/>
      <c r="L21" s="10"/>
      <c r="M21" s="1908"/>
      <c r="N21" s="3"/>
      <c r="O21" s="3"/>
      <c r="P21" s="26"/>
      <c r="Q21" s="10"/>
      <c r="R21" s="10"/>
      <c r="S21" s="10"/>
      <c r="T21" s="10"/>
      <c r="U21" s="473"/>
      <c r="V21" s="920"/>
      <c r="W21" s="1"/>
      <c r="X21" s="1"/>
      <c r="Y21" s="1"/>
      <c r="Z21" s="1"/>
      <c r="AA21" s="1"/>
      <c r="AB21" s="1"/>
      <c r="AC21" s="1"/>
      <c r="AD21" s="1"/>
      <c r="AE21" s="1"/>
      <c r="AF21" s="1"/>
    </row>
    <row r="22" spans="1:43" ht="18" customHeight="1">
      <c r="A22" s="564"/>
      <c r="B22" s="921"/>
      <c r="C22" s="1918"/>
      <c r="D22" s="3"/>
      <c r="E22" s="3"/>
      <c r="F22" s="3"/>
      <c r="G22" s="3"/>
      <c r="H22" s="24" t="s">
        <v>1005</v>
      </c>
      <c r="I22" s="2940"/>
      <c r="J22" s="2941"/>
      <c r="K22" s="3" t="s">
        <v>1002</v>
      </c>
      <c r="L22" s="10"/>
      <c r="M22" s="4" t="s">
        <v>1003</v>
      </c>
      <c r="N22" s="2938"/>
      <c r="O22" s="2939"/>
      <c r="P22" s="3" t="s">
        <v>1004</v>
      </c>
      <c r="Q22" s="10"/>
      <c r="R22" s="10"/>
      <c r="S22" s="10"/>
      <c r="T22" s="10"/>
      <c r="U22" s="473"/>
      <c r="V22" s="920"/>
      <c r="W22" s="1"/>
      <c r="X22" s="1"/>
      <c r="Y22" s="1"/>
      <c r="Z22" s="1"/>
      <c r="AA22" s="1"/>
      <c r="AB22" s="1"/>
      <c r="AC22" s="1"/>
      <c r="AD22" s="1"/>
      <c r="AE22" s="1"/>
      <c r="AF22" s="1"/>
    </row>
    <row r="23" spans="1:43" ht="3.95" customHeight="1">
      <c r="A23" s="564"/>
      <c r="B23" s="921"/>
      <c r="C23" s="1918"/>
      <c r="D23" s="3"/>
      <c r="E23" s="3"/>
      <c r="F23" s="3"/>
      <c r="G23" s="3"/>
      <c r="H23" s="3"/>
      <c r="I23" s="3"/>
      <c r="J23" s="3"/>
      <c r="K23" s="3"/>
      <c r="L23" s="2086"/>
      <c r="M23" s="2086"/>
      <c r="N23" s="2086"/>
      <c r="O23" s="2086"/>
      <c r="P23" s="2086"/>
      <c r="Q23" s="2086"/>
      <c r="R23" s="2086"/>
      <c r="S23" s="2086"/>
      <c r="T23" s="10"/>
      <c r="U23" s="473"/>
      <c r="V23" s="920"/>
      <c r="W23" s="1"/>
      <c r="X23" s="1"/>
      <c r="Y23" s="1"/>
      <c r="Z23" s="1"/>
      <c r="AA23" s="1"/>
      <c r="AB23" s="1"/>
      <c r="AC23" s="1"/>
      <c r="AD23" s="1"/>
      <c r="AE23" s="1"/>
      <c r="AF23" s="1"/>
    </row>
    <row r="24" spans="1:43" ht="18" customHeight="1">
      <c r="A24" s="564"/>
      <c r="B24" s="1925"/>
      <c r="C24" s="3" t="s">
        <v>1006</v>
      </c>
      <c r="D24" s="3"/>
      <c r="E24" s="3"/>
      <c r="F24" s="3"/>
      <c r="G24" s="3"/>
      <c r="H24" s="2872"/>
      <c r="I24" s="2873"/>
      <c r="J24" s="2874"/>
      <c r="K24" s="3"/>
      <c r="L24" s="2085" t="s">
        <v>1007</v>
      </c>
      <c r="M24" s="2086"/>
      <c r="N24" s="2086"/>
      <c r="O24" s="2086"/>
      <c r="P24" s="2086"/>
      <c r="Q24" s="2086"/>
      <c r="R24" s="2086"/>
      <c r="S24" s="2086"/>
      <c r="T24" s="475"/>
      <c r="U24" s="475"/>
      <c r="V24" s="920"/>
      <c r="AC24" s="473"/>
    </row>
    <row r="25" spans="1:43" ht="3.95" customHeight="1">
      <c r="A25" s="564"/>
      <c r="B25" s="921"/>
      <c r="C25" s="1918"/>
      <c r="D25" s="3"/>
      <c r="E25" s="3"/>
      <c r="F25" s="3"/>
      <c r="G25" s="3"/>
      <c r="H25" s="3"/>
      <c r="I25" s="3"/>
      <c r="J25" s="3"/>
      <c r="K25" s="3"/>
      <c r="L25" s="2086"/>
      <c r="M25" s="2086"/>
      <c r="N25" s="2086"/>
      <c r="O25" s="2086"/>
      <c r="P25" s="2086"/>
      <c r="Q25" s="2086"/>
      <c r="R25" s="2086"/>
      <c r="S25" s="2086"/>
      <c r="T25" s="10"/>
      <c r="U25" s="473"/>
      <c r="V25" s="920"/>
      <c r="W25" s="1"/>
      <c r="X25" s="1"/>
      <c r="Y25" s="1"/>
      <c r="Z25" s="1"/>
      <c r="AA25" s="1"/>
      <c r="AB25" s="1"/>
      <c r="AC25" s="1"/>
      <c r="AD25" s="1"/>
      <c r="AE25" s="1"/>
      <c r="AF25" s="1"/>
    </row>
    <row r="26" spans="1:43" ht="18" customHeight="1">
      <c r="A26" s="564"/>
      <c r="B26" s="921"/>
      <c r="C26" s="1918"/>
      <c r="D26" s="3"/>
      <c r="F26" s="24" t="s">
        <v>1008</v>
      </c>
      <c r="G26" s="2875"/>
      <c r="H26" s="2876"/>
      <c r="I26" s="2876"/>
      <c r="J26" s="2876"/>
      <c r="K26" s="2876"/>
      <c r="L26" s="2876"/>
      <c r="M26" s="2877"/>
      <c r="Q26" s="10"/>
      <c r="R26" s="10"/>
      <c r="S26" s="10"/>
      <c r="T26" s="10"/>
      <c r="U26" s="473"/>
      <c r="V26" s="920"/>
      <c r="AC26" s="473"/>
    </row>
    <row r="27" spans="1:43" ht="3.95" customHeight="1">
      <c r="A27" s="564"/>
      <c r="B27" s="3"/>
      <c r="C27" s="3"/>
      <c r="D27" s="3"/>
      <c r="E27" s="1928"/>
      <c r="F27" s="528"/>
      <c r="G27" s="528"/>
      <c r="H27" s="528"/>
      <c r="I27" s="528"/>
      <c r="J27" s="528"/>
      <c r="K27" s="528"/>
      <c r="L27" s="917"/>
      <c r="M27" s="917"/>
      <c r="O27" s="528"/>
      <c r="P27" s="528"/>
      <c r="Q27" s="528"/>
      <c r="R27" s="528"/>
      <c r="S27" s="528"/>
      <c r="T27" s="3"/>
      <c r="U27" s="473"/>
      <c r="V27" s="920"/>
      <c r="AC27" s="473"/>
    </row>
    <row r="28" spans="1:43" ht="18" customHeight="1">
      <c r="A28" s="564"/>
      <c r="B28" s="3"/>
      <c r="C28" s="3"/>
      <c r="D28" s="8" t="s">
        <v>1009</v>
      </c>
      <c r="E28" s="1928"/>
      <c r="F28" s="528"/>
      <c r="G28" s="528"/>
      <c r="H28" s="528"/>
      <c r="I28" s="528"/>
      <c r="J28" s="528"/>
      <c r="K28" s="528"/>
      <c r="L28" s="917"/>
      <c r="M28" s="917"/>
      <c r="N28" s="1928"/>
      <c r="O28" s="528"/>
      <c r="P28" s="528"/>
      <c r="Q28" s="528"/>
      <c r="R28" s="528"/>
      <c r="S28" s="528"/>
      <c r="T28" s="3"/>
      <c r="U28" s="473"/>
      <c r="V28" s="920"/>
      <c r="AC28" s="473"/>
    </row>
    <row r="29" spans="1:43" ht="4.3499999999999996" customHeight="1">
      <c r="A29" s="564"/>
      <c r="B29" s="3"/>
      <c r="C29" s="3"/>
      <c r="D29" s="3"/>
      <c r="E29" s="1928"/>
      <c r="F29" s="528"/>
      <c r="G29" s="528"/>
      <c r="H29" s="528"/>
      <c r="I29" s="528"/>
      <c r="J29" s="528"/>
      <c r="K29" s="528"/>
      <c r="L29" s="917"/>
      <c r="M29" s="917"/>
      <c r="N29" s="1928"/>
      <c r="O29" s="528"/>
      <c r="P29" s="528"/>
      <c r="Q29" s="528"/>
      <c r="R29" s="528"/>
      <c r="S29" s="528"/>
      <c r="T29" s="3"/>
      <c r="U29" s="473"/>
      <c r="V29" s="920"/>
      <c r="AC29" s="473"/>
    </row>
    <row r="30" spans="1:43" ht="18" customHeight="1">
      <c r="A30" s="564"/>
      <c r="B30" s="3"/>
      <c r="C30" s="1190" t="s">
        <v>719</v>
      </c>
      <c r="D30" s="2878"/>
      <c r="E30" s="2878"/>
      <c r="F30" s="2878"/>
      <c r="G30" s="2878"/>
      <c r="H30" s="2878"/>
      <c r="I30" s="2878"/>
      <c r="J30" s="2878"/>
      <c r="K30" s="2878"/>
      <c r="L30" s="2878"/>
      <c r="M30" s="2878"/>
      <c r="N30" s="2878"/>
      <c r="O30" s="2878"/>
      <c r="P30" s="2878"/>
      <c r="Q30" s="2878"/>
      <c r="R30" s="2878"/>
      <c r="S30" s="2878"/>
      <c r="T30" s="2878"/>
      <c r="U30" s="2878"/>
      <c r="V30" s="920"/>
      <c r="AC30" s="473"/>
    </row>
    <row r="31" spans="1:43" ht="6" customHeight="1">
      <c r="A31" s="564"/>
      <c r="B31" s="3"/>
      <c r="C31" s="3"/>
      <c r="D31" s="3"/>
      <c r="E31" s="1928"/>
      <c r="F31" s="528"/>
      <c r="G31" s="528"/>
      <c r="H31" s="528"/>
      <c r="I31" s="528"/>
      <c r="J31" s="528"/>
      <c r="K31" s="528"/>
      <c r="L31" s="917"/>
      <c r="M31" s="917"/>
      <c r="N31" s="1928"/>
      <c r="O31" s="528"/>
      <c r="P31" s="528"/>
      <c r="Q31" s="528"/>
      <c r="R31" s="528"/>
      <c r="S31" s="528"/>
      <c r="T31" s="3"/>
      <c r="U31" s="473"/>
      <c r="V31" s="920"/>
      <c r="AC31" s="473"/>
    </row>
    <row r="32" spans="1:43" ht="15.75" customHeight="1">
      <c r="A32" s="993"/>
      <c r="B32" s="997" t="s">
        <v>493</v>
      </c>
      <c r="C32" s="1360" t="s">
        <v>1010</v>
      </c>
      <c r="D32" s="995"/>
      <c r="E32" s="995"/>
      <c r="F32" s="995"/>
      <c r="G32" s="1806"/>
      <c r="H32" s="2081" t="s">
        <v>2650</v>
      </c>
      <c r="I32" s="1806"/>
      <c r="J32" s="1806"/>
      <c r="K32" s="1806"/>
      <c r="L32" s="1806"/>
      <c r="M32" s="1806"/>
      <c r="N32" s="1806"/>
      <c r="O32" s="1806"/>
      <c r="P32" s="1806"/>
      <c r="Q32" s="1806"/>
      <c r="R32" s="1806"/>
      <c r="S32" s="1806"/>
      <c r="T32" s="1806"/>
      <c r="U32" s="1807"/>
      <c r="V32" s="1929"/>
      <c r="W32" s="1815"/>
      <c r="X32" s="1815"/>
      <c r="Y32" s="1815"/>
      <c r="AC32" s="473"/>
    </row>
    <row r="33" spans="1:42" ht="6" customHeight="1">
      <c r="A33" s="564"/>
      <c r="B33" s="1919"/>
      <c r="C33" s="16"/>
      <c r="D33" s="3"/>
      <c r="E33" s="3"/>
      <c r="F33" s="3"/>
      <c r="G33" s="3"/>
      <c r="H33" s="3"/>
      <c r="I33" s="3"/>
      <c r="J33" s="3"/>
      <c r="K33" s="5"/>
      <c r="L33" s="5"/>
      <c r="M33" s="5"/>
      <c r="N33" s="5"/>
      <c r="O33" s="5"/>
      <c r="P33" s="5"/>
      <c r="Q33" s="5"/>
      <c r="R33" s="5"/>
      <c r="S33" s="5"/>
      <c r="T33" s="674"/>
      <c r="U33" s="473"/>
      <c r="V33" s="920"/>
      <c r="AC33" s="473"/>
    </row>
    <row r="34" spans="1:42" ht="18" customHeight="1">
      <c r="A34" s="564"/>
      <c r="B34" s="923" t="s">
        <v>1011</v>
      </c>
      <c r="C34" s="924" t="s">
        <v>1012</v>
      </c>
      <c r="D34" s="925"/>
      <c r="E34" s="925"/>
      <c r="F34" s="925"/>
      <c r="G34" s="925"/>
      <c r="H34" s="1811"/>
      <c r="I34" s="925"/>
      <c r="J34" s="925"/>
      <c r="K34" s="925"/>
      <c r="L34" s="925"/>
      <c r="M34" s="925"/>
      <c r="N34" s="925"/>
      <c r="O34" s="925"/>
      <c r="P34" s="925"/>
      <c r="Q34" s="925"/>
      <c r="R34" s="925"/>
      <c r="S34" s="925"/>
      <c r="T34" s="925"/>
      <c r="U34" s="926"/>
      <c r="V34" s="920"/>
      <c r="AC34" s="473"/>
    </row>
    <row r="35" spans="1:42" ht="18" customHeight="1">
      <c r="A35" s="564"/>
      <c r="B35" s="928"/>
      <c r="C35" s="8"/>
      <c r="D35" s="3"/>
      <c r="E35" s="3"/>
      <c r="F35" s="3"/>
      <c r="G35" s="3"/>
      <c r="H35" s="24" t="s">
        <v>1013</v>
      </c>
      <c r="I35" s="2929" t="str">
        <f>IF(ISBLANK(Prelim!I21),"",Prelim!I21)</f>
        <v/>
      </c>
      <c r="J35" s="2900"/>
      <c r="K35" s="3"/>
      <c r="L35" s="5"/>
      <c r="M35" s="3"/>
      <c r="N35" s="3"/>
      <c r="O35" s="3"/>
      <c r="P35" s="3"/>
      <c r="Q35" s="3"/>
      <c r="R35" s="3"/>
      <c r="T35" s="674"/>
      <c r="U35" s="929"/>
      <c r="V35" s="920"/>
      <c r="AC35" s="473"/>
      <c r="AP35" s="744"/>
    </row>
    <row r="36" spans="1:42" ht="4.3499999999999996" customHeight="1">
      <c r="A36" s="564"/>
      <c r="B36" s="928"/>
      <c r="C36" s="8"/>
      <c r="D36" s="3"/>
      <c r="E36" s="3"/>
      <c r="F36" s="3"/>
      <c r="G36" s="3"/>
      <c r="H36" s="24"/>
      <c r="I36" s="4"/>
      <c r="J36" s="930"/>
      <c r="K36" s="3"/>
      <c r="L36" s="5"/>
      <c r="M36" s="24"/>
      <c r="N36" s="4"/>
      <c r="O36" s="4"/>
      <c r="P36" s="5"/>
      <c r="Q36" s="5"/>
      <c r="R36" s="5"/>
      <c r="S36" s="5"/>
      <c r="T36" s="674"/>
      <c r="U36" s="929"/>
      <c r="V36" s="920"/>
      <c r="AC36" s="473"/>
    </row>
    <row r="37" spans="1:42" ht="18" customHeight="1">
      <c r="A37" s="564"/>
      <c r="B37" s="928"/>
      <c r="C37" s="3"/>
      <c r="D37" s="3"/>
      <c r="E37" s="3"/>
      <c r="F37" s="3"/>
      <c r="G37" s="3"/>
      <c r="H37" s="24" t="s">
        <v>1014</v>
      </c>
      <c r="I37" s="2940"/>
      <c r="J37" s="2941"/>
      <c r="K37" s="8" t="s">
        <v>1002</v>
      </c>
      <c r="L37" s="3"/>
      <c r="M37" s="8" t="s">
        <v>1003</v>
      </c>
      <c r="N37" s="2938"/>
      <c r="O37" s="2939"/>
      <c r="P37" s="3" t="s">
        <v>1004</v>
      </c>
      <c r="Q37" s="3"/>
      <c r="R37" s="3"/>
      <c r="S37" s="3"/>
      <c r="T37" s="674"/>
      <c r="U37" s="931"/>
      <c r="V37" s="920"/>
      <c r="AC37" s="473"/>
    </row>
    <row r="38" spans="1:42" ht="4.3499999999999996" customHeight="1">
      <c r="A38" s="564"/>
      <c r="B38" s="928"/>
      <c r="C38" s="3"/>
      <c r="D38" s="3"/>
      <c r="E38" s="3"/>
      <c r="F38" s="3"/>
      <c r="G38" s="3"/>
      <c r="H38" s="3"/>
      <c r="I38" s="3"/>
      <c r="J38" s="3"/>
      <c r="K38" s="3"/>
      <c r="L38" s="26"/>
      <c r="M38" s="1908"/>
      <c r="N38" s="3"/>
      <c r="O38" s="3"/>
      <c r="P38" s="26"/>
      <c r="Q38" s="26"/>
      <c r="R38" s="3"/>
      <c r="S38" s="26"/>
      <c r="T38" s="26"/>
      <c r="U38" s="932"/>
      <c r="V38" s="920"/>
      <c r="AC38" s="473"/>
    </row>
    <row r="39" spans="1:42" ht="18" customHeight="1">
      <c r="A39" s="564"/>
      <c r="B39" s="933"/>
      <c r="C39" s="3"/>
      <c r="D39" s="3"/>
      <c r="E39" s="3"/>
      <c r="F39" s="3"/>
      <c r="G39" s="3"/>
      <c r="H39" s="24" t="s">
        <v>1015</v>
      </c>
      <c r="I39" s="2940"/>
      <c r="J39" s="2941"/>
      <c r="K39" s="3" t="s">
        <v>1002</v>
      </c>
      <c r="L39" s="3"/>
      <c r="M39" s="8" t="s">
        <v>1003</v>
      </c>
      <c r="N39" s="2938"/>
      <c r="O39" s="2939"/>
      <c r="P39" s="3" t="s">
        <v>1004</v>
      </c>
      <c r="Q39" s="3"/>
      <c r="R39" s="3"/>
      <c r="S39" s="3"/>
      <c r="T39" s="3"/>
      <c r="U39" s="932"/>
      <c r="V39" s="920"/>
      <c r="AC39" s="473"/>
    </row>
    <row r="40" spans="1:42" ht="4.3499999999999996" customHeight="1">
      <c r="A40" s="564"/>
      <c r="B40" s="933"/>
      <c r="C40" s="3"/>
      <c r="D40" s="3"/>
      <c r="E40" s="3"/>
      <c r="F40" s="3"/>
      <c r="G40" s="3"/>
      <c r="H40" s="24"/>
      <c r="I40" s="60"/>
      <c r="J40" s="60"/>
      <c r="K40" s="3"/>
      <c r="M40" s="2085"/>
      <c r="N40" s="2085"/>
      <c r="O40" s="2085"/>
      <c r="P40" s="2085"/>
      <c r="Q40" s="2085"/>
      <c r="R40" s="2085"/>
      <c r="S40" s="2085"/>
      <c r="T40" s="475"/>
      <c r="U40" s="1812"/>
      <c r="V40" s="920"/>
      <c r="X40" s="744"/>
      <c r="Y40" s="744"/>
      <c r="Z40" s="744"/>
      <c r="AA40" s="744"/>
      <c r="AB40" s="744"/>
      <c r="AC40" s="1433"/>
      <c r="AD40" s="744"/>
      <c r="AE40" s="744"/>
      <c r="AF40" s="744"/>
      <c r="AG40" s="744"/>
      <c r="AH40" s="744"/>
      <c r="AI40" s="744"/>
      <c r="AJ40" s="744"/>
      <c r="AK40" s="744"/>
    </row>
    <row r="41" spans="1:42" ht="18" customHeight="1">
      <c r="A41" s="564"/>
      <c r="B41" s="928"/>
      <c r="C41" s="3" t="s">
        <v>1016</v>
      </c>
      <c r="D41" s="3"/>
      <c r="E41" s="3"/>
      <c r="F41" s="3"/>
      <c r="G41" s="3"/>
      <c r="H41" s="2872"/>
      <c r="I41" s="2873"/>
      <c r="J41" s="2874"/>
      <c r="K41" s="3"/>
      <c r="L41" s="2085" t="s">
        <v>1007</v>
      </c>
      <c r="M41" s="2085"/>
      <c r="N41" s="2085"/>
      <c r="O41" s="2085"/>
      <c r="P41" s="2085"/>
      <c r="Q41" s="2085"/>
      <c r="R41" s="2085"/>
      <c r="S41" s="2085"/>
      <c r="T41" s="475"/>
      <c r="U41" s="1812"/>
      <c r="V41" s="920"/>
      <c r="X41" s="744"/>
      <c r="Y41" s="744"/>
      <c r="Z41" s="744"/>
      <c r="AA41" s="744"/>
      <c r="AB41" s="744"/>
      <c r="AC41" s="1433"/>
      <c r="AD41" s="744"/>
      <c r="AE41" s="744"/>
      <c r="AF41" s="744"/>
      <c r="AG41" s="744"/>
      <c r="AH41" s="744"/>
      <c r="AI41" s="744"/>
      <c r="AJ41" s="744"/>
      <c r="AK41" s="744"/>
    </row>
    <row r="42" spans="1:42" ht="4.3499999999999996" customHeight="1">
      <c r="A42" s="564"/>
      <c r="B42" s="928"/>
      <c r="C42" s="3"/>
      <c r="D42" s="3"/>
      <c r="E42" s="3"/>
      <c r="F42" s="3"/>
      <c r="G42" s="3"/>
      <c r="H42" s="3"/>
      <c r="I42" s="3"/>
      <c r="J42" s="3"/>
      <c r="K42" s="3"/>
      <c r="L42" s="2085"/>
      <c r="M42" s="2085"/>
      <c r="N42" s="2085"/>
      <c r="O42" s="2085"/>
      <c r="P42" s="2085"/>
      <c r="Q42" s="2085"/>
      <c r="R42" s="2085"/>
      <c r="S42" s="2085"/>
      <c r="T42" s="475"/>
      <c r="U42" s="1812"/>
      <c r="V42" s="920"/>
      <c r="X42" s="744"/>
      <c r="Y42" s="744"/>
      <c r="Z42" s="744"/>
      <c r="AA42" s="744"/>
      <c r="AB42" s="744"/>
      <c r="AC42" s="1433"/>
      <c r="AD42" s="744"/>
      <c r="AE42" s="744"/>
      <c r="AF42" s="744"/>
      <c r="AG42" s="744"/>
      <c r="AH42" s="744"/>
      <c r="AI42" s="744"/>
      <c r="AJ42" s="744"/>
      <c r="AK42" s="744"/>
    </row>
    <row r="43" spans="1:42" ht="18" customHeight="1">
      <c r="A43" s="564"/>
      <c r="B43" s="928"/>
      <c r="C43" s="1"/>
      <c r="D43" s="1190" t="s">
        <v>719</v>
      </c>
      <c r="E43" s="2942"/>
      <c r="F43" s="2943"/>
      <c r="G43" s="2943"/>
      <c r="H43" s="2943"/>
      <c r="I43" s="2943"/>
      <c r="J43" s="2943"/>
      <c r="K43" s="2943"/>
      <c r="L43" s="2943"/>
      <c r="M43" s="2943"/>
      <c r="N43" s="2943"/>
      <c r="O43" s="2943"/>
      <c r="P43" s="2943"/>
      <c r="Q43" s="2943"/>
      <c r="R43" s="2943"/>
      <c r="S43" s="2943"/>
      <c r="T43" s="2944"/>
      <c r="U43" s="1902"/>
      <c r="V43" s="2"/>
      <c r="W43" s="1"/>
      <c r="X43" s="744"/>
      <c r="Y43" s="744"/>
      <c r="Z43" s="744"/>
      <c r="AA43" s="744"/>
      <c r="AB43" s="744"/>
      <c r="AC43" s="744"/>
      <c r="AD43" s="744"/>
      <c r="AE43" s="744"/>
      <c r="AF43" s="744"/>
      <c r="AG43" s="744"/>
      <c r="AH43" s="744"/>
      <c r="AI43" s="744"/>
      <c r="AJ43" s="744"/>
      <c r="AK43" s="744"/>
    </row>
    <row r="44" spans="1:42" ht="4.3499999999999996" customHeight="1">
      <c r="A44" s="564"/>
      <c r="B44" s="928"/>
      <c r="C44" s="3"/>
      <c r="D44" s="3"/>
      <c r="E44" s="3"/>
      <c r="F44" s="3"/>
      <c r="G44" s="3"/>
      <c r="H44" s="3"/>
      <c r="I44" s="3"/>
      <c r="J44" s="3"/>
      <c r="K44" s="3"/>
      <c r="L44" s="1904"/>
      <c r="M44" s="1904"/>
      <c r="N44" s="1904"/>
      <c r="O44" s="1904"/>
      <c r="P44" s="1904"/>
      <c r="Q44" s="1904"/>
      <c r="R44" s="1904"/>
      <c r="S44" s="1904"/>
      <c r="T44" s="475"/>
      <c r="U44" s="1812"/>
      <c r="V44" s="920"/>
      <c r="X44" s="744"/>
      <c r="Y44" s="744"/>
      <c r="Z44" s="744"/>
      <c r="AA44" s="744"/>
      <c r="AB44" s="744"/>
      <c r="AC44" s="1433"/>
      <c r="AD44" s="744"/>
      <c r="AE44" s="744"/>
      <c r="AF44" s="744"/>
      <c r="AG44" s="744"/>
      <c r="AH44" s="744"/>
      <c r="AI44" s="744"/>
      <c r="AJ44" s="744"/>
      <c r="AK44" s="744"/>
    </row>
    <row r="45" spans="1:42" ht="18" customHeight="1">
      <c r="A45" s="564"/>
      <c r="B45" s="934"/>
      <c r="C45" s="3"/>
      <c r="D45" s="3"/>
      <c r="E45" s="3"/>
      <c r="F45" s="3"/>
      <c r="G45" s="24" t="s">
        <v>1017</v>
      </c>
      <c r="H45" s="2430"/>
      <c r="I45" s="2431"/>
      <c r="J45" s="2432"/>
      <c r="K45" s="3"/>
      <c r="L45" s="473"/>
      <c r="M45" s="24" t="s">
        <v>1018</v>
      </c>
      <c r="N45" s="2964"/>
      <c r="O45" s="2965"/>
      <c r="P45" s="2965"/>
      <c r="Q45" s="2965"/>
      <c r="R45" s="2965"/>
      <c r="S45" s="2965"/>
      <c r="T45" s="2966"/>
      <c r="U45" s="929"/>
      <c r="V45" s="920"/>
      <c r="X45" s="744"/>
      <c r="Y45" s="744"/>
      <c r="Z45" s="744"/>
      <c r="AA45" s="744"/>
      <c r="AB45" s="744"/>
      <c r="AC45" s="1433"/>
      <c r="AD45" s="744"/>
      <c r="AE45" s="744"/>
      <c r="AF45" s="744"/>
      <c r="AG45" s="744"/>
      <c r="AH45" s="744"/>
      <c r="AI45" s="744"/>
      <c r="AJ45" s="744"/>
      <c r="AK45" s="744"/>
    </row>
    <row r="46" spans="1:42" ht="6" customHeight="1">
      <c r="A46" s="564"/>
      <c r="B46" s="935"/>
      <c r="C46" s="936"/>
      <c r="D46" s="936"/>
      <c r="E46" s="936"/>
      <c r="F46" s="936"/>
      <c r="G46" s="936"/>
      <c r="H46" s="936"/>
      <c r="I46" s="936"/>
      <c r="J46" s="936"/>
      <c r="K46" s="936"/>
      <c r="L46" s="936"/>
      <c r="M46" s="936"/>
      <c r="N46" s="936"/>
      <c r="O46" s="936"/>
      <c r="P46" s="936"/>
      <c r="Q46" s="936"/>
      <c r="R46" s="936"/>
      <c r="S46" s="936"/>
      <c r="T46" s="936"/>
      <c r="U46" s="937"/>
      <c r="V46" s="920"/>
      <c r="X46" s="744"/>
      <c r="Y46" s="744"/>
      <c r="Z46" s="744"/>
      <c r="AA46" s="744"/>
      <c r="AB46" s="744"/>
      <c r="AC46" s="1433"/>
      <c r="AD46" s="744"/>
      <c r="AE46" s="744"/>
      <c r="AF46" s="744"/>
      <c r="AG46" s="744"/>
      <c r="AH46" s="744"/>
      <c r="AI46" s="744"/>
      <c r="AJ46" s="744"/>
      <c r="AK46" s="744"/>
    </row>
    <row r="47" spans="1:42" ht="6" customHeight="1">
      <c r="A47" s="564"/>
      <c r="B47" s="3"/>
      <c r="C47" s="3"/>
      <c r="D47" s="3"/>
      <c r="E47" s="3"/>
      <c r="F47" s="3"/>
      <c r="G47" s="3"/>
      <c r="H47" s="3"/>
      <c r="I47" s="3"/>
      <c r="J47" s="3"/>
      <c r="K47" s="3"/>
      <c r="L47" s="3"/>
      <c r="M47" s="3"/>
      <c r="N47" s="3"/>
      <c r="O47" s="3"/>
      <c r="P47" s="3"/>
      <c r="Q47" s="3"/>
      <c r="R47" s="3"/>
      <c r="S47" s="3"/>
      <c r="T47" s="3"/>
      <c r="U47" s="3"/>
      <c r="V47" s="920"/>
      <c r="X47" s="744"/>
      <c r="Y47" s="744"/>
      <c r="Z47" s="744"/>
      <c r="AA47" s="744"/>
      <c r="AB47" s="744"/>
      <c r="AC47" s="1433"/>
      <c r="AD47" s="744"/>
      <c r="AE47" s="744"/>
      <c r="AF47" s="744"/>
      <c r="AG47" s="744"/>
      <c r="AH47" s="744"/>
      <c r="AI47" s="744"/>
      <c r="AJ47" s="744"/>
      <c r="AK47" s="744"/>
    </row>
    <row r="48" spans="1:42" ht="18" customHeight="1">
      <c r="A48" s="564"/>
      <c r="B48" s="923" t="s">
        <v>1019</v>
      </c>
      <c r="C48" s="924" t="s">
        <v>1020</v>
      </c>
      <c r="D48" s="925"/>
      <c r="E48" s="925"/>
      <c r="F48" s="925"/>
      <c r="G48" s="925"/>
      <c r="H48" s="1811"/>
      <c r="I48" s="1811"/>
      <c r="J48" s="1811"/>
      <c r="K48" s="1811"/>
      <c r="L48" s="1811"/>
      <c r="M48" s="1811"/>
      <c r="N48" s="1811"/>
      <c r="O48" s="1811"/>
      <c r="P48" s="1811"/>
      <c r="Q48" s="1811"/>
      <c r="R48" s="1811"/>
      <c r="S48" s="1811"/>
      <c r="T48" s="1811"/>
      <c r="U48" s="1813"/>
      <c r="V48" s="1930"/>
      <c r="W48" s="1411"/>
      <c r="X48" s="1411"/>
      <c r="Y48" s="1411"/>
      <c r="Z48" s="1411"/>
      <c r="AA48" s="744"/>
      <c r="AB48" s="744"/>
      <c r="AC48" s="1433"/>
      <c r="AD48" s="744"/>
      <c r="AE48" s="744"/>
      <c r="AF48" s="744"/>
      <c r="AG48" s="744"/>
      <c r="AH48" s="744"/>
      <c r="AI48" s="744"/>
      <c r="AJ48" s="744"/>
      <c r="AK48" s="744"/>
    </row>
    <row r="49" spans="1:43" ht="4.3499999999999996" customHeight="1">
      <c r="A49" s="564"/>
      <c r="B49" s="927"/>
      <c r="C49" s="1918"/>
      <c r="D49" s="3"/>
      <c r="E49" s="3"/>
      <c r="F49" s="3"/>
      <c r="G49" s="3"/>
      <c r="H49" s="1805"/>
      <c r="I49" s="1805"/>
      <c r="J49" s="1805"/>
      <c r="K49" s="1805"/>
      <c r="L49" s="1805"/>
      <c r="M49" s="1805"/>
      <c r="N49" s="1805"/>
      <c r="O49" s="1805"/>
      <c r="P49" s="1805"/>
      <c r="Q49" s="1805"/>
      <c r="R49" s="1805"/>
      <c r="S49" s="1805"/>
      <c r="T49" s="1805"/>
      <c r="U49" s="1814"/>
      <c r="V49" s="1931"/>
      <c r="W49" s="1805"/>
      <c r="X49" s="1805"/>
      <c r="Y49" s="1805"/>
      <c r="Z49" s="1805"/>
      <c r="AA49" s="744"/>
      <c r="AB49" s="744"/>
      <c r="AC49" s="1433"/>
      <c r="AD49" s="744"/>
      <c r="AE49" s="744"/>
      <c r="AF49" s="744"/>
      <c r="AG49" s="744"/>
      <c r="AH49" s="744"/>
      <c r="AI49" s="744"/>
      <c r="AJ49" s="744"/>
      <c r="AK49" s="744"/>
    </row>
    <row r="50" spans="1:43" ht="18" customHeight="1">
      <c r="A50" s="564"/>
      <c r="B50" s="928"/>
      <c r="C50" s="3"/>
      <c r="D50" s="3"/>
      <c r="E50" s="3"/>
      <c r="F50" s="3"/>
      <c r="G50" s="3"/>
      <c r="H50" s="24" t="s">
        <v>1021</v>
      </c>
      <c r="I50" s="2934"/>
      <c r="J50" s="2934"/>
      <c r="K50" s="3"/>
      <c r="L50" s="2973" t="str">
        <f>IF(ISBLANK(I50),"",I11)</f>
        <v/>
      </c>
      <c r="M50" s="2973"/>
      <c r="N50" s="2935" t="s">
        <v>1022</v>
      </c>
      <c r="O50" s="2869"/>
      <c r="P50" s="1359" t="str">
        <f>IF(I50="Gravity",3,IF(I50="Pressure",4,""))</f>
        <v/>
      </c>
      <c r="Q50" s="8" t="s">
        <v>1023</v>
      </c>
      <c r="R50" s="26"/>
      <c r="S50" s="26"/>
      <c r="T50" s="26"/>
      <c r="U50" s="932"/>
      <c r="V50" s="920"/>
      <c r="X50" s="744"/>
      <c r="Y50" s="744"/>
      <c r="Z50" s="744"/>
      <c r="AA50" s="744"/>
      <c r="AB50" s="744"/>
      <c r="AC50" s="1433"/>
      <c r="AD50" s="744"/>
      <c r="AE50" s="744"/>
      <c r="AF50" s="744"/>
      <c r="AG50" s="744"/>
      <c r="AH50" s="744"/>
      <c r="AI50" s="744"/>
      <c r="AJ50" s="744"/>
      <c r="AK50" s="744"/>
    </row>
    <row r="51" spans="1:43" ht="4.3499999999999996" customHeight="1">
      <c r="A51" s="564"/>
      <c r="B51" s="928"/>
      <c r="C51" s="3"/>
      <c r="D51" s="3"/>
      <c r="E51" s="3"/>
      <c r="F51" s="3"/>
      <c r="G51" s="3"/>
      <c r="H51" s="24"/>
      <c r="I51" s="30"/>
      <c r="J51" s="30"/>
      <c r="K51" s="3"/>
      <c r="L51" s="3"/>
      <c r="M51" s="3"/>
      <c r="N51" s="3"/>
      <c r="O51" s="3"/>
      <c r="P51" s="3"/>
      <c r="Q51" s="26"/>
      <c r="R51" s="26"/>
      <c r="S51" s="26"/>
      <c r="T51" s="26"/>
      <c r="U51" s="932"/>
      <c r="V51" s="920"/>
      <c r="AC51" s="473"/>
    </row>
    <row r="52" spans="1:43" ht="18" customHeight="1">
      <c r="A52" s="564"/>
      <c r="B52" s="928"/>
      <c r="C52" s="3"/>
      <c r="D52" s="3"/>
      <c r="E52" s="3"/>
      <c r="F52" s="3"/>
      <c r="G52" s="3"/>
      <c r="H52" s="24" t="s">
        <v>1024</v>
      </c>
      <c r="I52" s="2929" t="str">
        <f>IF(ISBLANK(I50)," ",IF((L50*P50)&gt;1000,(L50*P50),1000))</f>
        <v xml:space="preserve"> </v>
      </c>
      <c r="J52" s="2900"/>
      <c r="K52" s="3" t="s">
        <v>1002</v>
      </c>
      <c r="L52" s="3"/>
      <c r="M52" s="4" t="s">
        <v>1003</v>
      </c>
      <c r="N52" s="2938"/>
      <c r="O52" s="2939"/>
      <c r="P52" s="3" t="s">
        <v>1004</v>
      </c>
      <c r="Q52" s="3"/>
      <c r="R52" s="3"/>
      <c r="S52" s="3"/>
      <c r="T52" s="3"/>
      <c r="U52" s="932"/>
      <c r="V52" s="920"/>
      <c r="AC52" s="473"/>
    </row>
    <row r="53" spans="1:43" ht="4.3499999999999996" customHeight="1">
      <c r="A53" s="564"/>
      <c r="B53" s="928"/>
      <c r="C53" s="3"/>
      <c r="D53" s="3"/>
      <c r="E53" s="3"/>
      <c r="F53" s="3"/>
      <c r="G53" s="3"/>
      <c r="H53" s="3"/>
      <c r="I53" s="3"/>
      <c r="J53" s="3"/>
      <c r="K53" s="3"/>
      <c r="L53" s="3"/>
      <c r="M53" s="3"/>
      <c r="N53" s="3"/>
      <c r="O53" s="3"/>
      <c r="P53" s="3"/>
      <c r="Q53" s="26"/>
      <c r="R53" s="26"/>
      <c r="S53" s="26"/>
      <c r="T53" s="26"/>
      <c r="U53" s="932"/>
      <c r="V53" s="920"/>
      <c r="AC53" s="473"/>
    </row>
    <row r="54" spans="1:43" ht="18" customHeight="1">
      <c r="A54" s="564"/>
      <c r="B54" s="928"/>
      <c r="C54" s="3"/>
      <c r="D54" s="3"/>
      <c r="E54" s="3"/>
      <c r="F54" s="3"/>
      <c r="G54" s="3"/>
      <c r="H54" s="24" t="s">
        <v>1025</v>
      </c>
      <c r="I54" s="2938"/>
      <c r="J54" s="2939"/>
      <c r="K54" s="3" t="s">
        <v>1002</v>
      </c>
      <c r="L54" s="3"/>
      <c r="M54" s="4" t="s">
        <v>1003</v>
      </c>
      <c r="N54" s="2938"/>
      <c r="O54" s="2939"/>
      <c r="P54" s="3" t="s">
        <v>1004</v>
      </c>
      <c r="Q54" s="3"/>
      <c r="R54" s="473"/>
      <c r="S54" s="26"/>
      <c r="T54" s="3"/>
      <c r="U54" s="932"/>
      <c r="V54" s="920"/>
      <c r="AC54" s="473"/>
    </row>
    <row r="55" spans="1:43" ht="4.3499999999999996" customHeight="1">
      <c r="A55" s="564"/>
      <c r="B55" s="928"/>
      <c r="C55" s="3"/>
      <c r="D55" s="3"/>
      <c r="E55" s="3"/>
      <c r="F55" s="3"/>
      <c r="G55" s="3"/>
      <c r="H55" s="3"/>
      <c r="I55" s="3"/>
      <c r="J55" s="3"/>
      <c r="K55" s="3"/>
      <c r="L55" s="2969" t="s">
        <v>1007</v>
      </c>
      <c r="M55" s="2969"/>
      <c r="N55" s="2969"/>
      <c r="O55" s="2969"/>
      <c r="P55" s="2969"/>
      <c r="Q55" s="2969"/>
      <c r="R55" s="2969"/>
      <c r="S55" s="2969"/>
      <c r="T55" s="2969"/>
      <c r="U55" s="932"/>
      <c r="V55" s="920"/>
      <c r="AC55" s="473"/>
    </row>
    <row r="56" spans="1:43" ht="18" customHeight="1">
      <c r="A56" s="564"/>
      <c r="B56" s="928"/>
      <c r="C56" s="3" t="s">
        <v>1016</v>
      </c>
      <c r="D56" s="3"/>
      <c r="E56" s="3"/>
      <c r="F56" s="3"/>
      <c r="G56" s="3"/>
      <c r="H56" s="2872"/>
      <c r="I56" s="2873"/>
      <c r="J56" s="2874"/>
      <c r="K56" s="3"/>
      <c r="L56" s="2969"/>
      <c r="M56" s="2969"/>
      <c r="N56" s="2969"/>
      <c r="O56" s="2969"/>
      <c r="P56" s="2969"/>
      <c r="Q56" s="2969"/>
      <c r="R56" s="2969"/>
      <c r="S56" s="2969"/>
      <c r="T56" s="2969"/>
      <c r="U56" s="1812"/>
      <c r="V56" s="920"/>
      <c r="AC56" s="473"/>
    </row>
    <row r="57" spans="1:43" ht="4.3499999999999996" customHeight="1">
      <c r="A57" s="564"/>
      <c r="B57" s="928"/>
      <c r="C57" s="3"/>
      <c r="D57" s="3"/>
      <c r="E57" s="3"/>
      <c r="F57" s="3"/>
      <c r="G57" s="3"/>
      <c r="H57" s="3"/>
      <c r="I57" s="3"/>
      <c r="J57" s="3"/>
      <c r="K57" s="3"/>
      <c r="L57" s="2970"/>
      <c r="M57" s="2970"/>
      <c r="N57" s="2970"/>
      <c r="O57" s="2970"/>
      <c r="P57" s="2970"/>
      <c r="Q57" s="2970"/>
      <c r="R57" s="2970"/>
      <c r="S57" s="2970"/>
      <c r="T57" s="2970"/>
      <c r="U57" s="932"/>
      <c r="V57" s="920"/>
      <c r="AC57" s="473"/>
    </row>
    <row r="58" spans="1:43" ht="18" customHeight="1">
      <c r="A58" s="564"/>
      <c r="B58" s="928"/>
      <c r="C58" s="1"/>
      <c r="D58" s="1190" t="s">
        <v>719</v>
      </c>
      <c r="E58" s="2968"/>
      <c r="F58" s="2968"/>
      <c r="G58" s="2968"/>
      <c r="H58" s="2968"/>
      <c r="I58" s="2968"/>
      <c r="J58" s="2968"/>
      <c r="K58" s="2968"/>
      <c r="L58" s="2968"/>
      <c r="M58" s="2968"/>
      <c r="N58" s="2968"/>
      <c r="O58" s="2968"/>
      <c r="P58" s="2968"/>
      <c r="Q58" s="2968"/>
      <c r="R58" s="2968"/>
      <c r="S58" s="2968"/>
      <c r="T58" s="2968"/>
      <c r="U58" s="1902"/>
      <c r="V58" s="2"/>
      <c r="W58" s="1"/>
      <c r="X58" s="1"/>
      <c r="Y58" s="1"/>
      <c r="Z58" s="1"/>
      <c r="AA58" s="1"/>
      <c r="AB58" s="1"/>
      <c r="AC58" s="1"/>
      <c r="AD58" s="1"/>
    </row>
    <row r="59" spans="1:43" ht="4.3499999999999996" customHeight="1">
      <c r="A59" s="564"/>
      <c r="B59" s="928"/>
      <c r="C59" s="3"/>
      <c r="D59" s="3"/>
      <c r="E59" s="3"/>
      <c r="F59" s="3"/>
      <c r="G59" s="3"/>
      <c r="H59" s="3"/>
      <c r="I59" s="3"/>
      <c r="J59" s="3"/>
      <c r="K59" s="3"/>
      <c r="L59" s="3"/>
      <c r="M59" s="3"/>
      <c r="N59" s="3"/>
      <c r="O59" s="3"/>
      <c r="P59" s="3"/>
      <c r="Q59" s="26"/>
      <c r="R59" s="26"/>
      <c r="S59" s="26"/>
      <c r="T59" s="26"/>
      <c r="U59" s="932"/>
      <c r="V59" s="920"/>
      <c r="AC59" s="473"/>
    </row>
    <row r="60" spans="1:43" ht="18" customHeight="1">
      <c r="A60" s="564"/>
      <c r="B60" s="927"/>
      <c r="C60" s="3"/>
      <c r="D60" s="3"/>
      <c r="E60" s="3"/>
      <c r="F60" s="3"/>
      <c r="G60" s="24" t="s">
        <v>1017</v>
      </c>
      <c r="H60" s="2430"/>
      <c r="I60" s="2431"/>
      <c r="J60" s="2432"/>
      <c r="K60" s="3"/>
      <c r="L60" s="473"/>
      <c r="M60" s="24" t="s">
        <v>1018</v>
      </c>
      <c r="N60" s="2972"/>
      <c r="O60" s="2972"/>
      <c r="P60" s="2972"/>
      <c r="Q60" s="2972"/>
      <c r="R60" s="2972"/>
      <c r="S60" s="2972"/>
      <c r="T60" s="2972"/>
      <c r="U60" s="929"/>
      <c r="V60" s="920"/>
      <c r="AC60" s="473"/>
    </row>
    <row r="61" spans="1:43" ht="12" customHeight="1">
      <c r="A61" s="564"/>
      <c r="B61" s="2982" t="s">
        <v>1026</v>
      </c>
      <c r="C61" s="2983"/>
      <c r="D61" s="2983"/>
      <c r="E61" s="2983"/>
      <c r="F61" s="2983"/>
      <c r="G61" s="2983"/>
      <c r="H61" s="2983"/>
      <c r="I61" s="2983"/>
      <c r="J61" s="2983"/>
      <c r="K61" s="2983"/>
      <c r="L61" s="2983"/>
      <c r="M61" s="2983"/>
      <c r="N61" s="2983"/>
      <c r="O61" s="2983"/>
      <c r="P61" s="2983"/>
      <c r="Q61" s="2983"/>
      <c r="R61" s="2983"/>
      <c r="S61" s="2983"/>
      <c r="T61" s="2983"/>
      <c r="U61" s="2984"/>
      <c r="V61" s="920"/>
      <c r="AC61" s="473"/>
    </row>
    <row r="62" spans="1:43" s="1917" customFormat="1" ht="12" customHeight="1" thickBot="1">
      <c r="A62" s="1912"/>
      <c r="B62" s="1914"/>
      <c r="C62" s="1914"/>
      <c r="D62" s="1914"/>
      <c r="E62" s="1914"/>
      <c r="F62" s="1914"/>
      <c r="G62" s="1914"/>
      <c r="H62" s="1914"/>
      <c r="I62" s="1914"/>
      <c r="J62" s="1914"/>
      <c r="K62" s="1914"/>
      <c r="L62" s="1914"/>
      <c r="M62" s="1914"/>
      <c r="N62" s="1914"/>
      <c r="O62" s="1914"/>
      <c r="P62" s="1914"/>
      <c r="Q62" s="1914"/>
      <c r="R62" s="1914"/>
      <c r="S62" s="1914"/>
      <c r="T62" s="1914"/>
      <c r="U62" s="1914"/>
      <c r="V62" s="1913"/>
      <c r="W62" s="1915"/>
      <c r="X62" s="1915"/>
      <c r="Y62" s="1915"/>
      <c r="Z62" s="1915"/>
      <c r="AA62" s="1915"/>
      <c r="AB62" s="1915"/>
      <c r="AC62" s="1916"/>
      <c r="AD62" s="1915"/>
      <c r="AE62" s="1915"/>
      <c r="AF62" s="1915"/>
      <c r="AG62" s="1915"/>
      <c r="AH62" s="1915"/>
      <c r="AI62" s="1915"/>
      <c r="AJ62" s="1915"/>
      <c r="AK62" s="1915"/>
      <c r="AL62" s="1915"/>
      <c r="AM62" s="1915"/>
      <c r="AN62" s="1915"/>
      <c r="AO62" s="1915"/>
      <c r="AP62" s="1915"/>
      <c r="AQ62" s="1915"/>
    </row>
    <row r="63" spans="1:43" ht="6" customHeight="1" thickBot="1">
      <c r="A63" s="564"/>
      <c r="B63" s="3"/>
      <c r="C63" s="3"/>
      <c r="D63" s="3"/>
      <c r="E63" s="3"/>
      <c r="F63" s="3"/>
      <c r="G63" s="3"/>
      <c r="H63" s="3"/>
      <c r="I63" s="3"/>
      <c r="J63" s="3"/>
      <c r="K63" s="3"/>
      <c r="L63" s="3"/>
      <c r="M63" s="3"/>
      <c r="N63" s="3"/>
      <c r="O63" s="3"/>
      <c r="P63" s="3"/>
      <c r="Q63" s="3"/>
      <c r="R63" s="3"/>
      <c r="S63" s="3"/>
      <c r="T63" s="3"/>
      <c r="U63" s="3"/>
      <c r="V63" s="920"/>
      <c r="AC63" s="473"/>
    </row>
    <row r="64" spans="1:43" ht="15.75" customHeight="1">
      <c r="A64" s="987"/>
      <c r="B64" s="1003" t="s">
        <v>498</v>
      </c>
      <c r="C64" s="1956" t="s">
        <v>1027</v>
      </c>
      <c r="D64" s="991"/>
      <c r="E64" s="991"/>
      <c r="F64" s="991"/>
      <c r="G64" s="2082"/>
      <c r="H64" s="991"/>
      <c r="I64" s="991"/>
      <c r="J64" s="991"/>
      <c r="K64" s="2383" t="s">
        <v>2651</v>
      </c>
      <c r="L64" s="1957"/>
      <c r="M64" s="1957"/>
      <c r="N64" s="1957"/>
      <c r="O64" s="1957"/>
      <c r="P64" s="1957"/>
      <c r="Q64" s="1957"/>
      <c r="R64" s="1957"/>
      <c r="S64" s="1957"/>
      <c r="T64" s="1958"/>
      <c r="U64" s="1959"/>
      <c r="V64" s="992"/>
      <c r="AC64" s="473"/>
    </row>
    <row r="65" spans="1:32" ht="6" customHeight="1">
      <c r="A65" s="564"/>
      <c r="B65" s="3"/>
      <c r="C65" s="3"/>
      <c r="D65" s="3"/>
      <c r="E65" s="3"/>
      <c r="F65" s="3"/>
      <c r="G65" s="3"/>
      <c r="H65" s="3"/>
      <c r="I65" s="3"/>
      <c r="J65" s="3"/>
      <c r="K65" s="932"/>
      <c r="L65" s="3"/>
      <c r="M65" s="3"/>
      <c r="N65" s="3"/>
      <c r="O65" s="3"/>
      <c r="P65" s="3"/>
      <c r="Q65" s="3"/>
      <c r="R65" s="3"/>
      <c r="S65" s="3"/>
      <c r="T65" s="3"/>
      <c r="U65" s="3"/>
      <c r="V65" s="920"/>
      <c r="AC65" s="473"/>
    </row>
    <row r="66" spans="1:32" ht="18" customHeight="1">
      <c r="A66" s="2977" t="s">
        <v>1028</v>
      </c>
      <c r="B66" s="2978"/>
      <c r="C66" s="2978"/>
      <c r="D66" s="2978"/>
      <c r="E66" s="2978"/>
      <c r="F66" s="2978"/>
      <c r="G66" s="2978"/>
      <c r="H66" s="2978"/>
      <c r="I66" s="2978"/>
      <c r="J66" s="2978"/>
      <c r="K66" s="2979"/>
      <c r="L66" s="2980" t="s">
        <v>1029</v>
      </c>
      <c r="M66" s="2978"/>
      <c r="N66" s="2978"/>
      <c r="O66" s="2978"/>
      <c r="P66" s="2978"/>
      <c r="Q66" s="2978"/>
      <c r="R66" s="2978"/>
      <c r="S66" s="2978"/>
      <c r="T66" s="2978"/>
      <c r="U66" s="2978"/>
      <c r="V66" s="2981"/>
      <c r="AC66" s="473"/>
    </row>
    <row r="67" spans="1:32" ht="18" customHeight="1">
      <c r="A67" s="564"/>
      <c r="B67" s="1923"/>
      <c r="C67" s="3"/>
      <c r="D67" s="3"/>
      <c r="E67" s="3"/>
      <c r="F67" s="3"/>
      <c r="G67" s="3"/>
      <c r="H67" s="24" t="s">
        <v>1030</v>
      </c>
      <c r="I67" s="2889" t="str">
        <f>IF(ISBLANK('Pump-Basic STA'!F28),"",MAX('Pump Tank STA Demand'!I6,'Pump Tank STA Time'!I10))</f>
        <v/>
      </c>
      <c r="J67" s="2890"/>
      <c r="K67" s="932" t="s">
        <v>1031</v>
      </c>
      <c r="L67" s="3"/>
      <c r="M67" s="3"/>
      <c r="N67" s="3"/>
      <c r="O67" s="3"/>
      <c r="P67" s="3"/>
      <c r="Q67" s="3"/>
      <c r="R67" s="24" t="s">
        <v>1030</v>
      </c>
      <c r="S67" s="2936" t="str">
        <f>IF(ISBLANK('Pump-Basic (Other)'!F21),"",MAX('Pump Tank (Other) Demand'!I6,'Pump-Tank(Other)Time'!I10:J10))</f>
        <v/>
      </c>
      <c r="T67" s="2937"/>
      <c r="U67" s="473" t="s">
        <v>1031</v>
      </c>
      <c r="V67" s="920"/>
      <c r="AC67" s="473"/>
    </row>
    <row r="68" spans="1:32" ht="4.3499999999999996" customHeight="1">
      <c r="A68" s="564"/>
      <c r="B68" s="24"/>
      <c r="C68" s="3"/>
      <c r="D68" s="3"/>
      <c r="E68" s="3"/>
      <c r="F68" s="3"/>
      <c r="G68" s="3"/>
      <c r="H68" s="3"/>
      <c r="I68" s="3"/>
      <c r="J68" s="3"/>
      <c r="K68" s="932"/>
      <c r="L68" s="3"/>
      <c r="M68" s="10"/>
      <c r="N68" s="10"/>
      <c r="O68" s="10"/>
      <c r="P68" s="10"/>
      <c r="Q68" s="10"/>
      <c r="R68" s="10"/>
      <c r="S68" s="3"/>
      <c r="T68" s="3"/>
      <c r="U68" s="3"/>
      <c r="V68" s="920"/>
      <c r="AC68" s="473"/>
    </row>
    <row r="69" spans="1:32" ht="18" customHeight="1">
      <c r="A69" s="564"/>
      <c r="B69" s="24"/>
      <c r="C69" s="3"/>
      <c r="D69" s="3"/>
      <c r="E69" s="3"/>
      <c r="F69" s="3"/>
      <c r="G69" s="3"/>
      <c r="H69" s="24" t="s">
        <v>1032</v>
      </c>
      <c r="I69" s="2889" t="str">
        <f>IF(ISBLANK('Pump-Basic STA'!F28),"",MAX('Pump Tank STA Demand'!R6,'Pump Tank STA Time'!Q10))</f>
        <v/>
      </c>
      <c r="J69" s="2900"/>
      <c r="K69" s="932" t="s">
        <v>1031</v>
      </c>
      <c r="L69" s="3"/>
      <c r="M69" s="3"/>
      <c r="N69" s="3"/>
      <c r="O69" s="3"/>
      <c r="P69" s="3"/>
      <c r="Q69" s="3"/>
      <c r="R69" s="24" t="s">
        <v>1032</v>
      </c>
      <c r="S69" s="2936" t="str">
        <f>IF(ISBLANK('Pump-Basic (Other)'!F21),"",MAX('Pump Tank (Other) Demand'!R6,'Pump-Tank(Other)Time'!Q10:R10))</f>
        <v/>
      </c>
      <c r="T69" s="2937"/>
      <c r="U69" s="473" t="s">
        <v>1031</v>
      </c>
      <c r="V69" s="920"/>
      <c r="AC69" s="473"/>
    </row>
    <row r="70" spans="1:32" ht="4.3499999999999996" customHeight="1">
      <c r="A70" s="564"/>
      <c r="B70" s="24"/>
      <c r="C70" s="3"/>
      <c r="D70" s="3"/>
      <c r="E70" s="3"/>
      <c r="F70" s="3"/>
      <c r="G70" s="3"/>
      <c r="H70" s="3"/>
      <c r="I70" s="3"/>
      <c r="J70" s="3"/>
      <c r="K70" s="932"/>
      <c r="L70" s="3"/>
      <c r="M70" s="10"/>
      <c r="N70" s="10"/>
      <c r="O70" s="10"/>
      <c r="P70" s="10"/>
      <c r="Q70" s="10"/>
      <c r="R70" s="10"/>
      <c r="S70" s="10"/>
      <c r="T70" s="10"/>
      <c r="U70" s="3"/>
      <c r="V70" s="920"/>
      <c r="AC70" s="473"/>
    </row>
    <row r="71" spans="1:32" ht="18" customHeight="1">
      <c r="A71" s="564"/>
      <c r="B71" s="24"/>
      <c r="C71" s="24" t="s">
        <v>1033</v>
      </c>
      <c r="D71" s="2870" t="str">
        <f>IF(ISBLANK(I67), " ", 'Pump-Basic STA'!H51)</f>
        <v/>
      </c>
      <c r="E71" s="2871"/>
      <c r="F71" s="3" t="s">
        <v>1034</v>
      </c>
      <c r="G71" s="3"/>
      <c r="H71" s="1932" t="s">
        <v>1035</v>
      </c>
      <c r="I71" s="2870" t="str">
        <f>IF(ISBLANK(I67), "", 'Pump-Basic STA'!O51)</f>
        <v xml:space="preserve">  </v>
      </c>
      <c r="J71" s="2871"/>
      <c r="K71" s="938" t="s">
        <v>609</v>
      </c>
      <c r="L71" s="3"/>
      <c r="M71" s="24" t="s">
        <v>1033</v>
      </c>
      <c r="N71" s="2870" t="str">
        <f>IF(ISBLANK(S67), " ", 'Pump-Basic (Other)'!H49)</f>
        <v/>
      </c>
      <c r="O71" s="2871"/>
      <c r="P71" s="3" t="s">
        <v>1034</v>
      </c>
      <c r="Q71" s="1933"/>
      <c r="R71" s="1932" t="s">
        <v>1035</v>
      </c>
      <c r="S71" s="2870" t="str">
        <f>IF(ISBLANK(S67), "", 'Pump-Basic (Other)'!O49)</f>
        <v xml:space="preserve">  </v>
      </c>
      <c r="T71" s="2871"/>
      <c r="U71" s="8" t="s">
        <v>609</v>
      </c>
      <c r="V71" s="920"/>
      <c r="AC71" s="473"/>
    </row>
    <row r="72" spans="1:32" ht="6.75" customHeight="1">
      <c r="A72" s="564"/>
      <c r="B72" s="24"/>
      <c r="C72" s="3"/>
      <c r="D72" s="3"/>
      <c r="E72" s="3"/>
      <c r="F72" s="3"/>
      <c r="G72" s="3"/>
      <c r="H72" s="3"/>
      <c r="I72" s="3"/>
      <c r="J72" s="3"/>
      <c r="K72" s="932"/>
      <c r="L72" s="3"/>
      <c r="M72" s="10"/>
      <c r="N72" s="3"/>
      <c r="O72" s="3"/>
      <c r="P72" s="10"/>
      <c r="Q72" s="10"/>
      <c r="R72" s="10"/>
      <c r="S72" s="3"/>
      <c r="T72" s="3"/>
      <c r="U72" s="3"/>
      <c r="V72" s="920"/>
      <c r="AC72" s="473"/>
    </row>
    <row r="73" spans="1:32" ht="18" customHeight="1">
      <c r="A73" s="564"/>
      <c r="B73" s="24"/>
      <c r="C73" s="3"/>
      <c r="D73" s="24" t="s">
        <v>1036</v>
      </c>
      <c r="E73" s="1001" t="str">
        <f>IF(ISBLANK('Pump-Basic STA'!F28), "", 'Pump-Basic STA'!F28)</f>
        <v/>
      </c>
      <c r="F73" s="8" t="s">
        <v>629</v>
      </c>
      <c r="G73" s="3"/>
      <c r="H73" s="24" t="s">
        <v>1037</v>
      </c>
      <c r="I73" s="2870" t="str">
        <f>IF(ISBLANK('Pump-Basic STA'!F28),"",MAX('Pump Tank STA Demand'!K28,'Pump Tank STA Time'!L30))</f>
        <v/>
      </c>
      <c r="J73" s="2871"/>
      <c r="K73" s="932" t="s">
        <v>1038</v>
      </c>
      <c r="L73" s="2882" t="s">
        <v>1036</v>
      </c>
      <c r="M73" s="2882"/>
      <c r="N73" s="2882"/>
      <c r="O73" s="1002" t="str">
        <f>IF(ISBLANK('Pump-Basic (Other)'!F21), "", 'Pump-Basic (Other)'!F21)</f>
        <v/>
      </c>
      <c r="P73" s="8" t="s">
        <v>629</v>
      </c>
      <c r="Q73" s="3"/>
      <c r="R73" s="24" t="s">
        <v>1037</v>
      </c>
      <c r="S73" s="2870" t="str">
        <f>IF(ISBLANK('Pump-Basic (Other)'!F21),"",MAX('Pump Tank (Other) Demand'!K28,'Pump-Tank(Other)Time'!L30:M30))</f>
        <v/>
      </c>
      <c r="T73" s="2871"/>
      <c r="U73" s="3" t="s">
        <v>1031</v>
      </c>
      <c r="V73" s="920"/>
      <c r="AC73" s="473"/>
    </row>
    <row r="74" spans="1:32" ht="18" customHeight="1" thickBot="1">
      <c r="A74" s="939"/>
      <c r="B74" s="2971" t="s">
        <v>1039</v>
      </c>
      <c r="C74" s="2971"/>
      <c r="D74" s="2971"/>
      <c r="E74" s="2971"/>
      <c r="F74" s="2971"/>
      <c r="G74" s="2971"/>
      <c r="H74" s="2971"/>
      <c r="I74" s="2971"/>
      <c r="J74" s="2971"/>
      <c r="K74" s="2971"/>
      <c r="L74" s="2971"/>
      <c r="M74" s="2971"/>
      <c r="N74" s="2971"/>
      <c r="O74" s="2971"/>
      <c r="P74" s="2971"/>
      <c r="Q74" s="2971"/>
      <c r="R74" s="2971"/>
      <c r="S74" s="2971"/>
      <c r="T74" s="2971"/>
      <c r="U74" s="2971"/>
      <c r="V74" s="941"/>
      <c r="Z74" s="744"/>
      <c r="AA74" s="1440" t="s">
        <v>1040</v>
      </c>
      <c r="AB74" s="744"/>
      <c r="AC74" s="1443" t="s">
        <v>1041</v>
      </c>
      <c r="AD74" s="744"/>
      <c r="AE74" s="744"/>
      <c r="AF74" s="744"/>
    </row>
    <row r="75" spans="1:32" ht="15.75" customHeight="1">
      <c r="A75" s="987"/>
      <c r="B75" s="1003" t="s">
        <v>504</v>
      </c>
      <c r="C75" s="989" t="s">
        <v>1042</v>
      </c>
      <c r="D75" s="991"/>
      <c r="E75" s="991"/>
      <c r="F75" s="991"/>
      <c r="G75" s="991"/>
      <c r="H75" s="991"/>
      <c r="I75" s="991"/>
      <c r="J75" s="991"/>
      <c r="K75" s="991"/>
      <c r="L75" s="2908" t="s">
        <v>892</v>
      </c>
      <c r="M75" s="2908"/>
      <c r="N75" s="2908"/>
      <c r="O75" s="2908" t="str">
        <f>IF(ISBLANK(Prelim!S5)," ",Prelim!S5)</f>
        <v xml:space="preserve"> </v>
      </c>
      <c r="P75" s="2908"/>
      <c r="Q75" s="2908"/>
      <c r="R75" s="2908"/>
      <c r="S75" s="2908"/>
      <c r="T75" s="991"/>
      <c r="U75" s="991"/>
      <c r="V75" s="992"/>
      <c r="Z75" s="744"/>
      <c r="AA75" s="1441" t="s">
        <v>1043</v>
      </c>
      <c r="AB75" s="744"/>
      <c r="AC75" s="1444" t="s">
        <v>1043</v>
      </c>
      <c r="AD75" s="744"/>
      <c r="AE75" s="744"/>
      <c r="AF75" s="744"/>
    </row>
    <row r="76" spans="1:32" ht="6" customHeight="1">
      <c r="A76" s="564"/>
      <c r="B76" s="3"/>
      <c r="C76" s="3"/>
      <c r="D76" s="3"/>
      <c r="E76" s="3"/>
      <c r="F76" s="3"/>
      <c r="G76" s="3"/>
      <c r="H76" s="3"/>
      <c r="I76" s="3"/>
      <c r="J76" s="3"/>
      <c r="K76" s="3"/>
      <c r="L76" s="3"/>
      <c r="M76" s="3"/>
      <c r="N76" s="3"/>
      <c r="O76" s="3"/>
      <c r="P76" s="3"/>
      <c r="Q76" s="3"/>
      <c r="R76" s="3"/>
      <c r="S76" s="3"/>
      <c r="T76" s="3"/>
      <c r="U76" s="3"/>
      <c r="V76" s="974"/>
      <c r="Z76" s="744"/>
      <c r="AA76" s="1441"/>
      <c r="AB76" s="744"/>
      <c r="AC76" s="1444"/>
      <c r="AD76" s="744"/>
      <c r="AE76" s="744"/>
      <c r="AF76" s="744"/>
    </row>
    <row r="77" spans="1:32" ht="18" customHeight="1">
      <c r="A77" s="564"/>
      <c r="B77" s="3"/>
      <c r="C77" s="3"/>
      <c r="D77" s="3"/>
      <c r="E77" s="24" t="s">
        <v>1044</v>
      </c>
      <c r="F77" s="2872"/>
      <c r="G77" s="2873"/>
      <c r="H77" s="2874"/>
      <c r="I77" s="3"/>
      <c r="J77" s="3"/>
      <c r="K77" s="3"/>
      <c r="L77" s="3"/>
      <c r="M77" s="3"/>
      <c r="N77" s="24" t="s">
        <v>1045</v>
      </c>
      <c r="O77" s="2894"/>
      <c r="P77" s="2895"/>
      <c r="Q77" s="2895"/>
      <c r="R77" s="2895"/>
      <c r="S77" s="2895"/>
      <c r="T77" s="2896"/>
      <c r="U77" s="3"/>
      <c r="V77" s="920"/>
      <c r="Z77" s="744"/>
      <c r="AA77" s="1442">
        <f>IF(F77="Trench",1,IF(F77="Bed",2,IF(F77="Mound",4,IF(F77="At-Grade",3,IF(F77="Drip",5,0)))))</f>
        <v>0</v>
      </c>
      <c r="AB77" s="744"/>
      <c r="AC77" s="1445">
        <f>IF(O77="Gravity Distribution",1,IF(O77="Pressure Distribution-Level",2,IF(O77="Pressure Distribution-Unlevel",3,0)))</f>
        <v>0</v>
      </c>
      <c r="AD77" s="744"/>
      <c r="AE77" s="744"/>
      <c r="AF77" s="744"/>
    </row>
    <row r="78" spans="1:32" ht="4.3499999999999996" customHeight="1">
      <c r="A78" s="564"/>
      <c r="B78" s="3"/>
      <c r="C78" s="3"/>
      <c r="D78" s="3"/>
      <c r="E78" s="3"/>
      <c r="F78" s="3"/>
      <c r="G78" s="3"/>
      <c r="H78" s="3"/>
      <c r="I78" s="3"/>
      <c r="J78" s="3"/>
      <c r="K78" s="3"/>
      <c r="L78" s="3"/>
      <c r="M78" s="3"/>
      <c r="N78" s="3"/>
      <c r="O78" s="4"/>
      <c r="P78" s="4"/>
      <c r="Q78" s="4"/>
      <c r="R78" s="4"/>
      <c r="S78" s="4"/>
      <c r="T78" s="4"/>
      <c r="U78" s="4"/>
      <c r="V78" s="920"/>
      <c r="Z78" s="744"/>
      <c r="AA78" s="744"/>
      <c r="AB78" s="744"/>
      <c r="AC78" s="1433"/>
      <c r="AD78" s="744"/>
      <c r="AE78" s="744"/>
      <c r="AF78" s="744"/>
    </row>
    <row r="79" spans="1:32" ht="18" customHeight="1">
      <c r="A79" s="564"/>
      <c r="B79" s="3"/>
      <c r="C79" s="3"/>
      <c r="D79" s="3"/>
      <c r="E79" s="24" t="s">
        <v>1046</v>
      </c>
      <c r="F79" s="2923" t="str">
        <f>IF(ISBLANK(Field!G49)," ",(Field!G49))</f>
        <v xml:space="preserve"> </v>
      </c>
      <c r="G79" s="2967"/>
      <c r="H79" s="2924"/>
      <c r="I79" s="3" t="s">
        <v>609</v>
      </c>
      <c r="J79" s="3"/>
      <c r="K79" s="3"/>
      <c r="L79" s="3"/>
      <c r="M79" s="3"/>
      <c r="N79" s="24" t="s">
        <v>1047</v>
      </c>
      <c r="O79" s="2901" t="str">
        <f>IF(ISBLANK(Field!H51)," ",(Field!H51))</f>
        <v xml:space="preserve"> </v>
      </c>
      <c r="P79" s="2902"/>
      <c r="Q79" s="2902"/>
      <c r="R79" s="2902"/>
      <c r="S79" s="2902"/>
      <c r="T79" s="2903"/>
      <c r="U79" s="3"/>
      <c r="V79" s="920"/>
      <c r="Z79" s="744"/>
      <c r="AA79" s="744"/>
      <c r="AB79" s="744"/>
      <c r="AC79" s="1433"/>
      <c r="AD79" s="744"/>
      <c r="AE79" s="744"/>
      <c r="AF79" s="744"/>
    </row>
    <row r="80" spans="1:32" ht="4.3499999999999996" customHeight="1">
      <c r="A80" s="564"/>
      <c r="B80" s="3"/>
      <c r="C80" s="3"/>
      <c r="D80" s="3"/>
      <c r="E80" s="3"/>
      <c r="F80" s="3"/>
      <c r="G80" s="3"/>
      <c r="H80" s="3"/>
      <c r="I80" s="3"/>
      <c r="J80" s="3"/>
      <c r="K80" s="3"/>
      <c r="L80" s="3"/>
      <c r="M80" s="3"/>
      <c r="N80" s="3"/>
      <c r="O80" s="24"/>
      <c r="P80" s="24"/>
      <c r="Q80" s="24"/>
      <c r="R80" s="1934"/>
      <c r="S80" s="1934"/>
      <c r="T80" s="1924"/>
      <c r="U80" s="1935"/>
      <c r="V80" s="920"/>
      <c r="Z80" s="744"/>
      <c r="AA80" s="744"/>
      <c r="AB80" s="744"/>
      <c r="AC80" s="1433"/>
      <c r="AD80" s="744"/>
      <c r="AE80" s="744"/>
      <c r="AF80" s="744"/>
    </row>
    <row r="81" spans="1:59" ht="18" customHeight="1">
      <c r="A81" s="564"/>
      <c r="B81" s="3"/>
      <c r="C81" s="3"/>
      <c r="D81" s="3"/>
      <c r="E81" s="24" t="s">
        <v>1048</v>
      </c>
      <c r="F81" s="2872"/>
      <c r="G81" s="2873"/>
      <c r="H81" s="2874"/>
      <c r="I81" s="3"/>
      <c r="J81" s="3"/>
      <c r="K81" s="3"/>
      <c r="L81" s="3"/>
      <c r="M81" s="3"/>
      <c r="N81" s="24" t="s">
        <v>1049</v>
      </c>
      <c r="O81" s="2894"/>
      <c r="P81" s="2895"/>
      <c r="Q81" s="2895"/>
      <c r="R81" s="2895"/>
      <c r="S81" s="2895"/>
      <c r="T81" s="2896"/>
      <c r="U81" s="3"/>
      <c r="V81" s="920"/>
      <c r="Z81" s="744"/>
      <c r="AA81" s="1434" t="s">
        <v>1050</v>
      </c>
      <c r="AB81" s="1435"/>
      <c r="AC81" s="1433"/>
      <c r="AD81" s="744"/>
      <c r="AE81" s="744"/>
      <c r="AF81" s="744"/>
    </row>
    <row r="82" spans="1:59" ht="4.3499999999999996" customHeight="1">
      <c r="A82" s="564"/>
      <c r="B82" s="1925"/>
      <c r="C82" s="1936"/>
      <c r="D82" s="1936"/>
      <c r="E82" s="1936"/>
      <c r="F82" s="1936"/>
      <c r="G82" s="1936"/>
      <c r="H82" s="1936"/>
      <c r="I82" s="1936"/>
      <c r="J82" s="1936"/>
      <c r="K82" s="1936"/>
      <c r="L82" s="1936"/>
      <c r="M82" s="1936"/>
      <c r="N82" s="1936"/>
      <c r="O82" s="3"/>
      <c r="P82" s="3"/>
      <c r="Q82" s="3"/>
      <c r="R82" s="3"/>
      <c r="S82" s="3"/>
      <c r="T82" s="3"/>
      <c r="U82" s="3"/>
      <c r="V82" s="920"/>
      <c r="Y82" s="942"/>
      <c r="Z82" s="1382"/>
      <c r="AA82" s="1436"/>
      <c r="AB82" s="1437"/>
      <c r="AC82" s="473"/>
      <c r="AD82" s="473"/>
      <c r="AE82" s="473"/>
      <c r="AF82" s="473"/>
      <c r="AG82" s="473"/>
      <c r="AH82" s="473"/>
    </row>
    <row r="83" spans="1:59" ht="18" customHeight="1">
      <c r="A83" s="564"/>
      <c r="B83" s="1925"/>
      <c r="C83" s="3"/>
      <c r="D83" s="3"/>
      <c r="E83" s="24" t="s">
        <v>1051</v>
      </c>
      <c r="F83" s="2894"/>
      <c r="G83" s="2895"/>
      <c r="H83" s="2895"/>
      <c r="I83" s="2895"/>
      <c r="J83" s="2895"/>
      <c r="K83" s="2895"/>
      <c r="L83" s="2895"/>
      <c r="M83" s="2896"/>
      <c r="N83" s="3"/>
      <c r="O83" s="2894"/>
      <c r="P83" s="2895"/>
      <c r="Q83" s="2895"/>
      <c r="R83" s="2895"/>
      <c r="S83" s="2895"/>
      <c r="T83" s="2896"/>
      <c r="U83" s="3"/>
      <c r="V83" s="920"/>
      <c r="Y83" s="942"/>
      <c r="Z83" s="744"/>
      <c r="AA83" s="2212" t="str">
        <f>IF(AA77=1,AC91,IF(AA77=2,AC92,IF(AA77=3,AC88,IF(AA77=4,AC90," "))))</f>
        <v xml:space="preserve"> </v>
      </c>
      <c r="AB83" s="1439"/>
      <c r="AC83" s="473"/>
      <c r="AD83" s="473"/>
      <c r="AE83" s="473"/>
      <c r="AF83" s="473"/>
      <c r="AG83" s="473"/>
      <c r="AH83" s="473"/>
    </row>
    <row r="84" spans="1:59" ht="4.3499999999999996" customHeight="1">
      <c r="A84" s="564"/>
      <c r="B84" s="1925"/>
      <c r="C84" s="1937"/>
      <c r="D84" s="1937"/>
      <c r="E84" s="1937"/>
      <c r="F84" s="1937"/>
      <c r="G84" s="1937"/>
      <c r="H84" s="1937"/>
      <c r="I84" s="1937"/>
      <c r="J84" s="1937"/>
      <c r="K84" s="1937"/>
      <c r="L84" s="1937"/>
      <c r="M84" s="1937"/>
      <c r="N84" s="1937"/>
      <c r="O84" s="1937"/>
      <c r="P84" s="1937"/>
      <c r="Q84" s="1937"/>
      <c r="R84" s="1937"/>
      <c r="S84" s="1937"/>
      <c r="T84" s="1937"/>
      <c r="U84" s="3"/>
      <c r="V84" s="920"/>
      <c r="Y84" s="942"/>
      <c r="Z84" s="942"/>
      <c r="AA84" s="942"/>
      <c r="AB84" s="942"/>
      <c r="AC84" s="473"/>
      <c r="AD84" s="473"/>
      <c r="AE84" s="473"/>
      <c r="AF84" s="473"/>
      <c r="AG84" s="473"/>
      <c r="AH84" s="473"/>
    </row>
    <row r="85" spans="1:59" ht="15.75" customHeight="1">
      <c r="A85" s="993"/>
      <c r="B85" s="997" t="s">
        <v>510</v>
      </c>
      <c r="C85" s="1361" t="s">
        <v>1052</v>
      </c>
      <c r="D85" s="995"/>
      <c r="E85" s="995"/>
      <c r="F85" s="995"/>
      <c r="G85" s="995"/>
      <c r="H85" s="995"/>
      <c r="I85" s="995"/>
      <c r="J85" s="995"/>
      <c r="K85" s="995"/>
      <c r="L85" s="995"/>
      <c r="M85" s="995"/>
      <c r="N85" s="995"/>
      <c r="O85" s="995"/>
      <c r="P85" s="995"/>
      <c r="Q85" s="995"/>
      <c r="R85" s="995"/>
      <c r="S85" s="995"/>
      <c r="T85" s="995"/>
      <c r="U85" s="995"/>
      <c r="V85" s="996"/>
      <c r="AD85" s="1"/>
      <c r="AE85" s="1"/>
      <c r="AF85" s="1"/>
      <c r="AG85" s="1"/>
    </row>
    <row r="86" spans="1:59" ht="6" customHeight="1">
      <c r="A86" s="564"/>
      <c r="B86" s="1918"/>
      <c r="C86" s="1918"/>
      <c r="D86" s="3"/>
      <c r="E86" s="3"/>
      <c r="F86" s="3"/>
      <c r="G86" s="3"/>
      <c r="H86" s="3"/>
      <c r="I86" s="3"/>
      <c r="J86" s="3"/>
      <c r="K86" s="3"/>
      <c r="L86" s="3"/>
      <c r="M86" s="3"/>
      <c r="N86" s="3"/>
      <c r="O86" s="3"/>
      <c r="P86" s="3"/>
      <c r="Q86" s="3"/>
      <c r="R86" s="3"/>
      <c r="S86" s="3"/>
      <c r="T86" s="3"/>
      <c r="U86" s="3"/>
      <c r="V86" s="920"/>
      <c r="AD86" s="1"/>
      <c r="AE86" s="2990" t="s">
        <v>1053</v>
      </c>
      <c r="AF86" s="2990"/>
      <c r="AG86" s="2990"/>
    </row>
    <row r="87" spans="1:59" ht="6" customHeight="1">
      <c r="A87" s="564"/>
      <c r="B87" s="1918"/>
      <c r="C87" s="3"/>
      <c r="D87" s="3"/>
      <c r="E87" s="3"/>
      <c r="F87" s="3"/>
      <c r="G87" s="3"/>
      <c r="H87" s="3"/>
      <c r="I87" s="3"/>
      <c r="J87" s="3"/>
      <c r="K87" s="2283"/>
      <c r="L87" s="3"/>
      <c r="M87" s="4"/>
      <c r="N87" s="3"/>
      <c r="O87" s="3"/>
      <c r="P87" s="3"/>
      <c r="Q87" s="3"/>
      <c r="R87" s="3"/>
      <c r="S87" s="3"/>
      <c r="T87" s="3"/>
      <c r="U87" s="3"/>
      <c r="V87" s="920"/>
      <c r="X87" s="744"/>
      <c r="Y87" s="744"/>
      <c r="Z87" s="744"/>
      <c r="AA87" s="1434"/>
      <c r="AB87" s="1446"/>
      <c r="AC87" s="1435"/>
      <c r="AD87" s="744"/>
      <c r="AE87" s="2990"/>
      <c r="AF87" s="2990"/>
      <c r="AG87" s="2990"/>
      <c r="AH87" s="744"/>
      <c r="AI87" s="744"/>
      <c r="AJ87" s="744"/>
      <c r="AK87" s="744"/>
    </row>
    <row r="88" spans="1:59" ht="18" customHeight="1">
      <c r="A88" s="564"/>
      <c r="B88" s="1918"/>
      <c r="C88" s="3"/>
      <c r="D88" s="3"/>
      <c r="E88" s="3"/>
      <c r="F88" s="776" t="s">
        <v>1054</v>
      </c>
      <c r="G88" s="2899"/>
      <c r="H88" s="2899"/>
      <c r="I88" s="2899"/>
      <c r="J88" s="2899"/>
      <c r="K88" s="2899"/>
      <c r="L88" s="2899"/>
      <c r="M88" s="2899"/>
      <c r="N88" s="2899"/>
      <c r="O88" s="2899"/>
      <c r="P88" s="2899"/>
      <c r="Q88" s="2899"/>
      <c r="R88" s="2899"/>
      <c r="S88" s="2899"/>
      <c r="T88" s="2899"/>
      <c r="U88" s="2284"/>
      <c r="V88" s="920"/>
      <c r="X88" s="744"/>
      <c r="Y88" s="744"/>
      <c r="Z88" s="744"/>
      <c r="AA88" s="1447" t="s">
        <v>792</v>
      </c>
      <c r="AB88" s="744"/>
      <c r="AC88" s="1448" t="e">
        <f>M94+K96</f>
        <v>#VALUE!</v>
      </c>
      <c r="AD88" s="744"/>
      <c r="AE88" s="1856" t="e">
        <f>IF(AA77&lt;=2,M94+K96,"surface")</f>
        <v>#VALUE!</v>
      </c>
      <c r="AF88" s="1"/>
      <c r="AG88" s="1" t="s">
        <v>1055</v>
      </c>
      <c r="AH88" s="744"/>
      <c r="AI88" s="744"/>
      <c r="AJ88" s="744"/>
      <c r="AK88" s="744"/>
      <c r="AW88" s="528"/>
      <c r="AX88" s="528"/>
      <c r="AY88" s="528"/>
      <c r="AZ88" s="528"/>
      <c r="BA88" s="528"/>
      <c r="BB88" s="528"/>
      <c r="BC88" s="528"/>
      <c r="BD88" s="528"/>
      <c r="BE88" s="528"/>
      <c r="BF88" s="528"/>
      <c r="BG88" s="528"/>
    </row>
    <row r="89" spans="1:59" ht="5.85" customHeight="1">
      <c r="A89" s="564"/>
      <c r="B89" s="1918"/>
      <c r="C89" s="3"/>
      <c r="D89" s="3"/>
      <c r="E89" s="3"/>
      <c r="F89" s="776"/>
      <c r="G89" s="2285"/>
      <c r="H89" s="2285"/>
      <c r="I89" s="2285"/>
      <c r="J89" s="2285"/>
      <c r="K89" s="2285"/>
      <c r="L89" s="2285"/>
      <c r="M89" s="2285"/>
      <c r="N89" s="2285"/>
      <c r="O89" s="2285"/>
      <c r="P89" s="2285"/>
      <c r="Q89" s="2285"/>
      <c r="R89" s="2285"/>
      <c r="S89" s="2285"/>
      <c r="T89" s="2285"/>
      <c r="U89" s="2284"/>
      <c r="V89" s="920"/>
      <c r="X89" s="744"/>
      <c r="Y89" s="744"/>
      <c r="Z89" s="744"/>
      <c r="AA89" s="1447"/>
      <c r="AB89" s="744"/>
      <c r="AC89" s="1449"/>
      <c r="AD89" s="744"/>
      <c r="AF89" s="1"/>
      <c r="AG89" s="1"/>
      <c r="AH89" s="744"/>
      <c r="AI89" s="744"/>
      <c r="AJ89" s="744"/>
      <c r="AK89" s="744"/>
      <c r="AW89" s="528"/>
      <c r="AX89" s="528"/>
      <c r="AY89" s="528"/>
      <c r="AZ89" s="528"/>
      <c r="BA89" s="528"/>
      <c r="BB89" s="528"/>
      <c r="BC89" s="528"/>
      <c r="BD89" s="528"/>
      <c r="BE89" s="528"/>
      <c r="BF89" s="528"/>
      <c r="BG89" s="528"/>
    </row>
    <row r="90" spans="1:59" ht="15" customHeight="1">
      <c r="A90" s="564"/>
      <c r="B90" s="1918"/>
      <c r="C90" s="3"/>
      <c r="D90" s="3"/>
      <c r="E90" s="609"/>
      <c r="I90" s="24" t="s">
        <v>1056</v>
      </c>
      <c r="J90" s="1357"/>
      <c r="K90" s="2897" t="s">
        <v>1057</v>
      </c>
      <c r="L90" s="2897"/>
      <c r="M90" s="2897"/>
      <c r="N90" s="2897"/>
      <c r="O90" s="2897"/>
      <c r="P90" s="2897"/>
      <c r="Q90" s="2897"/>
      <c r="R90" s="2897"/>
      <c r="S90" s="2897"/>
      <c r="T90" s="2897"/>
      <c r="U90" s="2897"/>
      <c r="V90" s="920"/>
      <c r="X90" s="744"/>
      <c r="Y90" s="744"/>
      <c r="Z90" s="744"/>
      <c r="AA90" s="1447" t="s">
        <v>230</v>
      </c>
      <c r="AB90" s="744"/>
      <c r="AC90" s="1448" t="e">
        <f>M94+K94+(S96/12)</f>
        <v>#VALUE!</v>
      </c>
      <c r="AD90" s="744"/>
      <c r="AE90" s="1856" t="str">
        <f>IF(AA77=3,M94+K94-M98,"Mound")</f>
        <v>Mound</v>
      </c>
      <c r="AF90" s="744"/>
      <c r="AG90" s="744" t="s">
        <v>1058</v>
      </c>
      <c r="AH90" s="744"/>
      <c r="AI90" s="744"/>
      <c r="AJ90" s="744"/>
      <c r="AK90" s="744"/>
      <c r="AW90" s="528"/>
      <c r="AX90" s="528"/>
      <c r="AY90" s="528"/>
      <c r="AZ90" s="528"/>
      <c r="BA90" s="528"/>
      <c r="BB90" s="528"/>
      <c r="BC90" s="528"/>
      <c r="BD90" s="528"/>
      <c r="BE90" s="528"/>
      <c r="BF90" s="528"/>
      <c r="BG90" s="528"/>
    </row>
    <row r="91" spans="1:59" ht="15" customHeight="1">
      <c r="A91" s="564"/>
      <c r="B91" s="1918"/>
      <c r="C91" s="2898" t="s">
        <v>1059</v>
      </c>
      <c r="D91" s="2898"/>
      <c r="E91" s="2898"/>
      <c r="F91" s="2898"/>
      <c r="G91" s="2898"/>
      <c r="H91" s="2898"/>
      <c r="I91" s="2898"/>
      <c r="J91" s="2898"/>
      <c r="K91" s="2898"/>
      <c r="L91" s="2898"/>
      <c r="M91" s="2898"/>
      <c r="N91" s="2898"/>
      <c r="O91" s="2898"/>
      <c r="P91" s="2898"/>
      <c r="Q91" s="2898"/>
      <c r="R91" s="2898"/>
      <c r="S91" s="2898"/>
      <c r="T91" s="2898"/>
      <c r="U91" s="2898"/>
      <c r="V91" s="920"/>
      <c r="X91" s="744"/>
      <c r="Y91" s="744"/>
      <c r="Z91" s="744"/>
      <c r="AA91" s="1447" t="s">
        <v>104</v>
      </c>
      <c r="AB91" s="744"/>
      <c r="AC91" s="1448" t="e">
        <f>M94+K96</f>
        <v>#VALUE!</v>
      </c>
      <c r="AD91" s="744"/>
      <c r="AE91" s="744"/>
      <c r="AF91" s="744"/>
      <c r="AG91" s="744"/>
      <c r="AH91" s="744"/>
      <c r="AI91" s="744"/>
      <c r="AJ91" s="744"/>
      <c r="AK91" s="744"/>
      <c r="AW91" s="528"/>
      <c r="AX91" s="528"/>
      <c r="AY91" s="528"/>
      <c r="AZ91" s="528"/>
      <c r="BA91" s="528"/>
      <c r="BB91" s="528"/>
      <c r="BC91" s="528"/>
      <c r="BD91" s="528"/>
      <c r="BE91" s="528"/>
      <c r="BF91" s="528"/>
      <c r="BG91" s="528"/>
    </row>
    <row r="92" spans="1:59" ht="30" customHeight="1">
      <c r="A92" s="564"/>
      <c r="B92" s="2286" t="s">
        <v>654</v>
      </c>
      <c r="C92" s="2956"/>
      <c r="D92" s="2956"/>
      <c r="E92" s="2956"/>
      <c r="F92" s="2956"/>
      <c r="G92" s="2956"/>
      <c r="H92" s="2956"/>
      <c r="I92" s="2956"/>
      <c r="J92" s="2956"/>
      <c r="K92" s="2956"/>
      <c r="L92" s="2956"/>
      <c r="M92" s="2956"/>
      <c r="N92" s="2956"/>
      <c r="O92" s="2956"/>
      <c r="P92" s="2956"/>
      <c r="Q92" s="2956"/>
      <c r="R92" s="2956"/>
      <c r="S92" s="2956"/>
      <c r="T92" s="2956"/>
      <c r="U92" s="1938"/>
      <c r="V92" s="920"/>
      <c r="X92" s="744"/>
      <c r="Y92" s="744"/>
      <c r="Z92" s="744"/>
      <c r="AA92" s="1438" t="s">
        <v>184</v>
      </c>
      <c r="AB92" s="1450"/>
      <c r="AC92" s="2296" t="e">
        <f>M94+K96</f>
        <v>#VALUE!</v>
      </c>
      <c r="AD92" s="744"/>
      <c r="AE92" s="1856" t="b">
        <f>IF(AA77=4,IF((G94&lt;24),M94+K94+(S96/12),IF(G94&gt;24,((M94+K94)+1))))</f>
        <v>0</v>
      </c>
      <c r="AF92" s="744"/>
      <c r="AG92" s="1" t="s">
        <v>1060</v>
      </c>
      <c r="AH92" s="744"/>
      <c r="AI92" s="744"/>
      <c r="AJ92" s="744"/>
      <c r="AK92" s="744"/>
      <c r="AW92" s="528"/>
      <c r="AX92" s="528"/>
      <c r="AY92" s="528"/>
      <c r="AZ92" s="528"/>
      <c r="BA92" s="528"/>
      <c r="BB92" s="528"/>
      <c r="BC92" s="528"/>
      <c r="BD92" s="528"/>
      <c r="BE92" s="528"/>
      <c r="BF92" s="528"/>
      <c r="BG92" s="528"/>
    </row>
    <row r="93" spans="1:59" ht="17.25" customHeight="1">
      <c r="A93" s="516"/>
      <c r="B93" s="2287"/>
      <c r="C93" s="608"/>
      <c r="D93" s="608"/>
      <c r="E93" s="608"/>
      <c r="F93" s="608"/>
      <c r="G93" s="2916" t="s">
        <v>664</v>
      </c>
      <c r="H93" s="2916"/>
      <c r="I93" s="608"/>
      <c r="J93" s="608"/>
      <c r="K93" s="1" t="s">
        <v>664</v>
      </c>
      <c r="M93" s="608" t="s">
        <v>665</v>
      </c>
      <c r="N93" s="608"/>
      <c r="O93" s="608"/>
      <c r="P93" s="2905" t="s">
        <v>1061</v>
      </c>
      <c r="Q93" s="2905"/>
      <c r="R93" s="2905"/>
      <c r="S93" s="2905"/>
      <c r="T93" s="2905"/>
      <c r="V93" s="1094"/>
      <c r="X93" s="744"/>
      <c r="Y93" s="744"/>
      <c r="Z93" s="744"/>
      <c r="AA93" s="744"/>
      <c r="AB93" s="744"/>
      <c r="AC93" s="744"/>
      <c r="AD93" s="744"/>
      <c r="AE93" s="744"/>
      <c r="AF93" s="744"/>
      <c r="AG93" s="744"/>
      <c r="AH93" s="744"/>
      <c r="AI93" s="744"/>
      <c r="AJ93" s="744"/>
      <c r="AK93" s="744"/>
      <c r="AW93" s="528"/>
      <c r="AX93" s="528"/>
      <c r="AY93" s="528"/>
      <c r="AZ93" s="528"/>
      <c r="BA93" s="528"/>
      <c r="BB93" s="528"/>
      <c r="BC93" s="528"/>
      <c r="BD93" s="528"/>
      <c r="BE93" s="528"/>
      <c r="BF93" s="528"/>
      <c r="BG93" s="528"/>
    </row>
    <row r="94" spans="1:59" ht="18" customHeight="1">
      <c r="A94" s="564"/>
      <c r="B94" s="609"/>
      <c r="C94" s="609"/>
      <c r="D94" s="609"/>
      <c r="E94" s="609"/>
      <c r="F94" s="776" t="s">
        <v>1062</v>
      </c>
      <c r="G94" s="2917" t="str">
        <f>IF(ISBLANK(Field!G44)," ",(Field!G44))</f>
        <v xml:space="preserve"> </v>
      </c>
      <c r="H94" s="2917"/>
      <c r="I94" s="609" t="s">
        <v>762</v>
      </c>
      <c r="J94" s="609"/>
      <c r="K94" s="1848" t="str">
        <f>IF(ISBLANK(G96),"",G94/12)</f>
        <v/>
      </c>
      <c r="L94" s="3" t="s">
        <v>609</v>
      </c>
      <c r="M94" s="2918" t="str">
        <f>IF(ISBLANK(Field!J44)," ",(Field!J44))</f>
        <v xml:space="preserve"> </v>
      </c>
      <c r="N94" s="2918"/>
      <c r="O94" s="609" t="s">
        <v>609</v>
      </c>
      <c r="P94" s="2906"/>
      <c r="Q94" s="2906"/>
      <c r="R94" s="2906"/>
      <c r="S94" s="2906"/>
      <c r="T94" s="2906"/>
      <c r="V94" s="920"/>
      <c r="W94" s="1"/>
      <c r="X94" s="744"/>
      <c r="Y94" s="744"/>
      <c r="Z94" s="744"/>
      <c r="AA94" s="744"/>
      <c r="AB94" s="744"/>
      <c r="AC94" s="744"/>
      <c r="AD94" s="744"/>
      <c r="AE94" s="744"/>
      <c r="AF94" s="744"/>
      <c r="AG94" s="744"/>
      <c r="AH94" s="744"/>
      <c r="AI94" s="744"/>
      <c r="AJ94" s="744"/>
      <c r="AK94" s="744"/>
      <c r="AW94" s="528"/>
      <c r="AX94" s="528"/>
      <c r="AY94" s="528"/>
      <c r="AZ94" s="528"/>
      <c r="BA94" s="528"/>
      <c r="BB94" s="528"/>
      <c r="BC94" s="528"/>
      <c r="BD94" s="528"/>
      <c r="BE94" s="528"/>
      <c r="BF94" s="528"/>
      <c r="BG94" s="528"/>
    </row>
    <row r="95" spans="1:59" ht="4.5" customHeight="1">
      <c r="A95" s="564"/>
      <c r="B95" s="609"/>
      <c r="C95" s="609"/>
      <c r="D95" s="609"/>
      <c r="E95" s="609"/>
      <c r="F95" s="776"/>
      <c r="G95" s="611"/>
      <c r="H95" s="611"/>
      <c r="I95" s="609"/>
      <c r="J95" s="609"/>
      <c r="K95" s="3"/>
      <c r="L95" s="3"/>
      <c r="M95" s="611"/>
      <c r="N95" s="611"/>
      <c r="O95" s="2288"/>
      <c r="V95" s="920"/>
      <c r="W95" s="1"/>
      <c r="X95" s="744"/>
      <c r="Y95" s="744"/>
      <c r="Z95" s="744"/>
      <c r="AA95" s="744"/>
      <c r="AB95" s="744"/>
      <c r="AC95" s="744"/>
      <c r="AD95" s="744"/>
      <c r="AE95" s="744"/>
      <c r="AF95" s="744"/>
      <c r="AG95" s="744"/>
      <c r="AH95" s="744"/>
      <c r="AI95" s="744"/>
      <c r="AJ95" s="744"/>
      <c r="AK95" s="744"/>
      <c r="AW95" s="744"/>
      <c r="AX95" s="744"/>
      <c r="AY95" s="744"/>
      <c r="AZ95" s="744"/>
      <c r="BA95" s="744"/>
      <c r="BB95" s="744"/>
      <c r="BC95" s="744"/>
      <c r="BD95" s="744"/>
      <c r="BE95" s="744"/>
    </row>
    <row r="96" spans="1:59" ht="18" customHeight="1">
      <c r="A96" s="564"/>
      <c r="B96" s="609"/>
      <c r="C96" s="609"/>
      <c r="D96" s="609"/>
      <c r="E96" s="609"/>
      <c r="F96" s="776" t="s">
        <v>1063</v>
      </c>
      <c r="G96" s="2919"/>
      <c r="H96" s="2919"/>
      <c r="I96" s="609" t="s">
        <v>762</v>
      </c>
      <c r="J96" s="609"/>
      <c r="K96" s="1848" t="str">
        <f>IF(ISBLANK(G96),"",G96/12)</f>
        <v/>
      </c>
      <c r="L96" s="8" t="s">
        <v>609</v>
      </c>
      <c r="P96" s="2289"/>
      <c r="R96" s="721" t="s">
        <v>1064</v>
      </c>
      <c r="S96" s="2909" t="str">
        <f>IF(ISBLANK(G96)," ",IF(AA77&lt;4,"N/A",(IF(G96-G94&lt;12,12,IF(G96-G94&lt;=24,G96-G94,36)))))</f>
        <v xml:space="preserve"> </v>
      </c>
      <c r="T96" s="2909"/>
      <c r="U96" s="2290" t="s">
        <v>762</v>
      </c>
      <c r="V96" s="920"/>
      <c r="W96" s="1"/>
      <c r="X96" s="744"/>
      <c r="Y96" s="744"/>
      <c r="Z96" s="744"/>
      <c r="AA96" s="744"/>
      <c r="AB96" s="744"/>
      <c r="AC96" s="744"/>
      <c r="AD96" s="744"/>
      <c r="AE96" s="744"/>
      <c r="AF96" s="744"/>
      <c r="AG96" s="744"/>
      <c r="AH96" s="744"/>
      <c r="AI96" s="744"/>
      <c r="AJ96" s="744"/>
      <c r="AK96" s="744"/>
      <c r="AT96" s="744"/>
      <c r="AU96" s="744"/>
      <c r="AV96" s="744"/>
      <c r="AW96" s="744"/>
      <c r="AX96" s="744"/>
      <c r="AY96" s="744"/>
      <c r="AZ96" s="744"/>
      <c r="BA96" s="744"/>
      <c r="BB96" s="744"/>
      <c r="BC96" s="744"/>
      <c r="BD96" s="744"/>
      <c r="BE96" s="744"/>
    </row>
    <row r="97" spans="1:57" ht="6" customHeight="1">
      <c r="A97" s="564"/>
      <c r="B97" s="609"/>
      <c r="C97" s="609"/>
      <c r="D97" s="609"/>
      <c r="E97" s="609"/>
      <c r="F97" s="776"/>
      <c r="G97" s="2310"/>
      <c r="H97" s="2310"/>
      <c r="I97" s="609"/>
      <c r="J97" s="609"/>
      <c r="K97" s="2282"/>
      <c r="L97" s="8"/>
      <c r="N97" s="608"/>
      <c r="V97" s="920"/>
      <c r="W97" s="1"/>
      <c r="X97" s="1"/>
      <c r="Y97" s="2294"/>
      <c r="Z97" s="2294"/>
      <c r="AA97" s="2294"/>
      <c r="AB97" s="2294"/>
      <c r="AC97" s="2294"/>
      <c r="AD97" s="744"/>
      <c r="AE97" s="744"/>
      <c r="AF97" s="744"/>
      <c r="AG97" s="744"/>
      <c r="AH97" s="744"/>
      <c r="AI97" s="744"/>
      <c r="AJ97" s="744"/>
      <c r="AK97" s="744"/>
      <c r="AT97" s="744"/>
      <c r="AU97" s="744"/>
      <c r="AV97" s="744"/>
      <c r="AW97" s="744"/>
      <c r="AX97" s="744"/>
      <c r="AY97" s="744"/>
      <c r="AZ97" s="744"/>
      <c r="BA97" s="744"/>
      <c r="BB97" s="744"/>
      <c r="BC97" s="744"/>
      <c r="BD97" s="744"/>
      <c r="BE97" s="744"/>
    </row>
    <row r="98" spans="1:57" ht="18" customHeight="1">
      <c r="A98" s="564"/>
      <c r="C98" s="773"/>
      <c r="D98" s="773"/>
      <c r="E98" s="773"/>
      <c r="F98" s="773"/>
      <c r="G98" s="773"/>
      <c r="H98" s="773"/>
      <c r="I98" s="773"/>
      <c r="J98" s="1478" t="s">
        <v>1065</v>
      </c>
      <c r="K98" s="2904"/>
      <c r="L98" s="2904"/>
      <c r="M98" s="2904"/>
      <c r="N98" s="1" t="s">
        <v>609</v>
      </c>
      <c r="O98" s="1" t="s">
        <v>1066</v>
      </c>
      <c r="S98" s="2907" t="str">
        <f>IF(ISBLANK(Field!J44)," ",(K98-Field!J44)*12)</f>
        <v xml:space="preserve"> </v>
      </c>
      <c r="T98" s="2907"/>
      <c r="U98" s="2290" t="s">
        <v>762</v>
      </c>
      <c r="V98" s="920"/>
      <c r="X98" s="2294"/>
      <c r="Y98" s="2295" t="s">
        <v>1067</v>
      </c>
      <c r="Z98" s="2294"/>
      <c r="AA98" s="2294"/>
      <c r="AB98" s="2295" t="s">
        <v>1068</v>
      </c>
      <c r="AC98" s="2294"/>
      <c r="AD98" s="1"/>
      <c r="AE98" s="744"/>
      <c r="AF98" s="744"/>
      <c r="AG98" s="744"/>
      <c r="AH98" s="744"/>
      <c r="AI98" s="744"/>
      <c r="AJ98" s="744"/>
      <c r="AK98" s="744"/>
      <c r="AT98" s="744"/>
      <c r="AU98" s="744"/>
      <c r="AV98" s="744"/>
      <c r="AW98" s="744"/>
      <c r="AX98" s="744"/>
      <c r="AY98" s="744"/>
      <c r="AZ98" s="744"/>
      <c r="BA98" s="744"/>
      <c r="BB98" s="744"/>
      <c r="BC98" s="744"/>
      <c r="BD98" s="744"/>
      <c r="BE98" s="744"/>
    </row>
    <row r="99" spans="1:57" ht="9.9499999999999993" customHeight="1">
      <c r="A99" s="564"/>
      <c r="B99" s="2291" t="s">
        <v>1069</v>
      </c>
      <c r="C99" s="609"/>
      <c r="D99" s="609"/>
      <c r="E99" s="609"/>
      <c r="F99" s="776"/>
      <c r="G99" s="611"/>
      <c r="H99" s="611"/>
      <c r="I99" s="609"/>
      <c r="J99" s="609"/>
      <c r="K99" s="807"/>
      <c r="L99" s="609"/>
      <c r="M99" s="1500"/>
      <c r="N99" s="1500"/>
      <c r="P99" s="3"/>
      <c r="Q99" s="3"/>
      <c r="S99" s="3"/>
      <c r="T99" s="3"/>
      <c r="U99" s="3"/>
      <c r="V99" s="920"/>
      <c r="X99" s="2294"/>
      <c r="Y99" s="2294"/>
      <c r="Z99" s="2294"/>
      <c r="AA99" s="2294"/>
      <c r="AB99" s="2295" t="s">
        <v>1070</v>
      </c>
      <c r="AC99" s="2294"/>
      <c r="AD99" s="1"/>
      <c r="AE99" s="744"/>
      <c r="AF99" s="744"/>
      <c r="AG99" s="744"/>
      <c r="AH99" s="744"/>
      <c r="AI99" s="744"/>
      <c r="AJ99" s="744"/>
      <c r="AK99" s="744"/>
      <c r="AQ99" s="744"/>
      <c r="AR99" s="744"/>
      <c r="AS99" s="744"/>
      <c r="AT99" s="744"/>
      <c r="AU99" s="744"/>
      <c r="AV99" s="744"/>
      <c r="AW99" s="744"/>
      <c r="AX99" s="744"/>
      <c r="AY99" s="744"/>
      <c r="AZ99" s="744"/>
      <c r="BA99" s="744"/>
      <c r="BB99" s="744"/>
      <c r="BC99" s="744"/>
      <c r="BD99" s="744"/>
      <c r="BE99" s="744"/>
    </row>
    <row r="100" spans="1:57" ht="3.95" customHeight="1">
      <c r="A100" s="2311"/>
      <c r="B100" s="2292"/>
      <c r="C100" s="2292"/>
      <c r="D100" s="2292"/>
      <c r="E100" s="2292"/>
      <c r="F100" s="2292"/>
      <c r="G100" s="2292"/>
      <c r="H100" s="2292"/>
      <c r="I100" s="2292"/>
      <c r="J100" s="2292"/>
      <c r="K100" s="2292"/>
      <c r="L100" s="2292"/>
      <c r="M100" s="2292"/>
      <c r="N100" s="2292"/>
      <c r="O100" s="2292"/>
      <c r="P100" s="2292"/>
      <c r="Q100" s="2292"/>
      <c r="R100" s="2292"/>
      <c r="S100" s="2292"/>
      <c r="T100" s="2292"/>
      <c r="U100" s="2292"/>
      <c r="V100" s="2293"/>
      <c r="X100" s="2294"/>
      <c r="Y100" s="2294"/>
      <c r="Z100" s="2294"/>
      <c r="AA100" s="2294"/>
      <c r="AB100" s="2294"/>
      <c r="AC100" s="2294"/>
      <c r="AD100" s="1"/>
      <c r="AE100" s="744"/>
      <c r="AF100" s="744"/>
      <c r="AG100" s="744"/>
      <c r="AH100" s="744"/>
      <c r="AI100" s="744"/>
      <c r="AJ100" s="744"/>
      <c r="AK100" s="744"/>
      <c r="AO100" s="744"/>
      <c r="AP100" s="744"/>
      <c r="AQ100" s="744"/>
      <c r="AR100" s="744"/>
      <c r="AS100" s="744"/>
      <c r="AT100" s="744"/>
      <c r="AU100" s="744"/>
      <c r="AV100" s="744"/>
      <c r="AW100" s="744"/>
      <c r="AX100" s="744"/>
      <c r="AY100" s="744"/>
      <c r="AZ100" s="744"/>
      <c r="BA100" s="744"/>
      <c r="BB100" s="744"/>
      <c r="BC100" s="744"/>
      <c r="BD100" s="744"/>
      <c r="BE100" s="744"/>
    </row>
    <row r="101" spans="1:57" ht="4.3499999999999996" customHeight="1">
      <c r="A101" s="564"/>
      <c r="B101" s="609"/>
      <c r="C101" s="609"/>
      <c r="D101" s="609"/>
      <c r="E101" s="609"/>
      <c r="F101" s="3"/>
      <c r="G101" s="3"/>
      <c r="H101" s="3"/>
      <c r="I101" s="3"/>
      <c r="J101" s="3"/>
      <c r="K101" s="3"/>
      <c r="L101" s="3"/>
      <c r="M101" s="3"/>
      <c r="N101" s="3"/>
      <c r="O101" s="3"/>
      <c r="P101" s="609"/>
      <c r="Q101" s="3"/>
      <c r="R101" s="3"/>
      <c r="S101" s="3"/>
      <c r="T101" s="3"/>
      <c r="U101" s="3"/>
      <c r="V101" s="920"/>
      <c r="X101" s="1"/>
      <c r="Y101" s="1"/>
      <c r="Z101" s="1"/>
      <c r="AA101" s="1"/>
      <c r="AB101" s="1"/>
      <c r="AC101" s="1"/>
      <c r="AD101" s="744"/>
      <c r="AE101" s="744"/>
      <c r="AF101" s="744"/>
      <c r="AG101" s="744"/>
      <c r="AH101" s="744"/>
      <c r="AI101" s="744"/>
      <c r="AJ101" s="744"/>
      <c r="AK101" s="744"/>
      <c r="AO101" s="744"/>
      <c r="AP101" s="744"/>
      <c r="AQ101" s="744"/>
      <c r="AR101" s="744"/>
      <c r="AS101" s="744"/>
      <c r="AT101" s="744"/>
      <c r="AU101" s="744"/>
      <c r="AV101" s="744"/>
      <c r="AW101" s="744"/>
      <c r="AX101" s="744"/>
      <c r="AY101" s="744"/>
      <c r="AZ101" s="744"/>
      <c r="BA101" s="744"/>
      <c r="BB101" s="744"/>
      <c r="BC101" s="744"/>
      <c r="BD101" s="744"/>
      <c r="BE101" s="744"/>
    </row>
    <row r="102" spans="1:57" ht="18" customHeight="1">
      <c r="A102" s="564"/>
      <c r="B102" s="609"/>
      <c r="C102" s="1"/>
      <c r="F102" s="776" t="s">
        <v>1071</v>
      </c>
      <c r="G102" s="2911" t="str">
        <f>IF(ISBLANK(Field!R45),"",Field!R45)</f>
        <v/>
      </c>
      <c r="H102" s="2912"/>
      <c r="I102" s="2912"/>
      <c r="J102" s="2912"/>
      <c r="K102" s="2913"/>
      <c r="L102" s="2914"/>
      <c r="M102" s="2915"/>
      <c r="N102" s="2915"/>
      <c r="O102" s="2915"/>
      <c r="P102" s="2915"/>
      <c r="Q102" s="2915"/>
      <c r="V102" s="2325"/>
      <c r="X102" s="744"/>
      <c r="Y102" s="744"/>
      <c r="Z102" s="744"/>
      <c r="AA102" s="744"/>
      <c r="AB102" s="744"/>
      <c r="AC102" s="744"/>
      <c r="AD102" s="744"/>
      <c r="AE102" s="744"/>
      <c r="AF102" s="744"/>
      <c r="AG102" s="744"/>
      <c r="AH102" s="744"/>
      <c r="AI102" s="744"/>
      <c r="AJ102" s="744"/>
      <c r="AK102" s="744"/>
      <c r="AO102" s="744"/>
      <c r="AP102" s="744"/>
      <c r="AQ102" s="744"/>
      <c r="AR102" s="744"/>
      <c r="AS102" s="744"/>
      <c r="AT102" s="744"/>
      <c r="AU102" s="744"/>
      <c r="AV102" s="744"/>
      <c r="AW102" s="744"/>
      <c r="AX102" s="744"/>
      <c r="AY102" s="744"/>
      <c r="AZ102" s="744"/>
      <c r="BA102" s="744"/>
      <c r="BB102" s="744"/>
      <c r="BC102" s="744"/>
      <c r="BD102" s="744"/>
      <c r="BE102" s="744"/>
    </row>
    <row r="103" spans="1:57" ht="4.3499999999999996" customHeight="1">
      <c r="A103" s="564"/>
      <c r="B103" s="3"/>
      <c r="C103" s="3"/>
      <c r="D103" s="3"/>
      <c r="E103" s="3"/>
      <c r="F103" s="776"/>
      <c r="G103" s="3"/>
      <c r="H103" s="3"/>
      <c r="I103" s="3"/>
      <c r="J103" s="3"/>
      <c r="K103" s="3"/>
      <c r="L103" s="3"/>
      <c r="M103" s="1938"/>
      <c r="N103" s="1938"/>
      <c r="O103" s="1938"/>
      <c r="P103" s="1938"/>
      <c r="Q103" s="1938"/>
      <c r="R103" s="1938"/>
      <c r="S103" s="1938"/>
      <c r="T103" s="1938"/>
      <c r="U103" s="1938"/>
      <c r="V103" s="943"/>
      <c r="X103" s="744"/>
      <c r="Y103" s="744"/>
      <c r="Z103" s="744"/>
      <c r="AA103" s="744"/>
      <c r="AB103" s="744"/>
      <c r="AC103" s="744"/>
      <c r="AD103" s="744"/>
      <c r="AE103" s="744"/>
      <c r="AF103" s="744"/>
      <c r="AG103" s="744"/>
      <c r="AH103" s="744"/>
      <c r="AI103" s="744"/>
      <c r="AJ103" s="744"/>
      <c r="AK103" s="744"/>
      <c r="AO103" s="744"/>
      <c r="AP103" s="744"/>
      <c r="AQ103" s="744"/>
      <c r="AR103" s="744"/>
      <c r="AS103" s="744"/>
      <c r="AT103" s="744"/>
      <c r="AU103" s="744"/>
      <c r="AV103" s="744"/>
      <c r="AW103" s="744"/>
      <c r="AX103" s="744"/>
      <c r="AY103" s="744"/>
      <c r="AZ103" s="744"/>
      <c r="BA103" s="744"/>
      <c r="BB103" s="744"/>
      <c r="BC103" s="744"/>
      <c r="BD103" s="744"/>
      <c r="BE103" s="744"/>
    </row>
    <row r="104" spans="1:57" ht="18" customHeight="1">
      <c r="A104" s="564"/>
      <c r="B104" s="3"/>
      <c r="C104" s="3"/>
      <c r="D104" s="3"/>
      <c r="E104" s="3"/>
      <c r="F104" s="776" t="s">
        <v>1072</v>
      </c>
      <c r="G104" s="2891" t="str">
        <f>IF(ISBLANK(Field!R47),"",Field!R47)</f>
        <v/>
      </c>
      <c r="H104" s="2892"/>
      <c r="I104" s="1940" t="s">
        <v>1073</v>
      </c>
      <c r="J104" s="3"/>
      <c r="K104" s="3"/>
      <c r="L104" s="609"/>
      <c r="M104" s="609"/>
      <c r="N104" s="776" t="s">
        <v>1074</v>
      </c>
      <c r="O104" s="2891" t="str">
        <f>IF(ISBLANK(Field!R46),"",Field!R46)</f>
        <v/>
      </c>
      <c r="P104" s="2892"/>
      <c r="Q104" s="1941" t="s">
        <v>1075</v>
      </c>
      <c r="T104" s="1939"/>
      <c r="U104" s="1939"/>
      <c r="V104" s="944"/>
      <c r="X104" s="744"/>
      <c r="Y104" s="744"/>
      <c r="Z104" s="744"/>
      <c r="AA104" s="744"/>
      <c r="AB104" s="744"/>
      <c r="AC104" s="744"/>
      <c r="AD104" s="744"/>
      <c r="AE104" s="744"/>
      <c r="AF104" s="744"/>
      <c r="AG104" s="744"/>
      <c r="AH104" s="744"/>
      <c r="AI104" s="744"/>
      <c r="AJ104" s="744"/>
      <c r="AK104" s="744"/>
      <c r="AO104" s="744"/>
      <c r="AP104" s="672" t="s">
        <v>1076</v>
      </c>
      <c r="AQ104" s="528"/>
      <c r="AR104" s="528"/>
      <c r="AS104" s="528"/>
      <c r="AT104" s="528"/>
      <c r="AU104" s="528"/>
      <c r="AV104" s="744"/>
      <c r="AW104" s="744"/>
      <c r="AX104" s="744"/>
      <c r="AY104" s="744"/>
      <c r="AZ104" s="744"/>
      <c r="BA104" s="744"/>
      <c r="BB104" s="744"/>
      <c r="BC104" s="744"/>
      <c r="BD104" s="744"/>
      <c r="BE104" s="744"/>
    </row>
    <row r="105" spans="1:57" ht="4.3499999999999996" customHeight="1">
      <c r="A105" s="564"/>
      <c r="B105" s="3"/>
      <c r="C105" s="3"/>
      <c r="D105" s="3"/>
      <c r="E105" s="3"/>
      <c r="F105" s="776"/>
      <c r="G105" s="3"/>
      <c r="H105" s="3"/>
      <c r="I105" s="3"/>
      <c r="J105" s="3"/>
      <c r="K105" s="3"/>
      <c r="L105"/>
      <c r="M105"/>
      <c r="N105"/>
      <c r="O105"/>
      <c r="P105"/>
      <c r="Q105"/>
      <c r="R105"/>
      <c r="S105"/>
      <c r="T105"/>
      <c r="U105"/>
      <c r="V105" s="943"/>
      <c r="X105" s="744"/>
      <c r="Y105" s="744"/>
      <c r="Z105" s="744"/>
      <c r="AA105" s="744"/>
      <c r="AB105" s="744"/>
      <c r="AC105" s="744"/>
      <c r="AD105" s="744"/>
      <c r="AE105" s="744"/>
      <c r="AF105" s="744"/>
      <c r="AG105" s="744"/>
      <c r="AH105" s="744"/>
      <c r="AI105" s="744"/>
      <c r="AJ105" s="744"/>
      <c r="AK105" s="744"/>
      <c r="AO105" s="744"/>
      <c r="AP105" s="528"/>
      <c r="AQ105" s="528"/>
      <c r="AR105" s="528"/>
      <c r="AS105" s="528"/>
      <c r="AT105" s="528"/>
      <c r="AU105" s="528"/>
      <c r="AV105" s="744"/>
      <c r="AW105" s="744"/>
      <c r="AX105" s="744"/>
      <c r="AY105" s="744"/>
      <c r="AZ105" s="744"/>
      <c r="BA105" s="744"/>
      <c r="BB105" s="744"/>
      <c r="BC105" s="744"/>
      <c r="BD105" s="744"/>
      <c r="BE105" s="744"/>
    </row>
    <row r="106" spans="1:57" ht="18" customHeight="1">
      <c r="A106" s="564"/>
      <c r="B106" s="3"/>
      <c r="C106" s="3"/>
      <c r="D106" s="3"/>
      <c r="E106" s="3"/>
      <c r="F106" s="776" t="s">
        <v>1077</v>
      </c>
      <c r="G106" s="2988" t="str" cm="1">
        <f t="array" ref="G106">IF(AA77=0," ",IF(AA77=1,Trench!P8,IF(AA77=2,'Bed '!O37,IF(AA77=3,'At-Grade'!M6,IF(AA77=4, MAX('Mound ≤ 1%'!K39,'Mound&gt;1%'!K37),IF(AA77=5,'Drip 2023'!F14,None Listed))))))</f>
        <v xml:space="preserve"> </v>
      </c>
      <c r="H106" s="2989"/>
      <c r="I106" s="3"/>
      <c r="J106" s="3"/>
      <c r="K106" s="24" t="s">
        <v>654</v>
      </c>
      <c r="L106" s="2894"/>
      <c r="M106" s="2895"/>
      <c r="N106" s="2895"/>
      <c r="O106" s="2895"/>
      <c r="P106" s="2895"/>
      <c r="Q106" s="2895"/>
      <c r="R106" s="2895"/>
      <c r="S106" s="2895"/>
      <c r="T106" s="2895"/>
      <c r="U106" s="2896"/>
      <c r="V106" s="920"/>
      <c r="X106" s="744"/>
      <c r="Y106" s="744"/>
      <c r="Z106" s="744"/>
      <c r="AA106" s="744"/>
      <c r="AB106" s="744"/>
      <c r="AC106" s="744"/>
      <c r="AD106" s="744"/>
      <c r="AE106" s="744"/>
      <c r="AF106" s="744"/>
      <c r="AG106" s="744"/>
      <c r="AH106" s="744"/>
      <c r="AI106" s="744"/>
      <c r="AJ106" s="744"/>
      <c r="AK106" s="744"/>
      <c r="AO106" s="744"/>
      <c r="AP106" s="527">
        <v>12</v>
      </c>
      <c r="AQ106" s="528" t="s">
        <v>1078</v>
      </c>
      <c r="AR106" s="528"/>
      <c r="AS106" s="528"/>
      <c r="AT106" s="528"/>
      <c r="AU106" s="528" t="s">
        <v>1079</v>
      </c>
      <c r="AV106" s="744"/>
      <c r="AW106" s="744"/>
      <c r="AX106" s="744"/>
      <c r="AY106" s="744"/>
      <c r="AZ106" s="744"/>
      <c r="BA106" s="744"/>
      <c r="BB106" s="744"/>
      <c r="BC106" s="744"/>
      <c r="BD106" s="744"/>
      <c r="BE106" s="744"/>
    </row>
    <row r="107" spans="1:57" ht="4.3499999999999996" customHeight="1">
      <c r="A107" s="564"/>
      <c r="B107" s="3"/>
      <c r="C107" s="3"/>
      <c r="D107" s="3"/>
      <c r="E107" s="3"/>
      <c r="F107" s="3"/>
      <c r="G107" s="3"/>
      <c r="H107" s="3"/>
      <c r="I107" s="3"/>
      <c r="J107" s="3"/>
      <c r="K107" s="3"/>
      <c r="L107"/>
      <c r="M107"/>
      <c r="N107"/>
      <c r="O107"/>
      <c r="P107"/>
      <c r="Q107"/>
      <c r="R107"/>
      <c r="S107"/>
      <c r="T107"/>
      <c r="U107"/>
      <c r="V107" s="920"/>
      <c r="X107" s="744"/>
      <c r="Y107" s="744"/>
      <c r="Z107" s="744"/>
      <c r="AA107" s="744"/>
      <c r="AB107" s="744"/>
      <c r="AC107" s="744"/>
      <c r="AD107" s="744"/>
      <c r="AE107" s="744"/>
      <c r="AF107" s="744"/>
      <c r="AG107" s="744"/>
      <c r="AH107" s="744"/>
      <c r="AI107" s="744"/>
      <c r="AJ107" s="744"/>
      <c r="AK107" s="744"/>
      <c r="AO107" s="744"/>
      <c r="AP107" s="527"/>
      <c r="AQ107" s="528"/>
      <c r="AR107" s="528"/>
      <c r="AS107" s="528"/>
      <c r="AT107" s="528"/>
      <c r="AU107" s="528"/>
      <c r="AV107" s="744"/>
      <c r="AW107" s="744"/>
      <c r="AX107" s="744"/>
      <c r="AY107" s="744"/>
      <c r="AZ107" s="744"/>
      <c r="BA107" s="744"/>
      <c r="BB107" s="744"/>
      <c r="BC107" s="744"/>
      <c r="BD107" s="744"/>
      <c r="BE107" s="744"/>
    </row>
    <row r="108" spans="1:57" ht="18" customHeight="1">
      <c r="A108" s="564"/>
      <c r="B108" s="3"/>
      <c r="C108" s="3"/>
      <c r="D108" s="3"/>
      <c r="E108" s="3"/>
      <c r="F108" s="1942" t="s">
        <v>1080</v>
      </c>
      <c r="G108" s="2920" t="str">
        <f>IF(ISBLANK(Field!E17),"",Field!E17)</f>
        <v/>
      </c>
      <c r="H108" s="2921"/>
      <c r="I108" s="1941" t="s">
        <v>624</v>
      </c>
      <c r="J108" s="3"/>
      <c r="K108" s="24" t="s">
        <v>654</v>
      </c>
      <c r="L108" s="2894"/>
      <c r="M108" s="2895"/>
      <c r="N108" s="2895"/>
      <c r="O108" s="2895"/>
      <c r="P108" s="2895"/>
      <c r="Q108" s="2895"/>
      <c r="R108" s="2895"/>
      <c r="S108" s="2895"/>
      <c r="T108" s="2895"/>
      <c r="U108" s="2896"/>
      <c r="V108" s="920"/>
      <c r="X108" s="744"/>
      <c r="Y108" s="744"/>
      <c r="Z108" s="744"/>
      <c r="AA108" s="744"/>
      <c r="AB108" s="744"/>
      <c r="AC108" s="744"/>
      <c r="AD108" s="744"/>
      <c r="AE108" s="744"/>
      <c r="AF108" s="744"/>
      <c r="AG108" s="744"/>
      <c r="AH108" s="744"/>
      <c r="AI108" s="744"/>
      <c r="AJ108" s="744"/>
      <c r="AK108" s="744"/>
      <c r="AO108" s="744"/>
      <c r="AP108" s="1816" t="s">
        <v>1081</v>
      </c>
      <c r="AQ108" s="528" t="s">
        <v>1082</v>
      </c>
      <c r="AR108" s="528"/>
      <c r="AS108" s="528"/>
      <c r="AT108" s="528"/>
      <c r="AU108" s="528" t="s">
        <v>1083</v>
      </c>
      <c r="AV108" s="744"/>
      <c r="AW108" s="744"/>
      <c r="AX108" s="744"/>
      <c r="AY108" s="744"/>
      <c r="AZ108" s="744"/>
      <c r="BA108" s="744"/>
      <c r="BB108" s="744"/>
      <c r="BC108" s="744"/>
      <c r="BD108" s="744"/>
      <c r="BE108" s="744"/>
    </row>
    <row r="109" spans="1:57" ht="4.3499999999999996" customHeight="1">
      <c r="A109" s="564"/>
      <c r="B109" s="3"/>
      <c r="C109" s="3"/>
      <c r="D109" s="3"/>
      <c r="E109" s="3"/>
      <c r="F109" s="3"/>
      <c r="G109" s="3"/>
      <c r="H109" s="3"/>
      <c r="I109" s="3"/>
      <c r="J109" s="3"/>
      <c r="K109" s="3"/>
      <c r="L109" s="3"/>
      <c r="M109" s="3"/>
      <c r="N109" s="3"/>
      <c r="O109" s="3"/>
      <c r="P109" s="3"/>
      <c r="Q109" s="3"/>
      <c r="R109" s="611"/>
      <c r="S109" s="611"/>
      <c r="T109" s="609"/>
      <c r="U109" s="609"/>
      <c r="V109" s="920"/>
      <c r="X109" s="744"/>
      <c r="Y109" s="744"/>
      <c r="Z109" s="744"/>
      <c r="AA109" s="744"/>
      <c r="AB109" s="744"/>
      <c r="AC109" s="744"/>
      <c r="AD109" s="744"/>
      <c r="AE109" s="744"/>
      <c r="AF109" s="744"/>
      <c r="AG109" s="744"/>
      <c r="AH109" s="744"/>
      <c r="AI109" s="744"/>
      <c r="AJ109" s="744"/>
      <c r="AK109" s="744"/>
      <c r="AO109" s="744"/>
      <c r="AP109" s="527"/>
      <c r="AQ109" s="528"/>
      <c r="AR109" s="528"/>
      <c r="AS109" s="528"/>
      <c r="AT109" s="528"/>
      <c r="AU109" s="528"/>
      <c r="AV109" s="744"/>
      <c r="AW109" s="744"/>
      <c r="AX109" s="744"/>
      <c r="AY109" s="744"/>
      <c r="AZ109" s="744"/>
    </row>
    <row r="110" spans="1:57" ht="18" customHeight="1">
      <c r="A110" s="564"/>
      <c r="B110" s="3"/>
      <c r="C110" s="3"/>
      <c r="D110" s="3"/>
      <c r="E110" s="3"/>
      <c r="F110" s="24" t="s">
        <v>719</v>
      </c>
      <c r="G110" s="2894"/>
      <c r="H110" s="2895"/>
      <c r="I110" s="2895"/>
      <c r="J110" s="2895"/>
      <c r="K110" s="2895"/>
      <c r="L110" s="2895"/>
      <c r="M110" s="2895"/>
      <c r="N110" s="2895"/>
      <c r="O110" s="2895"/>
      <c r="P110" s="2895"/>
      <c r="Q110" s="2895"/>
      <c r="R110" s="2895"/>
      <c r="S110" s="2895"/>
      <c r="T110" s="2895"/>
      <c r="U110" s="2896"/>
      <c r="V110" s="920"/>
      <c r="X110" s="744"/>
      <c r="Y110" s="744"/>
      <c r="Z110" s="744"/>
      <c r="AA110" s="744"/>
      <c r="AB110" s="744"/>
      <c r="AC110" s="744"/>
      <c r="AD110" s="744"/>
      <c r="AE110" s="744"/>
      <c r="AF110" s="744"/>
      <c r="AG110" s="744"/>
      <c r="AH110" s="744"/>
      <c r="AI110" s="744"/>
      <c r="AJ110" s="744"/>
      <c r="AK110" s="744"/>
      <c r="AO110" s="744"/>
      <c r="AP110" s="527" t="s">
        <v>1084</v>
      </c>
      <c r="AQ110" s="528" t="s">
        <v>1085</v>
      </c>
      <c r="AR110" s="528"/>
      <c r="AS110" s="528"/>
      <c r="AT110" s="528"/>
      <c r="AU110" s="528" t="s">
        <v>1086</v>
      </c>
      <c r="AV110" s="744"/>
      <c r="AW110" s="744"/>
      <c r="AX110" s="744"/>
      <c r="AY110" s="744"/>
      <c r="AZ110" s="744"/>
    </row>
    <row r="111" spans="1:57" ht="6" customHeight="1">
      <c r="A111" s="564"/>
      <c r="B111" s="1923"/>
      <c r="C111" s="1918"/>
      <c r="D111" s="3"/>
      <c r="E111" s="3"/>
      <c r="F111" s="3"/>
      <c r="G111" s="3"/>
      <c r="H111" s="3"/>
      <c r="I111" s="3"/>
      <c r="J111" s="3"/>
      <c r="K111" s="3"/>
      <c r="L111" s="3"/>
      <c r="M111" s="3"/>
      <c r="N111" s="473"/>
      <c r="O111" s="473"/>
      <c r="P111" s="473"/>
      <c r="Q111" s="473"/>
      <c r="R111" s="473"/>
      <c r="S111" s="3"/>
      <c r="T111" s="28"/>
      <c r="U111" s="28"/>
      <c r="V111" s="920"/>
      <c r="X111" s="744"/>
      <c r="Y111" s="744"/>
      <c r="Z111" s="744"/>
      <c r="AA111" s="744"/>
      <c r="AB111" s="744"/>
      <c r="AC111" s="744"/>
      <c r="AD111" s="744"/>
      <c r="AE111" s="744"/>
      <c r="AF111" s="744"/>
      <c r="AG111" s="744"/>
      <c r="AH111" s="744"/>
      <c r="AI111" s="744"/>
      <c r="AJ111" s="744"/>
      <c r="AK111" s="744"/>
      <c r="AO111" s="744"/>
      <c r="AP111" s="744"/>
      <c r="AQ111" s="744"/>
      <c r="AR111" s="744"/>
      <c r="AS111" s="744"/>
      <c r="AT111" s="744"/>
      <c r="AU111" s="744"/>
      <c r="AV111" s="744"/>
      <c r="AW111" s="744"/>
      <c r="AX111" s="744"/>
      <c r="AY111" s="744"/>
      <c r="AZ111" s="744"/>
    </row>
    <row r="112" spans="1:57" ht="15.75" customHeight="1">
      <c r="A112" s="993"/>
      <c r="B112" s="994" t="s">
        <v>515</v>
      </c>
      <c r="C112" s="2893" t="s">
        <v>2652</v>
      </c>
      <c r="D112" s="2893"/>
      <c r="E112" s="2893"/>
      <c r="F112" s="2893"/>
      <c r="G112" s="2893"/>
      <c r="H112" s="2893"/>
      <c r="I112" s="2893"/>
      <c r="J112" s="2893"/>
      <c r="K112" s="2893"/>
      <c r="L112" s="2893"/>
      <c r="M112" s="2893"/>
      <c r="N112" s="2893"/>
      <c r="O112" s="2893"/>
      <c r="P112" s="2893"/>
      <c r="Q112" s="2893"/>
      <c r="R112" s="2893"/>
      <c r="S112" s="2893"/>
      <c r="T112" s="2893"/>
      <c r="U112" s="2893"/>
      <c r="V112" s="996"/>
      <c r="X112" s="744"/>
      <c r="Y112" s="744"/>
      <c r="Z112" s="744"/>
      <c r="AA112" s="744"/>
      <c r="AB112" s="744"/>
      <c r="AC112" s="744"/>
      <c r="AD112" s="744"/>
      <c r="AE112" s="744"/>
      <c r="AF112" s="744"/>
      <c r="AG112" s="744"/>
      <c r="AH112" s="744"/>
      <c r="AI112" s="744"/>
      <c r="AJ112" s="744"/>
      <c r="AK112" s="744"/>
      <c r="AO112" s="744"/>
      <c r="AP112" s="744"/>
      <c r="AQ112" s="744"/>
      <c r="AR112" s="744"/>
      <c r="AS112" s="744"/>
      <c r="AT112" s="744"/>
      <c r="AU112" s="744"/>
      <c r="AV112" s="744"/>
      <c r="AW112" s="744"/>
      <c r="AX112" s="744"/>
      <c r="AY112" s="744"/>
      <c r="AZ112" s="744"/>
    </row>
    <row r="113" spans="1:52" ht="6" customHeight="1">
      <c r="A113" s="564"/>
      <c r="B113" s="555"/>
      <c r="C113" s="555"/>
      <c r="D113" s="555"/>
      <c r="E113" s="555"/>
      <c r="F113" s="3"/>
      <c r="G113" s="3"/>
      <c r="H113" s="555"/>
      <c r="I113" s="555"/>
      <c r="J113" s="555"/>
      <c r="K113" s="555"/>
      <c r="L113" s="3"/>
      <c r="M113" s="3"/>
      <c r="N113" s="555"/>
      <c r="O113" s="555"/>
      <c r="P113" s="555"/>
      <c r="Q113" s="3"/>
      <c r="R113" s="3"/>
      <c r="S113" s="3"/>
      <c r="T113" s="3"/>
      <c r="U113" s="3"/>
      <c r="V113" s="920"/>
      <c r="X113" s="744"/>
      <c r="Y113" s="744"/>
      <c r="Z113" s="744"/>
      <c r="AA113" s="744"/>
      <c r="AB113" s="744"/>
      <c r="AC113" s="744"/>
      <c r="AD113" s="744"/>
      <c r="AE113" s="744"/>
      <c r="AF113" s="744"/>
      <c r="AG113" s="744"/>
      <c r="AH113" s="744"/>
      <c r="AI113" s="744"/>
      <c r="AJ113" s="744"/>
      <c r="AK113" s="744"/>
      <c r="AO113" s="744"/>
      <c r="AP113" s="744"/>
      <c r="AQ113" s="744"/>
      <c r="AR113" s="744"/>
      <c r="AS113" s="744"/>
      <c r="AT113" s="744"/>
      <c r="AU113" s="744"/>
      <c r="AV113" s="744"/>
      <c r="AW113" s="744"/>
      <c r="AX113" s="744"/>
      <c r="AY113" s="744"/>
      <c r="AZ113" s="744"/>
    </row>
    <row r="114" spans="1:52" ht="13.5" customHeight="1">
      <c r="A114" s="564"/>
      <c r="B114" s="945" t="s">
        <v>1087</v>
      </c>
      <c r="C114" s="85"/>
      <c r="D114" s="946"/>
      <c r="E114" s="946"/>
      <c r="F114" s="946"/>
      <c r="G114" s="946"/>
      <c r="H114" s="946"/>
      <c r="I114" s="946"/>
      <c r="L114" s="946"/>
      <c r="M114" s="946"/>
      <c r="N114" s="1625"/>
      <c r="O114" s="946"/>
      <c r="P114" s="946"/>
      <c r="Q114" s="946"/>
      <c r="R114" s="946"/>
      <c r="S114" s="946"/>
      <c r="T114" s="946"/>
      <c r="U114" s="947"/>
      <c r="V114" s="920"/>
      <c r="X114" s="744"/>
      <c r="Y114" s="744"/>
      <c r="Z114" s="744"/>
      <c r="AA114" s="744"/>
      <c r="AB114" s="744"/>
      <c r="AC114" s="744"/>
      <c r="AD114" s="744"/>
      <c r="AE114" s="744"/>
      <c r="AF114" s="744"/>
      <c r="AG114" s="744"/>
      <c r="AH114" s="744"/>
      <c r="AI114" s="744"/>
      <c r="AJ114" s="744"/>
      <c r="AK114" s="744"/>
      <c r="AO114" s="744"/>
      <c r="AP114" s="744"/>
      <c r="AQ114" s="744"/>
      <c r="AR114" s="744"/>
      <c r="AS114" s="744"/>
      <c r="AT114" s="744"/>
      <c r="AU114" s="744"/>
      <c r="AV114" s="744"/>
      <c r="AW114" s="744"/>
      <c r="AX114" s="744"/>
      <c r="AY114" s="744"/>
      <c r="AZ114" s="744"/>
    </row>
    <row r="115" spans="1:52" ht="18" customHeight="1">
      <c r="A115" s="564"/>
      <c r="B115" s="50"/>
      <c r="C115" s="3"/>
      <c r="D115" s="3"/>
      <c r="E115" s="24" t="s">
        <v>1088</v>
      </c>
      <c r="F115" s="2889" t="str">
        <f>IF(AA77=1,Trench!G19,"")</f>
        <v/>
      </c>
      <c r="G115" s="2890"/>
      <c r="H115" s="8" t="s">
        <v>1089</v>
      </c>
      <c r="I115" s="3"/>
      <c r="J115" s="1933"/>
      <c r="K115" s="1932" t="s">
        <v>1090</v>
      </c>
      <c r="L115" s="2889" t="str">
        <f>IF(AA77=1,Trench!H37,"")</f>
        <v/>
      </c>
      <c r="M115" s="2890"/>
      <c r="N115" s="10" t="s">
        <v>629</v>
      </c>
      <c r="O115" s="3"/>
      <c r="P115" s="3"/>
      <c r="Q115" s="3"/>
      <c r="R115" s="24" t="s">
        <v>1091</v>
      </c>
      <c r="S115" s="2870" t="str">
        <f>IF(AA77=1,Trench!H41,"")</f>
        <v/>
      </c>
      <c r="T115" s="2871"/>
      <c r="U115" s="40" t="s">
        <v>609</v>
      </c>
      <c r="V115" s="920"/>
      <c r="X115" s="744"/>
      <c r="Y115" s="744"/>
      <c r="Z115" s="744"/>
      <c r="AA115" s="744"/>
      <c r="AB115" s="744"/>
      <c r="AC115" s="744"/>
      <c r="AD115" s="744"/>
      <c r="AE115" s="744"/>
      <c r="AF115" s="744"/>
      <c r="AG115" s="744"/>
      <c r="AH115" s="744"/>
      <c r="AI115" s="744"/>
      <c r="AJ115" s="744"/>
      <c r="AK115" s="744"/>
      <c r="AO115" s="744"/>
      <c r="AP115" s="744"/>
      <c r="AQ115" s="744"/>
      <c r="AR115" s="744"/>
      <c r="AS115" s="744"/>
      <c r="AT115" s="744"/>
      <c r="AU115" s="744"/>
      <c r="AV115" s="744"/>
      <c r="AW115" s="744"/>
      <c r="AX115" s="744"/>
      <c r="AY115" s="744"/>
      <c r="AZ115" s="744"/>
    </row>
    <row r="116" spans="1:52" ht="4.3499999999999996" customHeight="1">
      <c r="A116" s="564"/>
      <c r="B116" s="50"/>
      <c r="C116" s="1910"/>
      <c r="D116" s="8"/>
      <c r="E116" s="8"/>
      <c r="F116" s="640"/>
      <c r="G116" s="640"/>
      <c r="H116" s="3"/>
      <c r="I116" s="3"/>
      <c r="J116" s="19"/>
      <c r="K116" s="19"/>
      <c r="L116" s="640"/>
      <c r="M116" s="1932"/>
      <c r="N116" s="4"/>
      <c r="O116" s="3"/>
      <c r="P116" s="3"/>
      <c r="Q116" s="3"/>
      <c r="R116" s="3"/>
      <c r="S116" s="1933"/>
      <c r="T116" s="1933"/>
      <c r="U116" s="86"/>
      <c r="V116" s="920"/>
      <c r="X116" s="744"/>
      <c r="Y116" s="744"/>
      <c r="Z116" s="744"/>
      <c r="AA116" s="744"/>
      <c r="AB116" s="744"/>
      <c r="AC116" s="744"/>
      <c r="AD116" s="744"/>
      <c r="AE116" s="744"/>
      <c r="AF116" s="744"/>
      <c r="AG116" s="744"/>
      <c r="AH116" s="744"/>
      <c r="AI116" s="744"/>
      <c r="AJ116" s="744"/>
      <c r="AK116" s="744"/>
      <c r="AO116" s="744"/>
      <c r="AP116" s="744"/>
      <c r="AQ116" s="744"/>
      <c r="AR116" s="744"/>
      <c r="AS116" s="744"/>
      <c r="AT116" s="744"/>
      <c r="AU116" s="744"/>
      <c r="AV116" s="744"/>
      <c r="AW116" s="744"/>
      <c r="AX116" s="744"/>
      <c r="AY116" s="744"/>
      <c r="AZ116" s="744"/>
    </row>
    <row r="117" spans="1:52" ht="18" customHeight="1">
      <c r="A117" s="564"/>
      <c r="B117" s="50"/>
      <c r="C117" s="3"/>
      <c r="D117" s="1933"/>
      <c r="E117" s="1932" t="s">
        <v>1092</v>
      </c>
      <c r="F117" s="2870" t="str">
        <f>IF(AA77=1, MAX(Trench!M44, Trench!H83),"")</f>
        <v/>
      </c>
      <c r="G117" s="2871"/>
      <c r="H117" s="640" t="s">
        <v>609</v>
      </c>
      <c r="I117" s="3"/>
      <c r="J117" s="1933"/>
      <c r="K117" s="1932" t="s">
        <v>1093</v>
      </c>
      <c r="L117" s="2889" t="str">
        <f>IF(AA77=1,Trench!I58,"")</f>
        <v/>
      </c>
      <c r="M117" s="2890"/>
      <c r="N117" s="2886" t="s">
        <v>1094</v>
      </c>
      <c r="O117" s="2887"/>
      <c r="P117" s="2887"/>
      <c r="Q117" s="2887"/>
      <c r="R117" s="2888"/>
      <c r="S117" s="2889" t="str">
        <f>IF(AA77=1,G94-G96,"")</f>
        <v/>
      </c>
      <c r="T117" s="2890"/>
      <c r="U117" s="948" t="s">
        <v>629</v>
      </c>
      <c r="V117" s="920"/>
      <c r="X117" s="744"/>
      <c r="Y117" s="744"/>
      <c r="Z117" s="744"/>
      <c r="AA117" s="744"/>
      <c r="AB117" s="744"/>
      <c r="AC117" s="744"/>
      <c r="AD117" s="744"/>
      <c r="AE117" s="744"/>
      <c r="AF117" s="744"/>
      <c r="AG117" s="744"/>
      <c r="AH117" s="744"/>
      <c r="AI117" s="744"/>
      <c r="AJ117" s="744"/>
      <c r="AK117" s="744"/>
      <c r="AO117" s="744"/>
      <c r="AP117" s="744"/>
      <c r="AQ117" s="744"/>
      <c r="AR117" s="744"/>
      <c r="AS117" s="744"/>
      <c r="AT117" s="744"/>
      <c r="AU117" s="744"/>
      <c r="AV117" s="744"/>
      <c r="AW117" s="744"/>
      <c r="AX117" s="744"/>
      <c r="AY117" s="744"/>
      <c r="AZ117" s="744"/>
    </row>
    <row r="118" spans="1:52" ht="4.3499999999999996" customHeight="1">
      <c r="A118" s="564"/>
      <c r="B118" s="50"/>
      <c r="C118" s="1910"/>
      <c r="D118" s="8"/>
      <c r="E118" s="8"/>
      <c r="F118" s="640"/>
      <c r="G118" s="640"/>
      <c r="H118" s="3"/>
      <c r="I118" s="3"/>
      <c r="J118" s="19"/>
      <c r="K118" s="19"/>
      <c r="L118" s="1933"/>
      <c r="M118" s="1933"/>
      <c r="N118" s="3"/>
      <c r="O118" s="3"/>
      <c r="P118" s="3"/>
      <c r="Q118" s="3"/>
      <c r="R118" s="3"/>
      <c r="S118" s="1933"/>
      <c r="T118" s="1933"/>
      <c r="U118" s="86"/>
      <c r="V118" s="920"/>
      <c r="X118" s="744"/>
      <c r="Y118" s="744"/>
      <c r="Z118" s="744"/>
      <c r="AA118" s="744"/>
      <c r="AB118" s="744"/>
      <c r="AC118" s="744"/>
      <c r="AD118" s="744"/>
      <c r="AE118" s="744"/>
      <c r="AF118" s="744"/>
      <c r="AG118" s="744"/>
      <c r="AH118" s="744"/>
      <c r="AI118" s="744"/>
      <c r="AJ118" s="744"/>
      <c r="AK118" s="744"/>
      <c r="AO118" s="744"/>
      <c r="AP118" s="744"/>
      <c r="AQ118" s="744"/>
      <c r="AR118" s="744"/>
      <c r="AS118" s="744"/>
      <c r="AT118" s="744"/>
      <c r="AU118" s="744"/>
      <c r="AV118" s="744"/>
      <c r="AW118" s="744"/>
      <c r="AX118" s="744"/>
      <c r="AY118" s="744"/>
      <c r="AZ118" s="744"/>
    </row>
    <row r="119" spans="1:52" ht="18" customHeight="1">
      <c r="A119" s="564"/>
      <c r="B119" s="50"/>
      <c r="C119" s="1918"/>
      <c r="D119" s="8"/>
      <c r="E119" s="1922" t="s">
        <v>1095</v>
      </c>
      <c r="F119" s="2870" t="str">
        <f>IF(AA77=1, Trench!P8,"")</f>
        <v/>
      </c>
      <c r="G119" s="2871"/>
      <c r="H119" s="640" t="s">
        <v>609</v>
      </c>
      <c r="I119" s="3"/>
      <c r="J119" s="3"/>
      <c r="K119" s="24" t="s">
        <v>1096</v>
      </c>
      <c r="L119" s="2870" t="str">
        <f>IF(AA77=1, IF(Trench!M26="Serial distribution in 15% sections",Trench!J54,Trench!N47),"")</f>
        <v/>
      </c>
      <c r="M119" s="2871"/>
      <c r="N119" s="1943" t="s">
        <v>1097</v>
      </c>
      <c r="O119" s="2884" t="s">
        <v>1098</v>
      </c>
      <c r="P119" s="2884"/>
      <c r="Q119" s="2884"/>
      <c r="R119" s="2885"/>
      <c r="S119" s="2930" t="str">
        <f>IF(AA77=1,IF(ISBLANK(Trench!P6),"", Trench!P6), "")</f>
        <v/>
      </c>
      <c r="T119" s="2931"/>
      <c r="U119" s="40" t="s">
        <v>629</v>
      </c>
      <c r="V119" s="920"/>
      <c r="X119" s="744"/>
      <c r="Y119" s="744"/>
      <c r="Z119" s="744"/>
      <c r="AA119" s="744"/>
      <c r="AB119" s="744"/>
      <c r="AC119" s="744"/>
      <c r="AD119" s="744"/>
      <c r="AE119" s="744"/>
      <c r="AF119" s="744"/>
      <c r="AG119" s="744"/>
      <c r="AH119" s="744"/>
      <c r="AI119" s="744"/>
      <c r="AJ119" s="744"/>
      <c r="AK119" s="744"/>
      <c r="AO119" s="744"/>
      <c r="AP119" s="744"/>
      <c r="AQ119" s="744"/>
      <c r="AR119" s="744"/>
      <c r="AS119" s="744"/>
      <c r="AT119" s="744"/>
      <c r="AU119" s="744"/>
      <c r="AV119" s="744"/>
      <c r="AW119" s="744"/>
      <c r="AX119" s="744"/>
      <c r="AY119" s="744"/>
      <c r="AZ119" s="744"/>
    </row>
    <row r="120" spans="1:52" ht="4.3499999999999996" customHeight="1">
      <c r="A120" s="564"/>
      <c r="B120" s="949"/>
      <c r="C120" s="950"/>
      <c r="D120" s="61"/>
      <c r="E120" s="61"/>
      <c r="F120" s="61"/>
      <c r="G120" s="61"/>
      <c r="H120" s="78"/>
      <c r="I120" s="78"/>
      <c r="J120" s="363"/>
      <c r="K120" s="363"/>
      <c r="L120" s="61"/>
      <c r="M120" s="103"/>
      <c r="N120" s="38"/>
      <c r="O120" s="363"/>
      <c r="P120" s="363"/>
      <c r="Q120" s="951"/>
      <c r="R120" s="363"/>
      <c r="S120" s="363"/>
      <c r="T120" s="38"/>
      <c r="U120" s="952"/>
      <c r="V120" s="920"/>
      <c r="X120" s="744"/>
      <c r="Y120" s="744"/>
      <c r="Z120" s="744"/>
      <c r="AA120" s="744"/>
      <c r="AB120" s="744"/>
      <c r="AC120" s="744"/>
      <c r="AD120" s="744"/>
      <c r="AE120" s="744"/>
      <c r="AF120" s="744"/>
      <c r="AG120" s="744"/>
      <c r="AH120" s="744"/>
      <c r="AI120" s="744"/>
      <c r="AJ120" s="744"/>
      <c r="AK120" s="744"/>
      <c r="AO120" s="744"/>
      <c r="AP120" s="744"/>
      <c r="AQ120" s="744"/>
      <c r="AR120" s="744"/>
      <c r="AS120" s="744"/>
      <c r="AT120" s="744"/>
      <c r="AU120" s="744"/>
      <c r="AV120" s="744"/>
      <c r="AW120" s="744"/>
      <c r="AX120" s="744"/>
      <c r="AY120" s="744"/>
      <c r="AZ120" s="744"/>
    </row>
    <row r="121" spans="1:52" ht="6" customHeight="1">
      <c r="A121" s="564"/>
      <c r="B121" s="3"/>
      <c r="C121" s="1910"/>
      <c r="D121" s="8"/>
      <c r="E121" s="8"/>
      <c r="F121" s="8"/>
      <c r="G121" s="8"/>
      <c r="H121" s="3"/>
      <c r="I121" s="3"/>
      <c r="J121" s="19"/>
      <c r="K121" s="19"/>
      <c r="L121" s="8"/>
      <c r="M121" s="24"/>
      <c r="N121" s="4"/>
      <c r="O121" s="19"/>
      <c r="P121" s="19"/>
      <c r="Q121" s="1911"/>
      <c r="R121" s="19"/>
      <c r="S121" s="19"/>
      <c r="T121" s="4"/>
      <c r="U121" s="4"/>
      <c r="V121" s="920"/>
      <c r="X121" s="744"/>
      <c r="Y121" s="744"/>
      <c r="Z121" s="744"/>
      <c r="AA121" s="744"/>
      <c r="AB121" s="744"/>
      <c r="AC121" s="744"/>
      <c r="AD121" s="744"/>
      <c r="AE121" s="744"/>
      <c r="AF121" s="744"/>
      <c r="AG121" s="744"/>
      <c r="AH121" s="744"/>
      <c r="AI121" s="744"/>
      <c r="AJ121" s="744"/>
      <c r="AK121" s="744"/>
      <c r="AO121" s="744"/>
      <c r="AP121" s="744"/>
      <c r="AQ121" s="744"/>
      <c r="AR121" s="744"/>
      <c r="AS121" s="744"/>
      <c r="AT121" s="744"/>
      <c r="AU121" s="744"/>
      <c r="AV121" s="744"/>
      <c r="AW121" s="744"/>
      <c r="AX121" s="744"/>
      <c r="AY121" s="744"/>
      <c r="AZ121" s="744"/>
    </row>
    <row r="122" spans="1:52" ht="14.25" customHeight="1">
      <c r="A122" s="564"/>
      <c r="B122" s="945" t="s">
        <v>1099</v>
      </c>
      <c r="C122" s="946"/>
      <c r="D122" s="946"/>
      <c r="E122" s="946"/>
      <c r="F122" s="946"/>
      <c r="G122" s="946"/>
      <c r="H122" s="946"/>
      <c r="I122" s="946"/>
      <c r="J122" s="946"/>
      <c r="K122" s="946"/>
      <c r="L122" s="946"/>
      <c r="M122" s="946"/>
      <c r="N122" s="946"/>
      <c r="O122" s="946"/>
      <c r="P122" s="946"/>
      <c r="Q122" s="946"/>
      <c r="R122" s="946"/>
      <c r="S122" s="946"/>
      <c r="T122" s="946"/>
      <c r="U122" s="947"/>
      <c r="V122" s="920"/>
      <c r="X122" s="744"/>
      <c r="Y122" s="744"/>
      <c r="Z122" s="744"/>
      <c r="AA122" s="744"/>
      <c r="AB122" s="744"/>
      <c r="AC122" s="744"/>
      <c r="AD122" s="744"/>
      <c r="AE122" s="744"/>
      <c r="AF122" s="744"/>
      <c r="AG122" s="744"/>
      <c r="AH122" s="744"/>
      <c r="AI122" s="744"/>
      <c r="AJ122" s="744"/>
      <c r="AK122" s="744"/>
      <c r="AO122" s="744"/>
      <c r="AP122" s="744"/>
      <c r="AQ122" s="744"/>
      <c r="AR122" s="744"/>
      <c r="AS122" s="744"/>
      <c r="AT122" s="744"/>
      <c r="AU122" s="744"/>
      <c r="AV122" s="744"/>
      <c r="AW122" s="744"/>
      <c r="AX122" s="744"/>
      <c r="AY122" s="744"/>
      <c r="AZ122" s="744"/>
    </row>
    <row r="123" spans="1:52" ht="18" customHeight="1">
      <c r="A123" s="564"/>
      <c r="B123" s="50"/>
      <c r="C123" s="3"/>
      <c r="D123" s="24"/>
      <c r="E123" s="24" t="s">
        <v>1088</v>
      </c>
      <c r="F123" s="2870" t="str">
        <f>IF(AA77=2,'Bed '!R86,"")</f>
        <v/>
      </c>
      <c r="G123" s="2871"/>
      <c r="H123" s="8" t="s">
        <v>1089</v>
      </c>
      <c r="I123" s="3"/>
      <c r="J123" s="1932"/>
      <c r="K123" s="1932" t="s">
        <v>1090</v>
      </c>
      <c r="L123" s="2870" t="str">
        <f>IF(AA77=2,MAX('Bed '!G41,'Bed '!L58),"")</f>
        <v/>
      </c>
      <c r="M123" s="2871"/>
      <c r="N123" s="10" t="s">
        <v>629</v>
      </c>
      <c r="O123" s="3"/>
      <c r="P123" s="1922"/>
      <c r="Q123" s="1922"/>
      <c r="R123" s="1922" t="s">
        <v>1100</v>
      </c>
      <c r="S123" s="2889" t="str">
        <f>IF(AA77=2,'Bed '!H6,"")</f>
        <v/>
      </c>
      <c r="T123" s="2890"/>
      <c r="U123" s="40" t="s">
        <v>629</v>
      </c>
      <c r="V123" s="920"/>
      <c r="W123" s="969"/>
      <c r="X123" s="744"/>
      <c r="Y123" s="744"/>
      <c r="Z123" s="744"/>
      <c r="AA123" s="744"/>
      <c r="AB123" s="744"/>
      <c r="AC123" s="744"/>
      <c r="AD123" s="744"/>
      <c r="AE123" s="744"/>
      <c r="AF123" s="744"/>
      <c r="AG123" s="744"/>
      <c r="AH123" s="744"/>
      <c r="AI123" s="744"/>
      <c r="AJ123" s="744"/>
      <c r="AK123" s="744"/>
      <c r="AO123" s="744"/>
      <c r="AP123" s="744"/>
      <c r="AQ123" s="744"/>
      <c r="AR123" s="744"/>
      <c r="AS123" s="744"/>
      <c r="AT123" s="744"/>
      <c r="AU123" s="744"/>
      <c r="AV123" s="744"/>
      <c r="AW123" s="744"/>
      <c r="AX123" s="744"/>
      <c r="AY123" s="744"/>
      <c r="AZ123" s="744"/>
    </row>
    <row r="124" spans="1:52" ht="4.3499999999999996" customHeight="1">
      <c r="A124" s="564"/>
      <c r="B124" s="50"/>
      <c r="C124" s="1910"/>
      <c r="D124" s="8"/>
      <c r="E124" s="8"/>
      <c r="F124" s="3"/>
      <c r="G124" s="3"/>
      <c r="H124" s="3"/>
      <c r="I124" s="3"/>
      <c r="J124" s="19"/>
      <c r="K124" s="19"/>
      <c r="L124" s="8"/>
      <c r="M124" s="3"/>
      <c r="N124" s="3"/>
      <c r="O124" s="3"/>
      <c r="P124" s="19"/>
      <c r="Q124" s="1911"/>
      <c r="R124" s="19"/>
      <c r="S124" s="19"/>
      <c r="T124" s="4"/>
      <c r="U124" s="87"/>
      <c r="V124" s="920"/>
      <c r="W124" s="969"/>
      <c r="X124" s="744"/>
      <c r="Y124" s="744"/>
      <c r="Z124" s="744"/>
      <c r="AA124" s="744"/>
      <c r="AB124" s="744"/>
      <c r="AC124" s="744"/>
      <c r="AD124" s="744"/>
      <c r="AE124" s="744"/>
      <c r="AF124" s="744"/>
      <c r="AG124" s="744"/>
      <c r="AH124" s="744"/>
      <c r="AI124" s="744"/>
      <c r="AJ124" s="744"/>
      <c r="AK124" s="744"/>
      <c r="AO124" s="744"/>
      <c r="AP124" s="744"/>
      <c r="AQ124" s="744"/>
      <c r="AR124" s="744"/>
      <c r="AS124" s="744"/>
      <c r="AT124" s="744"/>
      <c r="AU124" s="744"/>
      <c r="AV124" s="744"/>
      <c r="AW124" s="744"/>
      <c r="AX124" s="744"/>
      <c r="AY124" s="744"/>
      <c r="AZ124" s="744"/>
    </row>
    <row r="125" spans="1:52" ht="18" customHeight="1">
      <c r="A125" s="564"/>
      <c r="B125" s="50"/>
      <c r="C125" s="3"/>
      <c r="D125" s="1922"/>
      <c r="E125" s="1922" t="s">
        <v>1101</v>
      </c>
      <c r="F125" s="2929" t="str">
        <f>IF(AA77=2,'Bed '!G31,"")</f>
        <v/>
      </c>
      <c r="G125" s="2900"/>
      <c r="H125" s="8" t="s">
        <v>609</v>
      </c>
      <c r="I125" s="3"/>
      <c r="J125" s="3"/>
      <c r="K125" s="1932" t="s">
        <v>1102</v>
      </c>
      <c r="L125" s="2870" t="str">
        <f>IF(AA77=2,MAX('Bed '!M33,'Bed '!L56),"")</f>
        <v/>
      </c>
      <c r="M125" s="2871"/>
      <c r="N125" s="8" t="s">
        <v>609</v>
      </c>
      <c r="O125" s="3"/>
      <c r="P125" s="1922"/>
      <c r="Q125" s="1922"/>
      <c r="R125" s="1922" t="s">
        <v>1103</v>
      </c>
      <c r="S125" s="2930" t="str">
        <f>IF(AA77=2,IF(ISBLANK('Bed '!P6), "", 'Bed '!P6), "")</f>
        <v/>
      </c>
      <c r="T125" s="2931"/>
      <c r="U125" s="953" t="s">
        <v>629</v>
      </c>
      <c r="V125" s="683"/>
      <c r="W125" s="969"/>
      <c r="X125" s="744"/>
      <c r="Y125" s="744"/>
      <c r="Z125" s="744"/>
      <c r="AA125" s="744"/>
      <c r="AB125" s="744"/>
      <c r="AC125" s="744"/>
      <c r="AD125" s="744"/>
      <c r="AE125" s="744"/>
      <c r="AF125" s="744"/>
      <c r="AG125" s="744"/>
      <c r="AH125" s="744"/>
      <c r="AI125" s="744"/>
      <c r="AJ125" s="744"/>
      <c r="AK125" s="744"/>
      <c r="AO125" s="744"/>
      <c r="AP125" s="744"/>
      <c r="AQ125" s="744"/>
      <c r="AR125" s="744"/>
      <c r="AS125" s="744"/>
      <c r="AT125" s="744"/>
      <c r="AU125" s="744"/>
      <c r="AV125" s="744"/>
      <c r="AW125" s="744"/>
      <c r="AX125" s="744"/>
      <c r="AY125" s="744"/>
      <c r="AZ125" s="744"/>
    </row>
    <row r="126" spans="1:52" ht="4.3499999999999996" customHeight="1">
      <c r="A126" s="564"/>
      <c r="B126" s="949"/>
      <c r="C126" s="950"/>
      <c r="D126" s="61"/>
      <c r="E126" s="61"/>
      <c r="F126" s="61"/>
      <c r="G126" s="61"/>
      <c r="H126" s="78"/>
      <c r="I126" s="78"/>
      <c r="J126" s="363"/>
      <c r="K126" s="363"/>
      <c r="L126" s="61"/>
      <c r="M126" s="103"/>
      <c r="N126" s="38"/>
      <c r="O126" s="363"/>
      <c r="P126" s="363"/>
      <c r="Q126" s="951"/>
      <c r="R126" s="363"/>
      <c r="S126" s="363"/>
      <c r="T126" s="38"/>
      <c r="U126" s="952"/>
      <c r="V126" s="920"/>
      <c r="W126" s="969"/>
      <c r="X126" s="744"/>
      <c r="Y126" s="744"/>
      <c r="Z126" s="744"/>
      <c r="AA126" s="744"/>
      <c r="AB126" s="744"/>
      <c r="AC126" s="744"/>
      <c r="AD126" s="744"/>
      <c r="AE126" s="744"/>
      <c r="AF126" s="744"/>
      <c r="AG126" s="744"/>
      <c r="AH126" s="744"/>
      <c r="AI126" s="744"/>
      <c r="AJ126" s="744"/>
      <c r="AK126" s="744"/>
    </row>
    <row r="127" spans="1:52" ht="4.3499999999999996" customHeight="1" thickBot="1">
      <c r="A127" s="939"/>
      <c r="B127" s="940"/>
      <c r="C127" s="2313"/>
      <c r="D127" s="754"/>
      <c r="E127" s="754"/>
      <c r="F127" s="754"/>
      <c r="G127" s="754"/>
      <c r="H127" s="940"/>
      <c r="I127" s="940"/>
      <c r="J127" s="639"/>
      <c r="K127" s="639"/>
      <c r="L127" s="754"/>
      <c r="M127" s="2315"/>
      <c r="N127" s="756"/>
      <c r="O127" s="639"/>
      <c r="P127" s="639"/>
      <c r="Q127" s="2316"/>
      <c r="R127" s="639"/>
      <c r="S127" s="639"/>
      <c r="T127" s="756"/>
      <c r="U127" s="756"/>
      <c r="V127" s="941"/>
      <c r="W127" s="969"/>
      <c r="X127" s="744"/>
      <c r="Y127" s="744"/>
      <c r="Z127" s="744"/>
      <c r="AA127" s="744"/>
      <c r="AB127" s="744"/>
      <c r="AC127" s="744"/>
      <c r="AD127" s="744"/>
      <c r="AE127" s="744"/>
      <c r="AF127" s="744"/>
      <c r="AG127" s="744"/>
      <c r="AH127" s="744"/>
      <c r="AI127" s="744"/>
      <c r="AJ127" s="744"/>
      <c r="AK127" s="744"/>
    </row>
    <row r="128" spans="1:52" ht="4.3499999999999996" customHeight="1" thickBot="1">
      <c r="A128" s="939"/>
      <c r="B128" s="2313"/>
      <c r="C128" s="2314"/>
      <c r="D128" s="2314"/>
      <c r="E128" s="2314"/>
      <c r="F128" s="2314"/>
      <c r="G128" s="2314"/>
      <c r="H128" s="2314"/>
      <c r="I128" s="2314"/>
      <c r="J128" s="2314"/>
      <c r="K128" s="2314"/>
      <c r="L128" s="2314"/>
      <c r="M128" s="2314"/>
      <c r="N128" s="2314"/>
      <c r="O128" s="2314"/>
      <c r="P128" s="2314"/>
      <c r="Q128" s="2314"/>
      <c r="R128" s="940"/>
      <c r="S128" s="940"/>
      <c r="T128" s="940"/>
      <c r="U128" s="940"/>
      <c r="V128" s="941"/>
      <c r="W128" s="969"/>
      <c r="X128" s="744"/>
      <c r="Y128" s="744"/>
      <c r="Z128" s="744"/>
      <c r="AA128" s="744"/>
      <c r="AB128" s="744"/>
      <c r="AC128" s="744"/>
      <c r="AD128" s="744"/>
      <c r="AE128" s="744"/>
      <c r="AF128" s="744"/>
      <c r="AG128" s="744"/>
      <c r="AH128" s="744"/>
      <c r="AI128" s="744"/>
      <c r="AJ128" s="744"/>
      <c r="AK128" s="744"/>
    </row>
    <row r="129" spans="1:33" ht="12" customHeight="1">
      <c r="A129" s="961"/>
      <c r="B129" s="991"/>
      <c r="C129" s="991"/>
      <c r="D129" s="991"/>
      <c r="E129" s="991"/>
      <c r="F129" s="991"/>
      <c r="G129" s="991"/>
      <c r="H129" s="991"/>
      <c r="I129" s="991"/>
      <c r="J129" s="991"/>
      <c r="K129" s="991"/>
      <c r="L129" s="991"/>
      <c r="M129" s="2908" t="s">
        <v>551</v>
      </c>
      <c r="N129" s="2908"/>
      <c r="O129" s="2908"/>
      <c r="P129" s="2908" t="str">
        <f>IF(ISBLANK(Prelim!S5)," ",Prelim!S5)</f>
        <v xml:space="preserve"> </v>
      </c>
      <c r="Q129" s="2908"/>
      <c r="R129" s="2908"/>
      <c r="S129" s="2908"/>
      <c r="T129" s="2908"/>
      <c r="U129" s="991"/>
      <c r="V129" s="962"/>
      <c r="W129" s="969"/>
      <c r="AD129" s="1"/>
      <c r="AE129" s="1"/>
      <c r="AF129" s="1"/>
      <c r="AG129" s="1"/>
    </row>
    <row r="130" spans="1:33" ht="14.25" customHeight="1">
      <c r="A130" s="564"/>
      <c r="B130" s="954" t="s">
        <v>1104</v>
      </c>
      <c r="C130" s="955"/>
      <c r="D130" s="41"/>
      <c r="E130" s="41"/>
      <c r="F130" s="85"/>
      <c r="G130" s="85"/>
      <c r="H130" s="85"/>
      <c r="I130" s="85"/>
      <c r="J130" s="956"/>
      <c r="K130" s="956"/>
      <c r="L130" s="41"/>
      <c r="M130" s="957"/>
      <c r="N130" s="713"/>
      <c r="O130" s="956"/>
      <c r="P130" s="956"/>
      <c r="Q130" s="85"/>
      <c r="R130" s="85"/>
      <c r="S130" s="85"/>
      <c r="T130" s="85"/>
      <c r="U130" s="958"/>
      <c r="V130" s="920"/>
      <c r="W130" s="969"/>
      <c r="AD130" s="1"/>
      <c r="AE130" s="1"/>
      <c r="AF130" s="1"/>
      <c r="AG130" s="1"/>
    </row>
    <row r="131" spans="1:33" ht="18" customHeight="1">
      <c r="A131" s="564"/>
      <c r="B131" s="50"/>
      <c r="C131" s="3"/>
      <c r="D131" s="3"/>
      <c r="E131" s="24" t="s">
        <v>1088</v>
      </c>
      <c r="F131" s="2870" t="str">
        <f>IF(AA77&lt;4," ",IF(AA77&gt;4," ",IF(AA77=4,IF(G108&lt;1,'Mound ≤ 1%'!H35,IF(G108&gt;=1,'Mound&gt;1%'!J113)))))</f>
        <v xml:space="preserve"> </v>
      </c>
      <c r="G131" s="2871"/>
      <c r="H131" s="8" t="s">
        <v>1089</v>
      </c>
      <c r="I131" s="3"/>
      <c r="J131" s="3"/>
      <c r="K131" s="24" t="s">
        <v>1105</v>
      </c>
      <c r="L131" s="2870" t="str">
        <f>IF(AA77&lt;4," ",IF(AA77&gt;4," ",IF(AA77=4,IF(G108&lt;1,'Mound ≤ 1%'!F94,IF(G108&gt;=1,'Mound&gt;1%'!J100)))))</f>
        <v xml:space="preserve"> </v>
      </c>
      <c r="M131" s="2871"/>
      <c r="N131" s="3" t="s">
        <v>609</v>
      </c>
      <c r="O131" s="3"/>
      <c r="P131" s="3"/>
      <c r="Q131" s="3"/>
      <c r="R131" s="24" t="s">
        <v>1106</v>
      </c>
      <c r="S131" s="2870" t="str">
        <f>IF(AA77&lt;4," ",IF(AA77&gt;4," ",IF(AA77=4,IF(G108&lt;1,'Mound ≤ 1%'!H37,IF(G108&gt;=1,'Mound&gt;1%'!H35)))))</f>
        <v xml:space="preserve"> </v>
      </c>
      <c r="T131" s="2871"/>
      <c r="U131" s="86" t="s">
        <v>609</v>
      </c>
      <c r="V131" s="920"/>
      <c r="AD131" s="1"/>
      <c r="AE131" s="1"/>
      <c r="AF131" s="1"/>
      <c r="AG131" s="1"/>
    </row>
    <row r="132" spans="1:33" ht="4.3499999999999996" customHeight="1">
      <c r="A132" s="564"/>
      <c r="B132" s="50"/>
      <c r="C132" s="3"/>
      <c r="D132" s="3"/>
      <c r="E132" s="3"/>
      <c r="F132" s="3"/>
      <c r="G132" s="3"/>
      <c r="H132" s="3"/>
      <c r="I132" s="3"/>
      <c r="J132" s="3"/>
      <c r="K132" s="3"/>
      <c r="L132" s="1933"/>
      <c r="M132" s="1933"/>
      <c r="N132" s="3"/>
      <c r="O132" s="3"/>
      <c r="P132" s="3"/>
      <c r="Q132" s="3"/>
      <c r="R132" s="3"/>
      <c r="S132" s="1933"/>
      <c r="T132" s="1933"/>
      <c r="U132" s="86"/>
      <c r="V132" s="920"/>
      <c r="W132" s="969"/>
      <c r="AD132" s="1"/>
      <c r="AE132" s="1"/>
      <c r="AF132" s="1"/>
      <c r="AG132" s="1"/>
    </row>
    <row r="133" spans="1:33" ht="18" customHeight="1">
      <c r="A133" s="564"/>
      <c r="B133" s="50"/>
      <c r="C133" s="3"/>
      <c r="D133" s="3"/>
      <c r="E133" s="24" t="s">
        <v>1107</v>
      </c>
      <c r="F133" s="2870" t="str">
        <f>IF(AA77&lt;4," ",IF(AA77&gt;4," ",IF(AA77=4,IF(G108&lt;1,'Mound ≤ 1%'!J48,IF(G108&gt;=1,'Mound&gt;1%'!J46)))))</f>
        <v xml:space="preserve"> </v>
      </c>
      <c r="G133" s="2871"/>
      <c r="H133" s="3" t="s">
        <v>609</v>
      </c>
      <c r="I133" s="3"/>
      <c r="J133" s="3"/>
      <c r="K133" s="24" t="s">
        <v>1108</v>
      </c>
      <c r="L133" s="2870" t="str">
        <f>IF(AA77&lt;4," ",IF(AA77&gt;4," ",IF(AA77=4,MAX(MAX('Mound ≤ 1%'!H73,'Mound ≤ 1%'!P73),MAX('Mound&gt;1%'!H68,'Mound&gt;1%'!P68)),"")))</f>
        <v xml:space="preserve"> </v>
      </c>
      <c r="M133" s="2871"/>
      <c r="N133" s="3" t="s">
        <v>609</v>
      </c>
      <c r="O133" s="3"/>
      <c r="P133" s="3"/>
      <c r="Q133" s="3"/>
      <c r="R133" s="24" t="s">
        <v>1109</v>
      </c>
      <c r="S133" s="2870" t="str">
        <f>IF(AA77&lt;4,"",IF(AA77=5,"",IF(AA77=6,"",IF(AA77=4,IF(G108&gt;1,"",'Mound ≤ 1%'!I88)))))</f>
        <v/>
      </c>
      <c r="T133" s="2871"/>
      <c r="U133" s="86" t="s">
        <v>609</v>
      </c>
      <c r="V133" s="920"/>
      <c r="AE133" s="1"/>
      <c r="AF133" s="1"/>
      <c r="AG133" s="1"/>
    </row>
    <row r="134" spans="1:33" ht="4.3499999999999996" customHeight="1">
      <c r="A134" s="564"/>
      <c r="B134" s="50"/>
      <c r="C134" s="3"/>
      <c r="D134" s="3"/>
      <c r="E134" s="3"/>
      <c r="F134" s="1933"/>
      <c r="G134" s="1933"/>
      <c r="H134" s="3"/>
      <c r="I134" s="3"/>
      <c r="J134" s="3"/>
      <c r="K134" s="3"/>
      <c r="L134" s="1933"/>
      <c r="M134" s="1933"/>
      <c r="N134" s="3"/>
      <c r="O134" s="3"/>
      <c r="P134" s="3"/>
      <c r="Q134" s="3"/>
      <c r="R134" s="3"/>
      <c r="S134" s="1933"/>
      <c r="T134" s="1933"/>
      <c r="U134" s="87"/>
      <c r="V134" s="920"/>
      <c r="W134" s="969"/>
      <c r="AD134" s="1"/>
      <c r="AE134" s="1"/>
      <c r="AF134" s="1"/>
      <c r="AG134" s="1"/>
    </row>
    <row r="135" spans="1:33" ht="18" customHeight="1">
      <c r="A135" s="564"/>
      <c r="B135" s="50"/>
      <c r="C135" s="3"/>
      <c r="D135" s="3"/>
      <c r="E135" s="24" t="s">
        <v>1110</v>
      </c>
      <c r="F135" s="2870" t="str">
        <f>IF(AA77&lt;4,"",IF(AA77=5,"",IF(AA77=6,"",IF(AA77=4,IF(G108&gt;=1,'Mound&gt;1%'!N77,IF(G108&lt;1,'Mound ≤ 1%'!I79,""))))))</f>
        <v/>
      </c>
      <c r="G135" s="2871"/>
      <c r="H135" s="3" t="s">
        <v>609</v>
      </c>
      <c r="I135" s="3"/>
      <c r="J135" s="3"/>
      <c r="K135" s="959" t="s">
        <v>1111</v>
      </c>
      <c r="L135" s="2870" t="str">
        <f>IF(AA77&lt;4,"",IF(AA77=5,"",IF(AA77=6,"",IF(AA77=4,IF(G108&gt;=1,'Mound&gt;1%'!K92,IF(G108&lt;1,'Mound ≤ 1%'!I79,""))))))</f>
        <v/>
      </c>
      <c r="M135" s="2871"/>
      <c r="N135" s="3" t="s">
        <v>609</v>
      </c>
      <c r="O135" s="3"/>
      <c r="P135" s="3"/>
      <c r="Q135" s="3"/>
      <c r="R135" s="24" t="s">
        <v>1112</v>
      </c>
      <c r="S135" s="2870" t="str">
        <f>IF(AA77=4,MAX('Mound ≤ 1%'!I79,'Mound&gt;1%'!N96),"")</f>
        <v/>
      </c>
      <c r="T135" s="2871"/>
      <c r="U135" s="86" t="s">
        <v>609</v>
      </c>
      <c r="V135" s="920"/>
      <c r="AD135" s="1"/>
      <c r="AE135" s="1"/>
      <c r="AF135" s="1"/>
      <c r="AG135" s="1"/>
    </row>
    <row r="136" spans="1:33" ht="4.3499999999999996" customHeight="1">
      <c r="A136" s="564"/>
      <c r="B136" s="50"/>
      <c r="C136" s="3"/>
      <c r="D136" s="3"/>
      <c r="E136" s="3"/>
      <c r="F136" s="1933"/>
      <c r="G136" s="1933"/>
      <c r="H136" s="3"/>
      <c r="I136" s="3"/>
      <c r="J136" s="3"/>
      <c r="K136" s="3"/>
      <c r="L136" s="1933"/>
      <c r="M136" s="1933"/>
      <c r="N136" s="3"/>
      <c r="O136" s="3"/>
      <c r="P136" s="3"/>
      <c r="Q136" s="3"/>
      <c r="R136" s="3"/>
      <c r="S136" s="1933"/>
      <c r="T136" s="1933"/>
      <c r="U136" s="86"/>
      <c r="V136" s="920"/>
      <c r="W136" s="969"/>
      <c r="AD136" s="1"/>
      <c r="AE136" s="1"/>
      <c r="AF136" s="1"/>
      <c r="AG136" s="1"/>
    </row>
    <row r="137" spans="1:33" ht="18" customHeight="1">
      <c r="A137" s="564"/>
      <c r="B137" s="50"/>
      <c r="C137" s="3"/>
      <c r="D137" s="3"/>
      <c r="E137" s="24" t="s">
        <v>1113</v>
      </c>
      <c r="F137" s="2870" t="str">
        <f>IF(AA77&lt;4," ",IF(AA77&gt;4," ",IF(AA77=4,IF(G108&lt;1,'Mound ≤ 1%'!L94,IF(G108&gt;=1,'Mound&gt;1%'!P100,"")))))</f>
        <v xml:space="preserve"> </v>
      </c>
      <c r="G137" s="2871"/>
      <c r="H137" s="3" t="s">
        <v>609</v>
      </c>
      <c r="I137" s="3"/>
      <c r="J137" s="3"/>
      <c r="K137" s="24" t="s">
        <v>1114</v>
      </c>
      <c r="L137" s="2870" t="str">
        <f>IF(AA77&lt;4," ",IF(AA77&gt;4," ",IF(AA77=4,IF(G108&lt;1,'Mound ≤ 1%'!L91,IF(G108&gt;=1,'Mound&gt;1%'!P98)))))</f>
        <v xml:space="preserve"> </v>
      </c>
      <c r="M137" s="2871"/>
      <c r="N137" s="3" t="s">
        <v>609</v>
      </c>
      <c r="O137" s="3"/>
      <c r="P137" s="3"/>
      <c r="Q137" s="3"/>
      <c r="R137" s="1922" t="s">
        <v>1095</v>
      </c>
      <c r="S137" s="2870" t="str">
        <f>IF(AA77=4,MAX('Mound ≤ 1%'!K39,'Mound&gt;1%'!K37),"")</f>
        <v/>
      </c>
      <c r="T137" s="2871"/>
      <c r="U137" s="960" t="s">
        <v>1115</v>
      </c>
      <c r="V137" s="920"/>
      <c r="AD137" s="1"/>
      <c r="AE137" s="1"/>
      <c r="AF137" s="1"/>
      <c r="AG137" s="1"/>
    </row>
    <row r="138" spans="1:33" ht="6" customHeight="1">
      <c r="A138" s="564"/>
      <c r="B138" s="949"/>
      <c r="C138" s="950"/>
      <c r="D138" s="61"/>
      <c r="E138" s="61"/>
      <c r="F138" s="61"/>
      <c r="G138" s="61"/>
      <c r="H138" s="78"/>
      <c r="I138" s="78"/>
      <c r="J138" s="363"/>
      <c r="K138" s="363"/>
      <c r="L138" s="61"/>
      <c r="M138" s="103"/>
      <c r="N138" s="38"/>
      <c r="O138" s="363"/>
      <c r="P138" s="363"/>
      <c r="Q138" s="951"/>
      <c r="R138" s="363"/>
      <c r="S138" s="363"/>
      <c r="T138" s="363"/>
      <c r="U138" s="952"/>
      <c r="V138" s="920"/>
      <c r="W138" s="969"/>
      <c r="AD138" s="1"/>
      <c r="AE138" s="1"/>
      <c r="AF138" s="1"/>
      <c r="AG138" s="1"/>
    </row>
    <row r="139" spans="1:33" ht="3.95" customHeight="1">
      <c r="A139" s="564"/>
      <c r="B139" s="3"/>
      <c r="C139" s="1910"/>
      <c r="D139" s="8"/>
      <c r="E139" s="8"/>
      <c r="F139" s="8"/>
      <c r="G139" s="8"/>
      <c r="H139" s="3"/>
      <c r="I139" s="3"/>
      <c r="J139" s="19"/>
      <c r="K139" s="19"/>
      <c r="L139" s="8"/>
      <c r="M139" s="24"/>
      <c r="N139" s="4"/>
      <c r="O139" s="19"/>
      <c r="P139" s="19"/>
      <c r="Q139" s="1911"/>
      <c r="R139" s="19"/>
      <c r="S139" s="19"/>
      <c r="T139" s="19"/>
      <c r="U139" s="4"/>
      <c r="V139" s="920"/>
      <c r="W139" s="969"/>
      <c r="AD139" s="1"/>
      <c r="AE139" s="1"/>
      <c r="AF139" s="1"/>
      <c r="AG139" s="1"/>
    </row>
    <row r="140" spans="1:33" ht="14.25" customHeight="1">
      <c r="A140" s="564"/>
      <c r="B140" s="954" t="s">
        <v>1116</v>
      </c>
      <c r="C140" s="955"/>
      <c r="D140" s="41"/>
      <c r="E140" s="41"/>
      <c r="F140" s="41"/>
      <c r="G140" s="41"/>
      <c r="H140" s="85"/>
      <c r="I140" s="85"/>
      <c r="J140" s="956"/>
      <c r="K140" s="956"/>
      <c r="L140" s="85"/>
      <c r="M140" s="85"/>
      <c r="N140" s="85"/>
      <c r="O140" s="956"/>
      <c r="P140" s="956"/>
      <c r="Q140" s="85"/>
      <c r="R140" s="85"/>
      <c r="S140" s="85"/>
      <c r="T140" s="85"/>
      <c r="U140" s="958"/>
      <c r="V140" s="920"/>
      <c r="W140" s="969"/>
      <c r="AD140" s="1"/>
      <c r="AE140" s="1"/>
      <c r="AF140" s="1"/>
      <c r="AG140" s="1"/>
    </row>
    <row r="141" spans="1:33" ht="17.25" customHeight="1">
      <c r="A141" s="564"/>
      <c r="B141" s="1537"/>
      <c r="C141" s="1918"/>
      <c r="D141" s="1922"/>
      <c r="E141" s="24" t="s">
        <v>1088</v>
      </c>
      <c r="F141" s="2863" t="str">
        <f>IF(AA77=3,'At-Grade'!K18,"")</f>
        <v/>
      </c>
      <c r="G141" s="2864"/>
      <c r="H141" s="8" t="s">
        <v>1089</v>
      </c>
      <c r="J141" s="1944"/>
      <c r="K141" s="1945" t="s">
        <v>1102</v>
      </c>
      <c r="L141" s="2870" t="str">
        <f>IF(AA77=3,'At-Grade'!L20,"")</f>
        <v/>
      </c>
      <c r="M141" s="2871"/>
      <c r="N141" s="3" t="s">
        <v>609</v>
      </c>
      <c r="Q141" s="1910"/>
      <c r="R141" s="1922" t="s">
        <v>1101</v>
      </c>
      <c r="S141" s="2870" t="str">
        <f>IF(AA77=3,'At-Grade'!K8,"")</f>
        <v/>
      </c>
      <c r="T141" s="2871"/>
      <c r="U141" s="86" t="s">
        <v>609</v>
      </c>
      <c r="V141" s="920"/>
      <c r="W141" s="969"/>
      <c r="AD141" s="1"/>
      <c r="AE141" s="1"/>
      <c r="AF141" s="1"/>
      <c r="AG141" s="1"/>
    </row>
    <row r="142" spans="1:33" ht="4.3499999999999996" customHeight="1">
      <c r="A142" s="564"/>
      <c r="B142" s="1537"/>
      <c r="C142" s="1910"/>
      <c r="D142" s="8"/>
      <c r="E142" s="8"/>
      <c r="F142" s="2150"/>
      <c r="G142" s="2150"/>
      <c r="H142" s="3"/>
      <c r="I142" s="3"/>
      <c r="J142" s="19"/>
      <c r="K142" s="19"/>
      <c r="L142" s="2152"/>
      <c r="M142" s="2152"/>
      <c r="N142" s="3"/>
      <c r="O142" s="19"/>
      <c r="P142" s="19"/>
      <c r="Q142" s="3"/>
      <c r="R142" s="3"/>
      <c r="S142" s="2152"/>
      <c r="T142" s="2152"/>
      <c r="U142" s="86"/>
      <c r="V142" s="920"/>
      <c r="W142" s="969"/>
      <c r="AD142" s="1"/>
      <c r="AE142" s="1"/>
      <c r="AF142" s="1"/>
      <c r="AG142" s="1"/>
    </row>
    <row r="143" spans="1:33" ht="17.25" customHeight="1">
      <c r="A143" s="564"/>
      <c r="B143" s="50"/>
      <c r="C143" s="3"/>
      <c r="D143" s="3"/>
      <c r="E143" s="24" t="s">
        <v>1117</v>
      </c>
      <c r="F143" s="2863" t="str">
        <f>IF(AA77=3,'At-Grade'!K41,"")</f>
        <v/>
      </c>
      <c r="G143" s="2864"/>
      <c r="H143" s="3" t="s">
        <v>609</v>
      </c>
      <c r="I143" s="3"/>
      <c r="J143" s="3"/>
      <c r="K143" s="24" t="s">
        <v>1111</v>
      </c>
      <c r="L143" s="2870" t="str">
        <f>IF(AA77=3,'At-Grade'!K54,"")</f>
        <v/>
      </c>
      <c r="M143" s="2871"/>
      <c r="N143" s="3" t="s">
        <v>609</v>
      </c>
      <c r="O143" s="3"/>
      <c r="P143" s="3"/>
      <c r="Q143" s="3"/>
      <c r="R143" s="24" t="s">
        <v>1118</v>
      </c>
      <c r="S143" s="2870" t="str">
        <f>IF(AA77=3,'At-Grade'!L32,"")</f>
        <v/>
      </c>
      <c r="T143" s="2871"/>
      <c r="U143" s="86" t="s">
        <v>609</v>
      </c>
      <c r="V143" s="920"/>
      <c r="W143" s="969"/>
      <c r="AD143" s="1"/>
      <c r="AE143" s="1"/>
      <c r="AF143" s="1"/>
      <c r="AG143" s="1"/>
    </row>
    <row r="144" spans="1:33" ht="4.3499999999999996" customHeight="1">
      <c r="A144" s="564"/>
      <c r="B144" s="50"/>
      <c r="C144" s="1922"/>
      <c r="D144" s="24"/>
      <c r="E144" s="24"/>
      <c r="F144" s="2151"/>
      <c r="G144" s="2151"/>
      <c r="H144" s="3"/>
      <c r="I144" s="24"/>
      <c r="J144" s="1932"/>
      <c r="K144" s="1932"/>
      <c r="L144" s="640"/>
      <c r="M144" s="1932"/>
      <c r="N144" s="4"/>
      <c r="O144" s="19"/>
      <c r="P144" s="19"/>
      <c r="Q144" s="1911"/>
      <c r="R144" s="19"/>
      <c r="S144" s="19"/>
      <c r="T144" s="19"/>
      <c r="U144" s="87"/>
      <c r="V144" s="920"/>
      <c r="W144" s="969"/>
      <c r="AD144" s="1"/>
      <c r="AE144" s="1"/>
      <c r="AF144" s="1"/>
      <c r="AG144" s="1"/>
    </row>
    <row r="145" spans="1:43" ht="17.25" customHeight="1">
      <c r="A145" s="564"/>
      <c r="B145" s="50"/>
      <c r="C145" s="3"/>
      <c r="D145" s="3"/>
      <c r="E145" s="24" t="s">
        <v>1119</v>
      </c>
      <c r="F145" s="2863" t="str">
        <f>IF(AA77=3,'At-Grade'!L63,"")</f>
        <v/>
      </c>
      <c r="G145" s="2864"/>
      <c r="H145" s="3" t="s">
        <v>609</v>
      </c>
      <c r="I145" s="3"/>
      <c r="J145" s="3"/>
      <c r="K145" s="24" t="s">
        <v>1120</v>
      </c>
      <c r="L145" s="2870" t="str">
        <f>IF(AA77=3,'At-Grade'!K59,"")</f>
        <v/>
      </c>
      <c r="M145" s="2871"/>
      <c r="N145" s="3" t="s">
        <v>609</v>
      </c>
      <c r="O145" s="3"/>
      <c r="P145" s="3"/>
      <c r="Q145" s="3"/>
      <c r="R145" s="24" t="s">
        <v>1114</v>
      </c>
      <c r="S145" s="2870" t="str">
        <f>IF(AA77=3,'At-Grade'!I61,"")</f>
        <v/>
      </c>
      <c r="T145" s="2871"/>
      <c r="U145" s="86" t="s">
        <v>609</v>
      </c>
      <c r="V145" s="920"/>
      <c r="W145" s="969"/>
      <c r="AD145" s="1"/>
      <c r="AE145" s="1"/>
      <c r="AF145" s="1"/>
      <c r="AG145" s="1"/>
    </row>
    <row r="146" spans="1:43" ht="4.3499999999999996" customHeight="1">
      <c r="A146" s="564"/>
      <c r="B146" s="949"/>
      <c r="C146" s="950"/>
      <c r="D146" s="61"/>
      <c r="E146" s="61"/>
      <c r="F146" s="61"/>
      <c r="G146" s="61"/>
      <c r="H146" s="78"/>
      <c r="I146" s="78"/>
      <c r="J146" s="363"/>
      <c r="K146" s="363"/>
      <c r="L146" s="61"/>
      <c r="M146" s="103"/>
      <c r="N146" s="38"/>
      <c r="O146" s="363"/>
      <c r="P146" s="363"/>
      <c r="Q146" s="951"/>
      <c r="R146" s="363"/>
      <c r="S146" s="363"/>
      <c r="T146" s="38"/>
      <c r="U146" s="952"/>
      <c r="V146" s="920"/>
      <c r="W146" s="969"/>
      <c r="AD146" s="1"/>
      <c r="AE146" s="1"/>
      <c r="AF146" s="1"/>
      <c r="AG146" s="1"/>
    </row>
    <row r="147" spans="1:43" ht="3.95" customHeight="1">
      <c r="A147" s="564"/>
      <c r="B147" s="3"/>
      <c r="C147" s="1910"/>
      <c r="D147" s="8"/>
      <c r="E147" s="8"/>
      <c r="F147" s="8"/>
      <c r="G147" s="8"/>
      <c r="H147" s="3"/>
      <c r="I147" s="3"/>
      <c r="J147" s="19"/>
      <c r="K147" s="19"/>
      <c r="L147" s="8"/>
      <c r="M147" s="24"/>
      <c r="N147" s="4"/>
      <c r="O147" s="19"/>
      <c r="P147" s="19"/>
      <c r="Q147" s="1911"/>
      <c r="R147" s="19"/>
      <c r="S147" s="19"/>
      <c r="T147" s="4"/>
      <c r="U147" s="4"/>
      <c r="V147" s="920"/>
      <c r="W147" s="969"/>
      <c r="AD147" s="1"/>
      <c r="AE147" s="1"/>
      <c r="AF147" s="1"/>
      <c r="AG147" s="1"/>
    </row>
    <row r="148" spans="1:43" ht="14.25" customHeight="1">
      <c r="A148" s="564"/>
      <c r="B148" s="954" t="s">
        <v>1121</v>
      </c>
      <c r="C148" s="946"/>
      <c r="D148" s="946"/>
      <c r="E148" s="946"/>
      <c r="F148" s="946"/>
      <c r="G148" s="946"/>
      <c r="H148" s="946"/>
      <c r="I148" s="946"/>
      <c r="J148" s="946"/>
      <c r="K148" s="946"/>
      <c r="L148" s="946"/>
      <c r="M148" s="946"/>
      <c r="N148" s="946"/>
      <c r="O148" s="946"/>
      <c r="P148" s="946"/>
      <c r="Q148" s="946"/>
      <c r="R148" s="946"/>
      <c r="S148" s="946"/>
      <c r="T148" s="946"/>
      <c r="U148" s="947"/>
      <c r="V148" s="920"/>
      <c r="AD148" s="1"/>
      <c r="AE148" s="1"/>
      <c r="AF148" s="1"/>
      <c r="AG148" s="1"/>
    </row>
    <row r="149" spans="1:43" ht="17.25" customHeight="1">
      <c r="A149" s="564"/>
      <c r="B149" s="50"/>
      <c r="C149" s="2884" t="s">
        <v>1122</v>
      </c>
      <c r="D149" s="2884"/>
      <c r="E149" s="2885"/>
      <c r="F149" s="2889" t="str">
        <f>IF(AC77=2,'Pres. Dist. STA'!I11,"")</f>
        <v/>
      </c>
      <c r="G149" s="2890"/>
      <c r="H149" s="19"/>
      <c r="I149" s="2868" t="s">
        <v>1123</v>
      </c>
      <c r="J149" s="2868"/>
      <c r="K149" s="2869"/>
      <c r="L149" s="2923" t="str">
        <f>IF(AC77=2,'Pres. Dist. STA'!I33,"")</f>
        <v/>
      </c>
      <c r="M149" s="2924"/>
      <c r="N149" s="3" t="s">
        <v>629</v>
      </c>
      <c r="P149" s="1" t="s">
        <v>1124</v>
      </c>
      <c r="S149" s="2910" t="str">
        <f>IF(AC77=2,'Pres. Dist. STA'!P15,"")</f>
        <v/>
      </c>
      <c r="T149" s="2910"/>
      <c r="U149" s="1429" t="s">
        <v>609</v>
      </c>
      <c r="V149" s="920"/>
      <c r="AD149" s="1"/>
      <c r="AE149" s="1"/>
      <c r="AF149" s="1"/>
      <c r="AG149" s="1"/>
    </row>
    <row r="150" spans="1:43" ht="4.3499999999999996" customHeight="1">
      <c r="A150" s="564"/>
      <c r="B150" s="922"/>
      <c r="C150" s="1922"/>
      <c r="D150" s="24"/>
      <c r="E150" s="24"/>
      <c r="F150" s="8"/>
      <c r="G150" s="8"/>
      <c r="H150" s="3"/>
      <c r="I150" s="24"/>
      <c r="J150" s="24"/>
      <c r="K150" s="24"/>
      <c r="L150" s="3"/>
      <c r="M150" s="3"/>
      <c r="N150" s="3"/>
      <c r="O150" s="19"/>
      <c r="P150" s="1932"/>
      <c r="Q150" s="1946"/>
      <c r="R150" s="1932"/>
      <c r="S150" s="19"/>
      <c r="T150" s="19"/>
      <c r="U150" s="87"/>
      <c r="V150" s="920"/>
      <c r="AD150" s="1"/>
      <c r="AE150" s="1"/>
      <c r="AF150" s="1"/>
      <c r="AG150" s="1"/>
    </row>
    <row r="151" spans="1:43" ht="17.25" customHeight="1">
      <c r="A151" s="564"/>
      <c r="B151" s="922"/>
      <c r="E151" s="1932" t="s">
        <v>1125</v>
      </c>
      <c r="F151" s="2870" t="str">
        <f>IF(AC77=2,'Pres. Dist. STA'!I21,"")</f>
        <v/>
      </c>
      <c r="G151" s="2871"/>
      <c r="H151" s="3" t="s">
        <v>609</v>
      </c>
      <c r="I151" s="3"/>
      <c r="J151" s="3"/>
      <c r="L151" s="1922" t="s">
        <v>1126</v>
      </c>
      <c r="M151" s="2929" t="str">
        <f>IF(AC77=2,'Pres. Dist. STA'!I31,"")</f>
        <v/>
      </c>
      <c r="N151" s="2900"/>
      <c r="O151" s="2865" t="s">
        <v>1127</v>
      </c>
      <c r="P151" s="2866"/>
      <c r="Q151" s="2866"/>
      <c r="R151" s="2867"/>
      <c r="S151" s="2870" t="str">
        <f>IF(AC77=2,(MAX('Pump Tank STA Demand'!J39,'Pump Tank STA Time'!J40)),"")</f>
        <v/>
      </c>
      <c r="T151" s="2871"/>
      <c r="U151" s="40" t="s">
        <v>1038</v>
      </c>
      <c r="V151" s="920"/>
      <c r="X151" s="1"/>
      <c r="Y151" s="1"/>
      <c r="Z151" s="1"/>
      <c r="AA151" s="1"/>
      <c r="AB151" s="1"/>
      <c r="AC151" s="1"/>
      <c r="AD151" s="1"/>
      <c r="AE151" s="1"/>
      <c r="AF151" s="1"/>
      <c r="AG151" s="1"/>
    </row>
    <row r="152" spans="1:43" ht="4.3499999999999996" customHeight="1">
      <c r="A152" s="564"/>
      <c r="B152" s="922"/>
      <c r="C152" s="24"/>
      <c r="D152" s="24"/>
      <c r="E152" s="24"/>
      <c r="F152" s="1933"/>
      <c r="G152" s="1933"/>
      <c r="H152" s="3"/>
      <c r="I152" s="24"/>
      <c r="J152" s="24"/>
      <c r="K152" s="24"/>
      <c r="L152" s="3"/>
      <c r="M152" s="3"/>
      <c r="N152" s="3"/>
      <c r="O152" s="19"/>
      <c r="P152" s="3"/>
      <c r="Q152" s="1932"/>
      <c r="R152" s="1932"/>
      <c r="S152" s="32"/>
      <c r="T152" s="640"/>
      <c r="U152" s="40"/>
      <c r="V152" s="920"/>
      <c r="AD152" s="1"/>
      <c r="AE152" s="1"/>
      <c r="AF152" s="1"/>
      <c r="AG152" s="1"/>
    </row>
    <row r="153" spans="1:43" ht="17.25" customHeight="1">
      <c r="A153" s="564"/>
      <c r="B153" s="922"/>
      <c r="C153" s="2868" t="s">
        <v>1128</v>
      </c>
      <c r="D153" s="2868"/>
      <c r="E153" s="2869"/>
      <c r="F153" s="2870" t="str">
        <f>IF(AC77=2,(MAX('Pump Tank STA Demand'!K23,'Pump Tank STA Time'!K26)),"")</f>
        <v/>
      </c>
      <c r="G153" s="2871"/>
      <c r="H153" s="2926" t="s">
        <v>1129</v>
      </c>
      <c r="I153" s="2927"/>
      <c r="J153" s="2927"/>
      <c r="K153" s="2928"/>
      <c r="L153" s="2870" t="str">
        <f>IF(AC77=2,I11*0.25,"")</f>
        <v/>
      </c>
      <c r="M153" s="2871"/>
      <c r="N153" s="8" t="s">
        <v>1038</v>
      </c>
      <c r="O153" s="2868" t="s">
        <v>1130</v>
      </c>
      <c r="P153" s="2868"/>
      <c r="Q153" s="2868"/>
      <c r="R153" s="2869"/>
      <c r="S153" s="2870" t="str">
        <f>IF(AC77=2,(MAX('Pump Tank STA Demand'!I41,'Pump Tank STA Time'!I42)),"")</f>
        <v/>
      </c>
      <c r="T153" s="2871"/>
      <c r="U153" s="40" t="s">
        <v>1038</v>
      </c>
      <c r="V153" s="920"/>
      <c r="AD153" s="1"/>
      <c r="AE153" s="1"/>
      <c r="AF153" s="1"/>
      <c r="AG153" s="1"/>
    </row>
    <row r="154" spans="1:43" ht="4.3499999999999996" customHeight="1">
      <c r="A154" s="564"/>
      <c r="B154" s="963"/>
      <c r="C154" s="103"/>
      <c r="D154" s="103"/>
      <c r="E154" s="103"/>
      <c r="F154" s="78"/>
      <c r="G154" s="78"/>
      <c r="H154" s="78"/>
      <c r="I154" s="103"/>
      <c r="J154" s="103"/>
      <c r="K154" s="103"/>
      <c r="L154" s="78"/>
      <c r="M154" s="78"/>
      <c r="N154" s="78"/>
      <c r="O154" s="363"/>
      <c r="P154" s="78"/>
      <c r="Q154" s="964"/>
      <c r="R154" s="964"/>
      <c r="S154" s="89"/>
      <c r="T154" s="61"/>
      <c r="U154" s="965"/>
      <c r="V154" s="920"/>
      <c r="AD154" s="1"/>
      <c r="AE154" s="1"/>
      <c r="AF154" s="1"/>
      <c r="AG154" s="1"/>
    </row>
    <row r="155" spans="1:43" ht="4.3499999999999996" customHeight="1">
      <c r="A155" s="564"/>
      <c r="B155" s="24"/>
      <c r="C155" s="24"/>
      <c r="D155" s="24"/>
      <c r="E155" s="24"/>
      <c r="F155" s="3"/>
      <c r="G155" s="3"/>
      <c r="H155" s="3"/>
      <c r="I155" s="24"/>
      <c r="J155" s="24"/>
      <c r="K155" s="24"/>
      <c r="L155" s="3"/>
      <c r="M155" s="3"/>
      <c r="N155" s="3"/>
      <c r="O155" s="19"/>
      <c r="P155" s="3"/>
      <c r="Q155" s="1932"/>
      <c r="R155" s="1932"/>
      <c r="S155" s="32"/>
      <c r="T155" s="8"/>
      <c r="U155" s="8"/>
      <c r="V155" s="920"/>
      <c r="AD155" s="1"/>
      <c r="AE155" s="1"/>
      <c r="AF155" s="1"/>
      <c r="AG155" s="1"/>
    </row>
    <row r="156" spans="1:43" ht="14.25" customHeight="1">
      <c r="A156" s="564"/>
      <c r="B156" s="945" t="s">
        <v>1131</v>
      </c>
      <c r="C156" s="85"/>
      <c r="D156" s="946"/>
      <c r="E156" s="946"/>
      <c r="F156" s="946"/>
      <c r="G156" s="946"/>
      <c r="H156" s="946"/>
      <c r="I156" s="946"/>
      <c r="J156" s="946"/>
      <c r="K156" s="946"/>
      <c r="L156" s="946"/>
      <c r="M156" s="946"/>
      <c r="N156" s="946"/>
      <c r="O156" s="946"/>
      <c r="P156" s="946"/>
      <c r="Q156" s="946"/>
      <c r="R156" s="946"/>
      <c r="S156" s="946"/>
      <c r="T156" s="946"/>
      <c r="U156" s="947"/>
      <c r="V156" s="920"/>
      <c r="X156" s="1809"/>
      <c r="AD156" s="1"/>
      <c r="AE156" s="1"/>
      <c r="AF156" s="1"/>
      <c r="AG156" s="1"/>
    </row>
    <row r="157" spans="1:43" ht="6" customHeight="1">
      <c r="A157" s="564"/>
      <c r="B157" s="966"/>
      <c r="C157" s="8"/>
      <c r="D157" s="2883" t="s">
        <v>1132</v>
      </c>
      <c r="E157" s="2883"/>
      <c r="F157" s="2883" t="s">
        <v>1133</v>
      </c>
      <c r="G157" s="2883"/>
      <c r="H157" s="2883" t="s">
        <v>1134</v>
      </c>
      <c r="I157" s="2883"/>
      <c r="J157" s="2883" t="s">
        <v>1135</v>
      </c>
      <c r="K157" s="2883"/>
      <c r="L157" s="2883" t="s">
        <v>1136</v>
      </c>
      <c r="M157" s="2883"/>
      <c r="N157" s="2883" t="s">
        <v>1137</v>
      </c>
      <c r="O157" s="2883"/>
      <c r="P157" s="2883" t="s">
        <v>1138</v>
      </c>
      <c r="Q157" s="2883"/>
      <c r="R157" s="3"/>
      <c r="S157" s="2946" t="s">
        <v>1139</v>
      </c>
      <c r="T157" s="2946"/>
      <c r="U157" s="2947"/>
      <c r="V157" s="920"/>
      <c r="AD157" s="1"/>
      <c r="AE157" s="1"/>
      <c r="AF157" s="1"/>
      <c r="AG157" s="1"/>
    </row>
    <row r="158" spans="1:43" ht="18" customHeight="1">
      <c r="A158" s="564"/>
      <c r="B158" s="50"/>
      <c r="C158" s="3"/>
      <c r="D158" s="2883"/>
      <c r="E158" s="2883"/>
      <c r="F158" s="2883"/>
      <c r="G158" s="2883"/>
      <c r="H158" s="2883"/>
      <c r="I158" s="2883"/>
      <c r="J158" s="2883"/>
      <c r="K158" s="2883"/>
      <c r="L158" s="2883"/>
      <c r="M158" s="2883"/>
      <c r="N158" s="2883"/>
      <c r="O158" s="2883"/>
      <c r="P158" s="2883"/>
      <c r="Q158" s="2883"/>
      <c r="R158" s="3"/>
      <c r="S158" s="2946"/>
      <c r="T158" s="2946"/>
      <c r="U158" s="2947"/>
      <c r="V158" s="920"/>
      <c r="AP158" s="1"/>
      <c r="AQ158" s="1"/>
    </row>
    <row r="159" spans="1:43" ht="18.600000000000001" customHeight="1">
      <c r="A159" s="564"/>
      <c r="B159" s="50"/>
      <c r="C159" s="3"/>
      <c r="D159" s="2883"/>
      <c r="E159" s="2883"/>
      <c r="F159" s="2883"/>
      <c r="G159" s="2883"/>
      <c r="H159" s="2883"/>
      <c r="I159" s="2883"/>
      <c r="J159" s="2883"/>
      <c r="K159" s="2883"/>
      <c r="L159" s="2883"/>
      <c r="M159" s="2883"/>
      <c r="N159" s="2883"/>
      <c r="O159" s="2883"/>
      <c r="P159" s="2883"/>
      <c r="Q159" s="2883"/>
      <c r="R159" s="3"/>
      <c r="S159" s="2870" t="str">
        <f>IF(AC77=3,'Non-Level  STA'!K189,"")</f>
        <v/>
      </c>
      <c r="T159" s="2871"/>
      <c r="U159" s="2153" t="s">
        <v>1038</v>
      </c>
      <c r="V159" s="920"/>
      <c r="AP159" s="1"/>
      <c r="AQ159" s="1"/>
    </row>
    <row r="160" spans="1:43" ht="18.600000000000001" customHeight="1">
      <c r="A160" s="564"/>
      <c r="B160" s="2881" t="s">
        <v>1140</v>
      </c>
      <c r="C160" s="2882"/>
      <c r="D160" s="2923" t="str">
        <f>IF(AC77=0,"",IF(AC77=1,"",IF(AC77=2,"",IF(AC77=3, 'Non-Level  STA'!F6))))</f>
        <v/>
      </c>
      <c r="E160" s="2924"/>
      <c r="F160" s="2923" t="str">
        <f>IF(AC77=0,"",IF(AC77=1,"",IF(AC77=2,"",IF(AC77=3, 'Non-Level  STA'!D182))))</f>
        <v/>
      </c>
      <c r="G160" s="2924"/>
      <c r="H160" s="2925" t="str">
        <f>IF(AC77=0,"",IF(AC77=1,"",IF(AC77=2,"",IF(AC77=3, 'Non-Level  STA'!F182))))</f>
        <v/>
      </c>
      <c r="I160" s="2925"/>
      <c r="J160" s="2922" t="str">
        <f>IF(AC77=0,"",IF(AC77=1,"",IF(AC77=2,"",IF(AC77=3, 'Non-Level  STA'!H182))))</f>
        <v/>
      </c>
      <c r="K160" s="2922"/>
      <c r="L160" s="2945" t="str">
        <f>IF(AC77=0,"",IF(AC77=1,"",IF(AC77=2,"",IF(AC77=3, 'Non-Level  STA'!L182))))</f>
        <v/>
      </c>
      <c r="M160" s="2945"/>
      <c r="N160" s="2922" t="str">
        <f>IF(AC77=0,"",IF(AC77=1,"",IF(AC77=2,"",IF(AC77=3, 'Non-Level  STA'!N182))))</f>
        <v/>
      </c>
      <c r="O160" s="2922"/>
      <c r="P160" s="2922" t="str">
        <f>IF(AC77=0,"",IF(AC77=1,"",IF(AC77=2,"",IF(AC77=3, 'Non-Level  STA'!O182))))</f>
        <v/>
      </c>
      <c r="Q160" s="2922"/>
      <c r="R160" s="3"/>
      <c r="S160" s="2879" t="s">
        <v>1141</v>
      </c>
      <c r="T160" s="2879"/>
      <c r="U160" s="2880"/>
      <c r="V160" s="920"/>
      <c r="AP160" s="1"/>
      <c r="AQ160" s="1"/>
    </row>
    <row r="161" spans="1:43" ht="18.600000000000001" customHeight="1">
      <c r="A161" s="564"/>
      <c r="B161" s="2881" t="s">
        <v>1142</v>
      </c>
      <c r="C161" s="2882"/>
      <c r="D161" s="2923" t="str">
        <f>IF(AC77=0,"",IF(AC77=1,"",IF(AC77=2,"",IF(AC77=3, 'Non-Level  STA'!F8))))</f>
        <v/>
      </c>
      <c r="E161" s="2924"/>
      <c r="F161" s="2923" t="str">
        <f>IF(AC77=0,"",IF(AC77=1,"",IF(AC77=2,"",IF(AC77=3, 'Non-Level  STA'!D183))))</f>
        <v/>
      </c>
      <c r="G161" s="2924"/>
      <c r="H161" s="2925" t="str">
        <f>IF(AC77=0,"",IF(AC77=1,"",IF(AC77=2,"",IF(AC77=3, 'Non-Level  STA'!F183))))</f>
        <v/>
      </c>
      <c r="I161" s="2925"/>
      <c r="J161" s="2922" t="str">
        <f>IF(AC77=0,"",IF(AC77=1,"",IF(AC77=2,"",IF(AC77=3, 'Non-Level  STA'!H183))))</f>
        <v/>
      </c>
      <c r="K161" s="2922"/>
      <c r="L161" s="2945" t="str">
        <f>IF(AC77=0,"",IF(AC77=1,"",IF(AC77=2,"",IF(AC77=3, 'Non-Level  STA'!L183))))</f>
        <v/>
      </c>
      <c r="M161" s="2945"/>
      <c r="N161" s="2922" t="str">
        <f>IF(AC77=0,"",IF(AC77=1,"",IF(AC77=2,"",IF(AC77=3, 'Non-Level  STA'!N183))))</f>
        <v/>
      </c>
      <c r="O161" s="2922"/>
      <c r="P161" s="2922" t="str">
        <f>IF(AC77=0,"",IF(AC77=1,"",IF(AC77=2,"",IF(AC77=3, 'Non-Level  STA'!O183))))</f>
        <v/>
      </c>
      <c r="Q161" s="2922"/>
      <c r="R161" s="3"/>
      <c r="S161" s="2879"/>
      <c r="T161" s="2879"/>
      <c r="U161" s="2880"/>
      <c r="V161" s="920"/>
      <c r="AP161" s="1"/>
      <c r="AQ161" s="1"/>
    </row>
    <row r="162" spans="1:43" ht="18.600000000000001" customHeight="1">
      <c r="A162" s="564"/>
      <c r="B162" s="2881" t="s">
        <v>1143</v>
      </c>
      <c r="C162" s="2882"/>
      <c r="D162" s="2923" t="str">
        <f>IF(AC77=0,"",IF(AC77=1,"",IF(AC77=2,"",IF(AC77=3, 'Non-Level  STA'!F10))))</f>
        <v/>
      </c>
      <c r="E162" s="2924"/>
      <c r="F162" s="2923" t="str">
        <f>IF(AC77=0,"",IF(AC77=1,"",IF(AC77=2,"",IF(AC77=3, 'Non-Level  STA'!D184))))</f>
        <v/>
      </c>
      <c r="G162" s="2924"/>
      <c r="H162" s="2925" t="str">
        <f>IF(AC77=0,"",IF(AC77=1,"",IF(AC77=2,"",IF(AC77=3, 'Non-Level  STA'!F184))))</f>
        <v/>
      </c>
      <c r="I162" s="2925"/>
      <c r="J162" s="2922" t="str">
        <f>IF(AC77=0,"",IF(AC77=1,"",IF(AC77=2,"",IF(AC77=3, 'Non-Level  STA'!H184))))</f>
        <v/>
      </c>
      <c r="K162" s="2922"/>
      <c r="L162" s="2945" t="str">
        <f>IF(AC77=0,"",IF(AC77=1,"",IF(AC77=2,"",IF(AC77=3, 'Non-Level  STA'!L184))))</f>
        <v/>
      </c>
      <c r="M162" s="2945"/>
      <c r="N162" s="2922" t="str">
        <f>IF(AC77=0,"",IF(AC77=1,"",IF(AC77=2,"",IF(AC77=3, 'Non-Level  STA'!N184))))</f>
        <v/>
      </c>
      <c r="O162" s="2922"/>
      <c r="P162" s="2922" t="str">
        <f>IF(AC77=0,"",IF(AC77=1,"",IF(AC77=2,"",IF(AC77=3, 'Non-Level  STA'!O184))))</f>
        <v/>
      </c>
      <c r="Q162" s="2922"/>
      <c r="R162" s="3"/>
      <c r="S162" s="2870" t="str">
        <f>IF(AC77=3,'Non-Level  STA'!K190,"")</f>
        <v/>
      </c>
      <c r="T162" s="2871"/>
      <c r="U162" s="2153" t="s">
        <v>1038</v>
      </c>
      <c r="V162" s="920"/>
      <c r="AP162" s="1"/>
      <c r="AQ162" s="1"/>
    </row>
    <row r="163" spans="1:43" ht="18.600000000000001" customHeight="1">
      <c r="A163" s="564"/>
      <c r="B163" s="2881" t="s">
        <v>1144</v>
      </c>
      <c r="C163" s="2882"/>
      <c r="D163" s="2923" t="str">
        <f>IF(AC77=0,"",IF(AC77=1,"",IF(AC77=2,"",IF(AC77=3, 'Non-Level  STA'!F12))))</f>
        <v/>
      </c>
      <c r="E163" s="2924"/>
      <c r="F163" s="2923" t="str">
        <f>IF(AC77=0,"",IF(AC77=1,"",IF(AC77=2,"",IF(AC77=3, 'Non-Level  STA'!D185))))</f>
        <v/>
      </c>
      <c r="G163" s="2924"/>
      <c r="H163" s="2925" t="str">
        <f>IF(AC77=0,"",IF(AC77=1,"",IF(AC77=2,"",IF(AC77=3, 'Non-Level  STA'!F185))))</f>
        <v/>
      </c>
      <c r="I163" s="2925"/>
      <c r="J163" s="2922" t="str">
        <f>IF(AC77=0,"",IF(AC77=1,"",IF(AC77=2,"",IF(AC77=3, 'Non-Level  STA'!H185))))</f>
        <v/>
      </c>
      <c r="K163" s="2922"/>
      <c r="L163" s="2945" t="str">
        <f>IF(AC77=0,"",IF(AC77=1,"",IF(AC77=2,"",IF(AC77=3, 'Non-Level  STA'!L185))))</f>
        <v/>
      </c>
      <c r="M163" s="2945"/>
      <c r="N163" s="2922" t="str">
        <f>IF(AC77=0,"",IF(AC77=1,"",IF(AC77=2,"",IF(AC77=3, 'Non-Level  STA'!N185))))</f>
        <v/>
      </c>
      <c r="O163" s="2922"/>
      <c r="P163" s="2922" t="str">
        <f>IF(AC77=0,"",IF(AC77=1,"",IF(AC77=2,"",IF(AC77=3, 'Non-Level  STA'!O185))))</f>
        <v/>
      </c>
      <c r="Q163" s="2922"/>
      <c r="R163" s="3"/>
      <c r="S163" s="2879" t="s">
        <v>1130</v>
      </c>
      <c r="T163" s="2879"/>
      <c r="U163" s="2880"/>
      <c r="V163" s="683"/>
      <c r="W163" s="1"/>
      <c r="AP163" s="1"/>
      <c r="AQ163" s="1"/>
    </row>
    <row r="164" spans="1:43" ht="18.600000000000001" customHeight="1">
      <c r="A164" s="564"/>
      <c r="B164" s="2881" t="s">
        <v>1145</v>
      </c>
      <c r="C164" s="2882"/>
      <c r="D164" s="2923" t="str">
        <f>IF(AC77=0,"",IF(AC77=1,"",IF(AC77=2,"",IF(AC77=3, 'Non-Level  STA'!F14))))</f>
        <v/>
      </c>
      <c r="E164" s="2924"/>
      <c r="F164" s="2923" t="str">
        <f>IF(AC77=0,"",IF(AC77=1,"",IF(AC77=2,"",IF(AC77=3, 'Non-Level  STA'!D186))))</f>
        <v/>
      </c>
      <c r="G164" s="2924"/>
      <c r="H164" s="2925" t="str">
        <f>IF(AC77=0,"",IF(AC77=1,"",IF(AC77=2,"",IF(AC77=3, 'Non-Level  STA'!F186))))</f>
        <v/>
      </c>
      <c r="I164" s="2925"/>
      <c r="J164" s="2922" t="str">
        <f>IF(AC77=0,"",IF(AC77=1,"",IF(AC77=2,"",IF(AC77=3, 'Non-Level  STA'!H186))))</f>
        <v/>
      </c>
      <c r="K164" s="2922"/>
      <c r="L164" s="2945" t="str">
        <f>IF(AC77=0,"",IF(AC77=1,"",IF(AC77=2,"",IF(AC77=3, 'Non-Level  STA'!L186))))</f>
        <v/>
      </c>
      <c r="M164" s="2945"/>
      <c r="N164" s="2922" t="str">
        <f>IF(AC77=0,"",IF(AC77=1,"",IF(AC77=2,"",IF(AC77=3, 'Non-Level  STA'!N186))))</f>
        <v/>
      </c>
      <c r="O164" s="2922"/>
      <c r="P164" s="2922" t="str">
        <f>IF(AC77=0,"",IF(AC77=1,"",IF(AC77=2,"",IF(AC77=3, 'Non-Level  STA'!O186))))</f>
        <v/>
      </c>
      <c r="Q164" s="2922"/>
      <c r="R164" s="3"/>
      <c r="S164" s="2879"/>
      <c r="T164" s="2879"/>
      <c r="U164" s="2880"/>
      <c r="V164" s="683"/>
      <c r="W164" s="1"/>
      <c r="AP164" s="1"/>
      <c r="AQ164" s="1"/>
    </row>
    <row r="165" spans="1:43" ht="18.600000000000001" customHeight="1">
      <c r="A165" s="564"/>
      <c r="B165" s="2881" t="s">
        <v>1146</v>
      </c>
      <c r="C165" s="2882"/>
      <c r="D165" s="2923" t="str">
        <f>IF(AC77=0,"",IF(AC77=1,"",IF(AC77=2,"",IF(AC77=3, 'Non-Level  STA'!F16))))</f>
        <v/>
      </c>
      <c r="E165" s="2924"/>
      <c r="F165" s="2923" t="str">
        <f>IF(AC77=0,"",IF(AC77=1,"",IF(AC77=2,"",IF(AC77=3, 'Non-Level  STA'!D187))))</f>
        <v/>
      </c>
      <c r="G165" s="2924"/>
      <c r="H165" s="2925" t="str">
        <f>IF(AC77=0,"",IF(AC77=1,"",IF(AC77=2,"",IF(AC77=3, 'Non-Level  STA'!F187))))</f>
        <v/>
      </c>
      <c r="I165" s="2925"/>
      <c r="J165" s="2922" t="str">
        <f>IF(AC77=0,"",IF(AC77=1,"",IF(AC77=2,"",IF(AC77=3, 'Non-Level  STA'!H187))))</f>
        <v/>
      </c>
      <c r="K165" s="2922"/>
      <c r="L165" s="2945" t="str">
        <f>IF(AC77=0,"",IF(AC77=1,"",IF(AC77=2,"",IF(AC77=3, 'Non-Level  STA'!L187))))</f>
        <v/>
      </c>
      <c r="M165" s="2945"/>
      <c r="N165" s="2922" t="str">
        <f>IF(AC77=0,"",IF(AC77=1,"",IF(AC77=2,"",IF(AC77=3, 'Non-Level  STA'!N187))))</f>
        <v/>
      </c>
      <c r="O165" s="2922"/>
      <c r="P165" s="2922" t="str">
        <f>IF(AC77=0,"",IF(AC77=1,"",IF(AC77=2,"",IF(AC77=3, 'Non-Level  STA'!O187))))</f>
        <v/>
      </c>
      <c r="Q165" s="2922"/>
      <c r="R165" s="3"/>
      <c r="S165" s="2870" t="str">
        <f>IF(AC77=3,(MAX('Pump Tank STA Demand'!I41,'Pump Tank STA Time'!I42)),"")</f>
        <v/>
      </c>
      <c r="T165" s="2871"/>
      <c r="U165" s="2153" t="s">
        <v>1038</v>
      </c>
      <c r="V165" s="683"/>
      <c r="W165" s="1"/>
      <c r="AP165" s="1"/>
      <c r="AQ165" s="1"/>
    </row>
    <row r="166" spans="1:43" ht="6" customHeight="1">
      <c r="A166" s="564"/>
      <c r="B166" s="967"/>
      <c r="C166" s="968"/>
      <c r="D166" s="78"/>
      <c r="E166" s="78"/>
      <c r="F166" s="78"/>
      <c r="G166" s="78"/>
      <c r="H166" s="78"/>
      <c r="I166" s="78"/>
      <c r="J166" s="78"/>
      <c r="K166" s="78"/>
      <c r="L166" s="78"/>
      <c r="M166" s="78"/>
      <c r="N166" s="78"/>
      <c r="O166" s="78"/>
      <c r="P166" s="78"/>
      <c r="Q166" s="78"/>
      <c r="R166" s="78"/>
      <c r="S166" s="61"/>
      <c r="T166" s="61"/>
      <c r="U166" s="965"/>
      <c r="V166" s="920"/>
      <c r="W166" s="1"/>
      <c r="X166" s="1"/>
    </row>
    <row r="167" spans="1:43" ht="3.95" customHeight="1">
      <c r="A167" s="564"/>
      <c r="B167" s="1918"/>
      <c r="C167" s="1918"/>
      <c r="D167" s="3"/>
      <c r="E167" s="3"/>
      <c r="F167" s="3"/>
      <c r="G167" s="3"/>
      <c r="H167" s="3"/>
      <c r="I167" s="3"/>
      <c r="J167" s="3"/>
      <c r="K167" s="3"/>
      <c r="L167" s="3"/>
      <c r="M167" s="3"/>
      <c r="N167" s="3"/>
      <c r="O167" s="3"/>
      <c r="P167" s="3"/>
      <c r="Q167" s="3"/>
      <c r="R167" s="3"/>
      <c r="S167" s="8"/>
      <c r="T167" s="8"/>
      <c r="U167" s="8"/>
      <c r="V167" s="920"/>
      <c r="W167" s="1"/>
      <c r="X167" s="1"/>
    </row>
    <row r="168" spans="1:43" ht="15" customHeight="1">
      <c r="A168" s="993"/>
      <c r="B168" s="997" t="s">
        <v>519</v>
      </c>
      <c r="C168" s="2997" t="s">
        <v>1147</v>
      </c>
      <c r="D168" s="2997"/>
      <c r="E168" s="2997"/>
      <c r="F168" s="2997"/>
      <c r="G168" s="2997"/>
      <c r="H168" s="2997"/>
      <c r="I168" s="2997"/>
      <c r="J168" s="2997"/>
      <c r="K168" s="2997"/>
      <c r="L168" s="2997"/>
      <c r="M168" s="2997"/>
      <c r="N168" s="2997"/>
      <c r="O168" s="2997"/>
      <c r="P168" s="2997"/>
      <c r="Q168" s="2997"/>
      <c r="R168" s="2997"/>
      <c r="S168" s="2997"/>
      <c r="T168" s="2997"/>
      <c r="U168" s="2997"/>
      <c r="V168" s="1004"/>
      <c r="W168" s="1"/>
      <c r="X168" s="1"/>
      <c r="Y168" s="1"/>
      <c r="Z168" s="744"/>
      <c r="AA168" s="1"/>
      <c r="AB168" s="1"/>
      <c r="AC168" s="1"/>
      <c r="AD168" s="1"/>
      <c r="AE168" s="1"/>
      <c r="AF168" s="1"/>
      <c r="AG168" s="1"/>
      <c r="AH168" s="1"/>
      <c r="AI168" s="1"/>
      <c r="AJ168" s="1"/>
    </row>
    <row r="169" spans="1:43" ht="15" customHeight="1">
      <c r="A169" s="564"/>
      <c r="B169" s="2994" t="s">
        <v>1148</v>
      </c>
      <c r="C169" s="2994"/>
      <c r="D169" s="2994"/>
      <c r="E169" s="2994"/>
      <c r="F169" s="2994"/>
      <c r="G169" s="2994"/>
      <c r="H169" s="2994"/>
      <c r="I169" s="2994"/>
      <c r="J169" s="2994"/>
      <c r="K169" s="2994"/>
      <c r="L169" s="2994"/>
      <c r="M169" s="2994"/>
      <c r="N169" s="2994"/>
      <c r="O169" s="2994"/>
      <c r="P169" s="2994"/>
      <c r="Q169" s="2994"/>
      <c r="R169" s="2994"/>
      <c r="S169" s="2994"/>
      <c r="T169" s="8"/>
      <c r="U169" s="8"/>
      <c r="V169" s="920"/>
      <c r="W169" s="1"/>
      <c r="X169" s="1"/>
      <c r="Y169" s="1"/>
      <c r="Z169" s="744"/>
      <c r="AA169" s="1"/>
      <c r="AB169" s="1"/>
      <c r="AC169" s="1"/>
      <c r="AD169" s="1"/>
      <c r="AE169" s="1"/>
      <c r="AF169" s="1"/>
      <c r="AG169" s="1"/>
      <c r="AH169" s="1"/>
      <c r="AI169" s="1"/>
      <c r="AJ169" s="1"/>
    </row>
    <row r="170" spans="1:43" ht="3.95" customHeight="1">
      <c r="A170" s="564"/>
      <c r="B170" s="1918"/>
      <c r="C170" s="1918"/>
      <c r="D170" s="3"/>
      <c r="E170" s="3"/>
      <c r="F170" s="3"/>
      <c r="G170" s="3"/>
      <c r="H170" s="3"/>
      <c r="I170" s="3"/>
      <c r="J170" s="3"/>
      <c r="K170" s="3"/>
      <c r="L170" s="3"/>
      <c r="M170" s="3"/>
      <c r="N170" s="3"/>
      <c r="O170" s="3"/>
      <c r="P170" s="3"/>
      <c r="Q170" s="3"/>
      <c r="R170" s="3"/>
      <c r="S170" s="8"/>
      <c r="T170" s="8"/>
      <c r="U170" s="8"/>
      <c r="V170" s="920"/>
      <c r="W170" s="1"/>
      <c r="X170" s="1"/>
      <c r="Y170" s="1"/>
      <c r="Z170" s="1"/>
      <c r="AA170" s="1"/>
      <c r="AB170" s="1"/>
      <c r="AC170" s="1"/>
      <c r="AD170" s="1"/>
      <c r="AE170" s="1"/>
      <c r="AF170" s="1"/>
      <c r="AG170" s="1"/>
      <c r="AH170" s="1"/>
      <c r="AI170" s="1"/>
      <c r="AJ170" s="1"/>
    </row>
    <row r="171" spans="1:43" ht="18" customHeight="1">
      <c r="A171" s="564"/>
      <c r="B171" s="1947" t="s">
        <v>1011</v>
      </c>
      <c r="C171" s="722" t="s">
        <v>1149</v>
      </c>
      <c r="D171" s="1948"/>
      <c r="E171" s="1948"/>
      <c r="F171" s="1948"/>
      <c r="G171" s="1948"/>
      <c r="H171" s="2996" t="str">
        <f>IF(ISBLANK('Organic Loading'!H126)," ",'Organic Loading'!H126)</f>
        <v xml:space="preserve"> </v>
      </c>
      <c r="I171" s="2996"/>
      <c r="J171" s="1948"/>
      <c r="K171" s="43" t="s">
        <v>1150</v>
      </c>
      <c r="L171" s="1948"/>
      <c r="M171" s="1948"/>
      <c r="N171" s="1948"/>
      <c r="O171" s="1948"/>
      <c r="P171" s="2870" t="str">
        <f>IF(ISBLANK('Organic Loading'!R126)," ",'Organic Loading'!R126)</f>
        <v xml:space="preserve"> </v>
      </c>
      <c r="Q171" s="2871"/>
      <c r="R171" s="8" t="s">
        <v>1089</v>
      </c>
      <c r="S171" s="1948"/>
      <c r="T171" s="8"/>
      <c r="U171" s="8"/>
      <c r="V171" s="920"/>
      <c r="Y171" s="2299"/>
      <c r="Z171" s="2300"/>
      <c r="AA171" s="2299"/>
      <c r="AB171" s="2299"/>
      <c r="AC171" s="2299"/>
      <c r="AD171" s="2299"/>
      <c r="AE171" s="2299"/>
      <c r="AF171" s="2299"/>
    </row>
    <row r="172" spans="1:43" ht="3.95" customHeight="1">
      <c r="A172" s="564"/>
      <c r="B172" s="24"/>
      <c r="C172" s="1918"/>
      <c r="D172" s="3"/>
      <c r="E172" s="3"/>
      <c r="F172" s="3"/>
      <c r="G172" s="3"/>
      <c r="H172" s="3"/>
      <c r="I172" s="3"/>
      <c r="J172" s="3"/>
      <c r="K172" s="3"/>
      <c r="L172" s="3"/>
      <c r="M172" s="3"/>
      <c r="N172" s="3"/>
      <c r="O172" s="3"/>
      <c r="P172" s="3"/>
      <c r="Q172" s="3"/>
      <c r="R172" s="3"/>
      <c r="S172" s="3"/>
      <c r="T172" s="4"/>
      <c r="U172" s="4"/>
      <c r="V172" s="920"/>
      <c r="Y172" s="2299"/>
      <c r="Z172" s="2299"/>
      <c r="AA172" s="2299"/>
      <c r="AB172" s="2299"/>
      <c r="AC172" s="2299"/>
      <c r="AD172" s="2268"/>
      <c r="AE172" s="2268"/>
      <c r="AF172" s="2268"/>
      <c r="AG172" s="1"/>
    </row>
    <row r="173" spans="1:43" ht="15" customHeight="1">
      <c r="A173" s="564"/>
      <c r="B173" s="2993" t="s">
        <v>1151</v>
      </c>
      <c r="C173" s="2993"/>
      <c r="D173" s="2993"/>
      <c r="E173" s="2993"/>
      <c r="F173" s="2993"/>
      <c r="G173" s="2993"/>
      <c r="H173" s="2993"/>
      <c r="I173" s="2993"/>
      <c r="J173" s="2993"/>
      <c r="K173" s="2993"/>
      <c r="L173" s="2993"/>
      <c r="M173" s="2993"/>
      <c r="N173" s="2993"/>
      <c r="O173" s="2993"/>
      <c r="P173" s="2993"/>
      <c r="Q173" s="2993"/>
      <c r="R173" s="2993"/>
      <c r="S173" s="1918"/>
      <c r="T173" s="1918"/>
      <c r="U173" s="1918"/>
      <c r="V173" s="2312"/>
      <c r="Z173" s="744"/>
    </row>
    <row r="174" spans="1:43" ht="3.95" customHeight="1">
      <c r="A174" s="564"/>
      <c r="B174" s="1923"/>
      <c r="C174" s="1918"/>
      <c r="D174" s="30"/>
      <c r="E174" s="4"/>
      <c r="F174" s="30"/>
      <c r="G174" s="30"/>
      <c r="H174" s="4"/>
      <c r="I174" s="4"/>
      <c r="J174" s="3"/>
      <c r="K174" s="3"/>
      <c r="L174" s="30"/>
      <c r="M174" s="30"/>
      <c r="N174" s="4"/>
      <c r="O174" s="3"/>
      <c r="P174" s="3"/>
      <c r="Q174" s="3"/>
      <c r="R174" s="3"/>
      <c r="S174" s="3"/>
      <c r="T174" s="8"/>
      <c r="U174" s="8"/>
      <c r="V174" s="920"/>
    </row>
    <row r="175" spans="1:43" ht="18" customHeight="1">
      <c r="A175" s="564"/>
      <c r="B175" s="1947" t="s">
        <v>1011</v>
      </c>
      <c r="C175" s="1" t="s">
        <v>1152</v>
      </c>
      <c r="H175" s="2889" t="str">
        <f>IF(ISBLANK('Organic Loading'!H130)," ",'Organic Loading'!H130)</f>
        <v xml:space="preserve"> </v>
      </c>
      <c r="I175" s="2991"/>
      <c r="J175" s="2991"/>
      <c r="K175" s="2890"/>
      <c r="L175" s="1943"/>
      <c r="M175" s="2868" t="s">
        <v>1153</v>
      </c>
      <c r="N175" s="2868"/>
      <c r="O175" s="2868"/>
      <c r="P175" s="2868"/>
      <c r="Q175" s="2868"/>
      <c r="R175" s="2868"/>
      <c r="S175" s="2996" t="str">
        <f>IF(ISBLANK('Organic Loading'!S130)," ",'Organic Loading'!S130)</f>
        <v xml:space="preserve"> </v>
      </c>
      <c r="T175" s="2996"/>
      <c r="U175" s="2996"/>
      <c r="V175" s="920"/>
    </row>
    <row r="176" spans="1:43" ht="4.3499999999999996" customHeight="1">
      <c r="A176" s="564"/>
      <c r="B176" s="1923"/>
      <c r="C176" s="60"/>
      <c r="D176" s="60"/>
      <c r="E176" s="8"/>
      <c r="F176" s="8"/>
      <c r="G176" s="4"/>
      <c r="H176" s="4"/>
      <c r="I176" s="8"/>
      <c r="J176" s="3"/>
      <c r="K176" s="3"/>
      <c r="L176" s="3"/>
      <c r="M176" s="17"/>
      <c r="N176" s="17"/>
      <c r="O176" s="8"/>
      <c r="P176" s="8"/>
      <c r="Q176" s="1911"/>
      <c r="R176" s="19"/>
      <c r="S176" s="19"/>
      <c r="T176" s="8"/>
      <c r="U176" s="8"/>
      <c r="V176" s="920"/>
    </row>
    <row r="177" spans="1:43" ht="18" customHeight="1">
      <c r="A177" s="564"/>
      <c r="B177" s="1947"/>
      <c r="C177" s="1918"/>
      <c r="D177" s="1948"/>
      <c r="E177" s="1948"/>
      <c r="G177" s="24" t="s">
        <v>1154</v>
      </c>
      <c r="H177" s="2901" t="str">
        <f>IF(ISBLANK('Organic Loading'!H133)," ",'Organic Loading'!H133)</f>
        <v xml:space="preserve"> </v>
      </c>
      <c r="I177" s="2902"/>
      <c r="J177" s="2902"/>
      <c r="K177" s="2902"/>
      <c r="L177" s="2902"/>
      <c r="M177" s="2902"/>
      <c r="N177" s="2902"/>
      <c r="O177" s="2902"/>
      <c r="P177" s="2903"/>
      <c r="Q177" s="2992" t="s">
        <v>1155</v>
      </c>
      <c r="R177" s="2992"/>
      <c r="S177" s="2992"/>
      <c r="T177" s="2992"/>
      <c r="U177" s="2992"/>
      <c r="V177" s="920"/>
    </row>
    <row r="178" spans="1:43" ht="4.3499999999999996" customHeight="1">
      <c r="A178" s="564"/>
      <c r="B178" s="24"/>
      <c r="C178" s="1918"/>
      <c r="D178" s="3"/>
      <c r="E178" s="3"/>
      <c r="F178" s="3"/>
      <c r="G178" s="3"/>
      <c r="H178" s="3"/>
      <c r="I178" s="3"/>
      <c r="J178" s="3"/>
      <c r="K178" s="3"/>
      <c r="L178" s="3"/>
      <c r="M178" s="3"/>
      <c r="N178" s="3"/>
      <c r="O178" s="3"/>
      <c r="P178" s="3"/>
      <c r="Q178" s="2992"/>
      <c r="R178" s="2992"/>
      <c r="S178" s="2992"/>
      <c r="T178" s="2992"/>
      <c r="U178" s="2992"/>
      <c r="V178" s="920"/>
      <c r="AD178" s="1"/>
      <c r="AE178" s="1"/>
      <c r="AF178" s="1"/>
      <c r="AG178" s="1"/>
    </row>
    <row r="179" spans="1:43" ht="18" customHeight="1">
      <c r="A179" s="564"/>
      <c r="B179" s="1923"/>
      <c r="C179" s="1949"/>
      <c r="D179" s="1949"/>
      <c r="E179" s="24"/>
      <c r="F179" s="24"/>
      <c r="G179" s="1190" t="s">
        <v>1156</v>
      </c>
      <c r="H179" s="2957" t="str">
        <f>IF(ISBLANK('Organic Loading'!H135)," ",'Organic Loading'!H135)</f>
        <v xml:space="preserve"> </v>
      </c>
      <c r="I179" s="2957"/>
      <c r="J179" s="2957"/>
      <c r="K179" s="2957"/>
      <c r="L179" s="1748"/>
      <c r="M179" s="1749" t="s">
        <v>1157</v>
      </c>
      <c r="N179" s="2958" t="str">
        <f>IF(ISBLANK('Organic Loading'!N135)," ",'Organic Loading'!N135)</f>
        <v xml:space="preserve"> </v>
      </c>
      <c r="O179" s="2959"/>
      <c r="Q179" s="2992"/>
      <c r="R179" s="2992"/>
      <c r="S179" s="2992"/>
      <c r="T179" s="2992"/>
      <c r="U179" s="2992"/>
      <c r="V179" s="920"/>
    </row>
    <row r="180" spans="1:43" ht="4.3499999999999996" customHeight="1">
      <c r="A180" s="564"/>
      <c r="B180" s="1923"/>
      <c r="C180" s="60"/>
      <c r="D180" s="60"/>
      <c r="E180" s="8"/>
      <c r="F180" s="8"/>
      <c r="G180" s="4"/>
      <c r="H180" s="4"/>
      <c r="I180" s="8"/>
      <c r="J180" s="3"/>
      <c r="K180" s="3"/>
      <c r="L180" s="3"/>
      <c r="M180" s="17"/>
      <c r="N180" s="17"/>
      <c r="O180" s="8"/>
      <c r="P180" s="8"/>
      <c r="Q180" s="1911"/>
      <c r="R180" s="19"/>
      <c r="S180" s="19"/>
      <c r="T180" s="8"/>
      <c r="U180" s="8"/>
      <c r="V180" s="920"/>
    </row>
    <row r="181" spans="1:43" ht="18" customHeight="1">
      <c r="A181" s="564"/>
      <c r="B181" s="1947"/>
      <c r="C181" s="1943"/>
      <c r="D181" s="1943"/>
      <c r="E181" s="1943"/>
      <c r="F181" s="1943"/>
      <c r="G181" s="24" t="s">
        <v>1158</v>
      </c>
      <c r="H181" s="2901" t="str">
        <f>IF(ISBLANK('Organic Loading'!H137)," ",'Organic Loading'!H137)</f>
        <v xml:space="preserve"> </v>
      </c>
      <c r="I181" s="2902"/>
      <c r="J181" s="2902"/>
      <c r="K181" s="2902"/>
      <c r="L181" s="2902"/>
      <c r="M181" s="2902"/>
      <c r="N181" s="2902"/>
      <c r="O181" s="2902"/>
      <c r="P181" s="2903"/>
      <c r="Q181" s="3" t="s">
        <v>1159</v>
      </c>
      <c r="R181" s="19"/>
      <c r="S181" s="1943"/>
      <c r="T181" s="1943"/>
      <c r="U181" s="8"/>
      <c r="V181" s="920"/>
    </row>
    <row r="182" spans="1:43" ht="4.3499999999999996" customHeight="1">
      <c r="A182" s="564"/>
      <c r="B182" s="24"/>
      <c r="C182" s="1943"/>
      <c r="D182" s="1943"/>
      <c r="E182" s="1943"/>
      <c r="F182" s="1943"/>
      <c r="G182" s="1943"/>
      <c r="H182" s="1943"/>
      <c r="I182" s="1943"/>
      <c r="J182" s="1943"/>
      <c r="K182" s="1943"/>
      <c r="L182" s="1943"/>
      <c r="M182" s="1943"/>
      <c r="N182" s="1943"/>
      <c r="O182" s="1943"/>
      <c r="P182" s="1943"/>
      <c r="Q182" s="1943"/>
      <c r="R182" s="1943"/>
      <c r="S182" s="1943"/>
      <c r="T182" s="1943"/>
      <c r="U182" s="4"/>
      <c r="V182" s="920"/>
      <c r="AD182" s="1"/>
      <c r="AE182" s="1"/>
      <c r="AF182" s="1"/>
      <c r="AG182" s="1"/>
    </row>
    <row r="183" spans="1:43" ht="18" customHeight="1">
      <c r="A183" s="564"/>
      <c r="B183" s="1923"/>
      <c r="C183" s="1949"/>
      <c r="D183" s="1949"/>
      <c r="E183" s="24"/>
      <c r="F183" s="24"/>
      <c r="G183" s="1190" t="s">
        <v>1156</v>
      </c>
      <c r="H183" s="2957" t="str">
        <f>IF(ISBLANK('Organic Loading'!H139)," ",'Organic Loading'!H139)</f>
        <v xml:space="preserve"> </v>
      </c>
      <c r="I183" s="2957"/>
      <c r="J183" s="2957"/>
      <c r="K183" s="2957"/>
      <c r="L183" s="1748"/>
      <c r="M183" s="1749" t="s">
        <v>1157</v>
      </c>
      <c r="N183" s="2958" t="str">
        <f>IF(ISBLANK('Organic Loading'!N139)," ",'Organic Loading'!N139)</f>
        <v xml:space="preserve"> </v>
      </c>
      <c r="O183" s="2959"/>
      <c r="S183" s="19"/>
      <c r="T183" s="8"/>
      <c r="U183" s="8"/>
      <c r="V183" s="920"/>
    </row>
    <row r="184" spans="1:43" ht="6" customHeight="1">
      <c r="A184" s="564"/>
      <c r="B184" s="1923"/>
      <c r="C184" s="1918"/>
      <c r="D184" s="3"/>
      <c r="E184" s="3"/>
      <c r="F184" s="3"/>
      <c r="G184" s="3"/>
      <c r="H184" s="3"/>
      <c r="I184" s="3"/>
      <c r="J184" s="3"/>
      <c r="K184" s="3"/>
      <c r="L184" s="3"/>
      <c r="M184" s="3"/>
      <c r="N184" s="3"/>
      <c r="O184" s="3"/>
      <c r="P184" s="3"/>
      <c r="Q184" s="3"/>
      <c r="R184" s="3"/>
      <c r="S184" s="3"/>
      <c r="T184" s="8"/>
      <c r="U184" s="8"/>
      <c r="V184" s="920"/>
    </row>
    <row r="185" spans="1:43" ht="15.75" customHeight="1">
      <c r="A185" s="993"/>
      <c r="B185" s="994" t="s">
        <v>524</v>
      </c>
      <c r="C185" s="1361" t="s">
        <v>1160</v>
      </c>
      <c r="D185" s="995"/>
      <c r="E185" s="995"/>
      <c r="F185" s="995"/>
      <c r="G185" s="995"/>
      <c r="H185" s="995"/>
      <c r="I185" s="995"/>
      <c r="J185" s="995"/>
      <c r="K185" s="995"/>
      <c r="L185" s="995"/>
      <c r="M185" s="995"/>
      <c r="N185" s="995"/>
      <c r="O185" s="995"/>
      <c r="P185" s="995"/>
      <c r="Q185" s="995"/>
      <c r="R185" s="995"/>
      <c r="S185" s="995"/>
      <c r="T185" s="1005"/>
      <c r="U185" s="1005"/>
      <c r="V185" s="996"/>
    </row>
    <row r="186" spans="1:43" ht="6" customHeight="1">
      <c r="A186" s="564"/>
      <c r="B186" s="1923"/>
      <c r="C186" s="1918"/>
      <c r="D186" s="3"/>
      <c r="E186" s="3"/>
      <c r="F186" s="3"/>
      <c r="G186" s="3"/>
      <c r="H186" s="3"/>
      <c r="I186" s="3"/>
      <c r="J186" s="3"/>
      <c r="K186" s="3"/>
      <c r="L186" s="3"/>
      <c r="M186" s="3"/>
      <c r="N186" s="3"/>
      <c r="O186" s="3"/>
      <c r="P186" s="3"/>
      <c r="Q186" s="3"/>
      <c r="R186" s="3"/>
      <c r="S186" s="3"/>
      <c r="T186" s="8"/>
      <c r="U186" s="8"/>
      <c r="V186" s="920"/>
      <c r="AD186" s="1"/>
      <c r="AE186" s="1"/>
      <c r="AF186" s="1"/>
      <c r="AG186" s="1"/>
    </row>
    <row r="187" spans="1:43" ht="39" customHeight="1">
      <c r="A187" s="564"/>
      <c r="B187" s="2956"/>
      <c r="C187" s="2956"/>
      <c r="D187" s="2956"/>
      <c r="E187" s="2956"/>
      <c r="F187" s="2956"/>
      <c r="G187" s="2956"/>
      <c r="H187" s="2956"/>
      <c r="I187" s="2956"/>
      <c r="J187" s="2956"/>
      <c r="K187" s="2956"/>
      <c r="L187" s="2956"/>
      <c r="M187" s="2956"/>
      <c r="N187" s="2956"/>
      <c r="O187" s="2956"/>
      <c r="P187" s="2956"/>
      <c r="Q187" s="2956"/>
      <c r="R187" s="2956"/>
      <c r="S187" s="2956"/>
      <c r="T187" s="2956"/>
      <c r="U187" s="2956"/>
      <c r="V187" s="920"/>
    </row>
    <row r="188" spans="1:43" s="439" customFormat="1" ht="3.95" customHeight="1">
      <c r="A188" s="918"/>
      <c r="B188" s="1950"/>
      <c r="C188" s="1951"/>
      <c r="D188" s="1951"/>
      <c r="E188" s="1951"/>
      <c r="F188" s="1951"/>
      <c r="G188" s="1951"/>
      <c r="H188" s="30"/>
      <c r="I188" s="1951"/>
      <c r="J188" s="1951"/>
      <c r="K188" s="1951"/>
      <c r="L188" s="1951"/>
      <c r="M188" s="30"/>
      <c r="N188" s="1951"/>
      <c r="O188" s="1951"/>
      <c r="P188" s="1951"/>
      <c r="Q188" s="30"/>
      <c r="R188" s="1952"/>
      <c r="S188" s="1953"/>
      <c r="T188" s="1953"/>
      <c r="U188" s="1950"/>
      <c r="V188" s="919"/>
      <c r="W188" s="638"/>
      <c r="X188" s="638"/>
      <c r="Y188" s="638"/>
      <c r="Z188" s="638"/>
      <c r="AA188" s="638"/>
      <c r="AB188" s="638"/>
      <c r="AC188" s="638"/>
      <c r="AD188" s="638"/>
      <c r="AE188" s="638"/>
      <c r="AF188" s="638"/>
      <c r="AG188" s="638"/>
      <c r="AH188" s="638"/>
      <c r="AI188" s="638"/>
      <c r="AJ188" s="638"/>
      <c r="AK188" s="638"/>
      <c r="AL188" s="638"/>
      <c r="AM188" s="638"/>
      <c r="AN188" s="638"/>
      <c r="AO188" s="638"/>
      <c r="AP188" s="638"/>
      <c r="AQ188" s="638"/>
    </row>
    <row r="189" spans="1:43" s="439" customFormat="1" ht="18" customHeight="1">
      <c r="A189" s="918"/>
      <c r="B189" s="2995" t="s">
        <v>720</v>
      </c>
      <c r="C189" s="2995"/>
      <c r="D189" s="2995"/>
      <c r="E189" s="2995"/>
      <c r="F189" s="2995"/>
      <c r="G189" s="2995"/>
      <c r="H189" s="2995"/>
      <c r="I189" s="2995"/>
      <c r="J189" s="2995"/>
      <c r="K189" s="2995"/>
      <c r="L189" s="2995"/>
      <c r="M189" s="2995"/>
      <c r="N189" s="2995"/>
      <c r="O189" s="2995"/>
      <c r="P189" s="2995"/>
      <c r="Q189" s="2995"/>
      <c r="R189" s="2995"/>
      <c r="S189" s="2995"/>
      <c r="T189" s="2995"/>
      <c r="U189" s="2995"/>
      <c r="V189" s="919"/>
      <c r="W189" s="638"/>
      <c r="X189" s="638"/>
      <c r="Y189" s="638"/>
      <c r="Z189" s="638"/>
      <c r="AA189" s="638"/>
      <c r="AB189" s="638"/>
      <c r="AC189" s="638"/>
      <c r="AD189" s="638"/>
      <c r="AE189" s="638"/>
      <c r="AF189" s="638"/>
      <c r="AG189" s="638"/>
      <c r="AH189" s="638"/>
      <c r="AI189" s="638"/>
      <c r="AJ189" s="638"/>
      <c r="AK189" s="638"/>
      <c r="AL189" s="638"/>
      <c r="AM189" s="638"/>
      <c r="AN189" s="638"/>
      <c r="AO189" s="638"/>
      <c r="AP189" s="638"/>
      <c r="AQ189" s="638"/>
    </row>
    <row r="190" spans="1:43" ht="3.95" customHeight="1">
      <c r="A190" s="564"/>
      <c r="B190" s="2950"/>
      <c r="C190" s="2951"/>
      <c r="D190" s="2951"/>
      <c r="E190" s="2951"/>
      <c r="F190" s="2951"/>
      <c r="G190" s="2952"/>
      <c r="H190" s="1924"/>
      <c r="I190" s="2950"/>
      <c r="J190" s="2951"/>
      <c r="K190" s="2951"/>
      <c r="L190" s="2951"/>
      <c r="M190" s="2952"/>
      <c r="N190" s="1955"/>
      <c r="O190" s="2950"/>
      <c r="P190" s="2951"/>
      <c r="Q190" s="2952"/>
      <c r="R190" s="1955"/>
      <c r="S190" s="2950"/>
      <c r="T190" s="2951"/>
      <c r="U190" s="2952"/>
      <c r="V190" s="920"/>
    </row>
    <row r="191" spans="1:43" ht="18" customHeight="1">
      <c r="A191" s="564"/>
      <c r="B191" s="2953"/>
      <c r="C191" s="2954"/>
      <c r="D191" s="2954"/>
      <c r="E191" s="2954"/>
      <c r="F191" s="2954"/>
      <c r="G191" s="2955"/>
      <c r="H191" s="30"/>
      <c r="I191" s="2953"/>
      <c r="J191" s="2954"/>
      <c r="K191" s="2954"/>
      <c r="L191" s="2954"/>
      <c r="M191" s="2955"/>
      <c r="N191" s="3"/>
      <c r="O191" s="2953"/>
      <c r="P191" s="2954"/>
      <c r="Q191" s="2955"/>
      <c r="R191" s="3"/>
      <c r="S191" s="2953" t="str">
        <f>IF(ISBLANK(O191)," ",S5)</f>
        <v xml:space="preserve"> </v>
      </c>
      <c r="T191" s="2954"/>
      <c r="U191" s="2955"/>
      <c r="V191" s="920"/>
    </row>
    <row r="192" spans="1:43" ht="15" customHeight="1" thickBot="1">
      <c r="A192" s="939"/>
      <c r="B192" s="2948" t="s">
        <v>1161</v>
      </c>
      <c r="C192" s="2948"/>
      <c r="D192" s="2948"/>
      <c r="E192" s="2948"/>
      <c r="F192" s="2948"/>
      <c r="G192" s="2948"/>
      <c r="H192" s="756"/>
      <c r="I192" s="2949" t="s">
        <v>722</v>
      </c>
      <c r="J192" s="2949"/>
      <c r="K192" s="2949"/>
      <c r="L192" s="2949"/>
      <c r="M192" s="2949"/>
      <c r="N192" s="940"/>
      <c r="O192" s="2948" t="s">
        <v>723</v>
      </c>
      <c r="P192" s="2948"/>
      <c r="Q192" s="2948"/>
      <c r="R192" s="940"/>
      <c r="S192" s="2949" t="s">
        <v>724</v>
      </c>
      <c r="T192" s="2949"/>
      <c r="U192" s="2949"/>
      <c r="V192" s="941"/>
      <c r="Z192" s="519"/>
      <c r="AA192" s="519"/>
      <c r="AB192" s="519"/>
      <c r="AC192" s="519"/>
      <c r="AD192" s="519"/>
      <c r="AE192" s="519"/>
      <c r="AF192" s="519"/>
      <c r="AG192" s="519"/>
    </row>
    <row r="193" spans="21:40" ht="18" customHeight="1">
      <c r="U193" s="916"/>
      <c r="Z193" s="519"/>
      <c r="AA193" s="519"/>
      <c r="AB193" s="519"/>
      <c r="AC193" s="519"/>
      <c r="AD193" s="519"/>
      <c r="AE193" s="519"/>
      <c r="AF193" s="519"/>
      <c r="AG193" s="519"/>
    </row>
    <row r="194" spans="21:40" ht="18" customHeight="1">
      <c r="Z194" s="970"/>
      <c r="AA194" s="519"/>
      <c r="AB194" s="970"/>
      <c r="AC194" s="482"/>
      <c r="AD194" s="971"/>
      <c r="AE194" s="971"/>
      <c r="AF194" s="519"/>
      <c r="AG194" s="972"/>
      <c r="AI194" s="75"/>
      <c r="AJ194" s="74"/>
      <c r="AK194" s="1"/>
      <c r="AL194" s="1"/>
      <c r="AM194" s="23"/>
      <c r="AN194" s="1"/>
    </row>
    <row r="195" spans="21:40" ht="18" customHeight="1">
      <c r="Z195" s="970"/>
      <c r="AA195" s="519"/>
      <c r="AB195" s="973"/>
      <c r="AC195" s="519"/>
      <c r="AD195" s="971"/>
      <c r="AE195" s="971"/>
      <c r="AF195" s="519"/>
      <c r="AG195" s="972"/>
      <c r="AI195" s="75"/>
      <c r="AJ195" s="1"/>
      <c r="AK195" s="1"/>
      <c r="AL195" s="1"/>
      <c r="AM195" s="1"/>
      <c r="AN195" s="1"/>
    </row>
    <row r="196" spans="21:40" ht="18" customHeight="1">
      <c r="Z196" s="970"/>
      <c r="AA196" s="519"/>
      <c r="AB196" s="973"/>
      <c r="AC196" s="519"/>
      <c r="AD196" s="971"/>
      <c r="AE196" s="519"/>
      <c r="AF196" s="519"/>
      <c r="AG196" s="972"/>
      <c r="AI196" s="75"/>
      <c r="AJ196" s="1"/>
      <c r="AK196" s="1"/>
      <c r="AL196" s="1"/>
      <c r="AM196" s="1"/>
      <c r="AN196" s="1"/>
    </row>
    <row r="197" spans="21:40" ht="18" customHeight="1">
      <c r="Z197" s="970"/>
      <c r="AA197" s="519"/>
      <c r="AB197" s="973"/>
      <c r="AC197" s="482"/>
      <c r="AD197" s="971"/>
      <c r="AE197" s="519"/>
      <c r="AF197" s="519"/>
      <c r="AG197" s="972"/>
    </row>
    <row r="198" spans="21:40" ht="14.1" customHeight="1">
      <c r="Z198" s="970"/>
      <c r="AA198" s="519"/>
      <c r="AB198" s="973"/>
      <c r="AC198" s="519"/>
      <c r="AD198" s="971"/>
      <c r="AE198" s="519"/>
      <c r="AF198" s="519"/>
      <c r="AG198" s="972"/>
    </row>
    <row r="199" spans="21:40" ht="14.1" customHeight="1">
      <c r="Z199" s="519"/>
      <c r="AA199" s="519"/>
      <c r="AB199" s="973"/>
      <c r="AC199" s="482"/>
      <c r="AD199" s="971"/>
      <c r="AE199" s="519"/>
      <c r="AF199" s="519"/>
      <c r="AG199" s="972"/>
    </row>
    <row r="200" spans="21:40" ht="14.1" customHeight="1">
      <c r="Z200" s="519"/>
      <c r="AA200" s="519"/>
      <c r="AB200" s="973"/>
      <c r="AC200" s="519"/>
      <c r="AD200" s="971"/>
      <c r="AE200" s="519"/>
      <c r="AF200" s="519"/>
      <c r="AG200" s="972"/>
    </row>
    <row r="201" spans="21:40" ht="14.1" customHeight="1">
      <c r="Z201" s="519"/>
      <c r="AA201" s="519"/>
      <c r="AB201" s="973"/>
      <c r="AC201" s="482"/>
      <c r="AD201" s="971"/>
      <c r="AE201" s="519"/>
      <c r="AF201" s="519"/>
      <c r="AG201" s="519"/>
    </row>
    <row r="202" spans="21:40" ht="14.1" customHeight="1">
      <c r="Z202" s="519"/>
      <c r="AA202" s="519"/>
      <c r="AB202" s="973"/>
      <c r="AC202" s="482"/>
      <c r="AD202" s="971"/>
      <c r="AE202" s="519"/>
      <c r="AF202" s="519"/>
      <c r="AG202" s="519"/>
    </row>
    <row r="203" spans="21:40" ht="14.1" customHeight="1">
      <c r="Z203" s="519"/>
      <c r="AA203" s="519"/>
      <c r="AB203" s="973"/>
      <c r="AC203" s="482"/>
      <c r="AD203" s="971"/>
      <c r="AE203" s="519"/>
      <c r="AF203" s="519"/>
      <c r="AG203" s="519"/>
    </row>
    <row r="204" spans="21:40" ht="14.1" customHeight="1">
      <c r="Z204" s="519"/>
      <c r="AA204" s="519"/>
      <c r="AB204" s="973"/>
      <c r="AC204" s="482"/>
      <c r="AD204" s="519"/>
      <c r="AE204" s="519"/>
      <c r="AF204" s="519"/>
      <c r="AG204" s="519"/>
    </row>
    <row r="205" spans="21:40" ht="14.1" customHeight="1">
      <c r="Z205" s="519"/>
      <c r="AA205" s="519"/>
      <c r="AB205" s="973"/>
      <c r="AC205" s="482"/>
      <c r="AD205" s="519"/>
      <c r="AE205" s="519"/>
      <c r="AF205" s="519"/>
      <c r="AG205" s="519"/>
    </row>
    <row r="206" spans="21:40" ht="14.1" customHeight="1">
      <c r="Z206" s="519"/>
      <c r="AA206" s="519"/>
      <c r="AB206" s="973"/>
      <c r="AC206" s="519"/>
      <c r="AD206" s="519"/>
      <c r="AE206" s="519"/>
      <c r="AF206" s="519"/>
      <c r="AG206" s="519"/>
    </row>
    <row r="207" spans="21:40" ht="14.1" customHeight="1">
      <c r="Z207" s="519"/>
      <c r="AA207" s="519"/>
      <c r="AB207" s="973"/>
      <c r="AC207" s="519"/>
      <c r="AD207" s="519"/>
      <c r="AE207" s="519"/>
      <c r="AF207" s="519"/>
      <c r="AG207" s="519"/>
    </row>
    <row r="208" spans="21:40" ht="14.1" customHeight="1">
      <c r="Z208" s="519"/>
      <c r="AA208" s="519"/>
      <c r="AB208" s="973"/>
      <c r="AC208" s="519"/>
      <c r="AD208" s="519"/>
      <c r="AE208" s="519"/>
      <c r="AF208" s="519"/>
      <c r="AG208" s="519"/>
    </row>
    <row r="209" spans="26:33" ht="14.1" customHeight="1">
      <c r="Z209" s="519"/>
      <c r="AA209" s="519"/>
      <c r="AB209" s="973"/>
      <c r="AC209" s="519"/>
      <c r="AD209" s="519"/>
      <c r="AE209" s="519"/>
      <c r="AF209" s="519"/>
      <c r="AG209" s="519"/>
    </row>
    <row r="210" spans="26:33" ht="14.1" customHeight="1">
      <c r="Z210" s="519"/>
      <c r="AA210" s="519"/>
      <c r="AB210" s="973"/>
      <c r="AC210" s="519"/>
      <c r="AD210" s="519"/>
      <c r="AE210" s="519"/>
      <c r="AF210" s="519"/>
      <c r="AG210" s="519"/>
    </row>
    <row r="211" spans="26:33" ht="14.1" customHeight="1">
      <c r="Z211" s="519"/>
      <c r="AA211" s="519"/>
      <c r="AB211" s="973"/>
      <c r="AC211" s="519"/>
      <c r="AD211" s="519"/>
      <c r="AE211" s="519"/>
      <c r="AF211" s="519"/>
      <c r="AG211" s="519"/>
    </row>
    <row r="212" spans="26:33" ht="14.1" customHeight="1">
      <c r="Z212" s="519"/>
      <c r="AA212" s="519"/>
      <c r="AB212" s="973"/>
      <c r="AC212" s="519"/>
      <c r="AD212" s="519"/>
      <c r="AE212" s="519"/>
      <c r="AF212" s="519"/>
      <c r="AG212" s="519"/>
    </row>
    <row r="213" spans="26:33" ht="14.1" customHeight="1">
      <c r="Z213" s="519"/>
      <c r="AA213" s="519"/>
      <c r="AB213" s="973"/>
      <c r="AC213" s="519"/>
      <c r="AD213" s="519"/>
      <c r="AE213" s="519"/>
      <c r="AF213" s="519"/>
      <c r="AG213" s="519"/>
    </row>
    <row r="214" spans="26:33" ht="14.1" customHeight="1">
      <c r="Z214" s="519"/>
      <c r="AA214" s="519"/>
      <c r="AB214" s="973"/>
      <c r="AC214" s="519"/>
      <c r="AD214" s="519"/>
      <c r="AE214" s="519"/>
      <c r="AF214" s="519"/>
      <c r="AG214" s="519"/>
    </row>
    <row r="215" spans="26:33" ht="14.1" customHeight="1">
      <c r="Z215" s="519"/>
      <c r="AA215" s="519"/>
      <c r="AB215" s="973"/>
      <c r="AC215" s="519"/>
      <c r="AD215" s="519"/>
      <c r="AE215" s="519"/>
      <c r="AF215" s="519"/>
      <c r="AG215" s="519"/>
    </row>
    <row r="216" spans="26:33" ht="14.1" customHeight="1">
      <c r="Z216" s="519"/>
      <c r="AA216" s="519"/>
      <c r="AB216" s="973"/>
      <c r="AC216" s="519"/>
      <c r="AD216" s="519"/>
      <c r="AE216" s="519"/>
      <c r="AF216" s="519"/>
      <c r="AG216" s="519"/>
    </row>
    <row r="217" spans="26:33" ht="14.1" customHeight="1">
      <c r="Z217" s="519"/>
      <c r="AA217" s="519"/>
      <c r="AB217" s="973"/>
      <c r="AC217" s="519"/>
      <c r="AD217" s="519"/>
      <c r="AE217" s="519"/>
      <c r="AF217" s="519"/>
      <c r="AG217" s="519"/>
    </row>
    <row r="218" spans="26:33" ht="14.1" customHeight="1">
      <c r="Z218" s="519"/>
      <c r="AA218" s="519"/>
      <c r="AB218" s="973"/>
      <c r="AC218" s="519"/>
      <c r="AD218" s="519"/>
      <c r="AE218" s="519"/>
      <c r="AF218" s="519"/>
      <c r="AG218" s="519"/>
    </row>
    <row r="219" spans="26:33" ht="14.1" customHeight="1">
      <c r="Z219" s="519"/>
      <c r="AA219" s="519"/>
      <c r="AB219" s="973"/>
      <c r="AC219" s="519"/>
      <c r="AD219" s="519"/>
      <c r="AE219" s="519"/>
      <c r="AF219" s="519"/>
      <c r="AG219" s="519"/>
    </row>
    <row r="220" spans="26:33" ht="14.1" customHeight="1">
      <c r="Z220" s="519"/>
      <c r="AA220" s="519"/>
      <c r="AB220" s="973"/>
      <c r="AC220" s="519"/>
      <c r="AD220" s="519"/>
      <c r="AE220" s="519"/>
      <c r="AF220" s="519"/>
      <c r="AG220" s="519"/>
    </row>
    <row r="221" spans="26:33" ht="14.1" customHeight="1">
      <c r="Z221" s="519"/>
      <c r="AA221" s="519"/>
      <c r="AB221" s="973"/>
      <c r="AC221" s="519"/>
      <c r="AD221" s="519"/>
      <c r="AE221" s="519"/>
      <c r="AF221" s="519"/>
      <c r="AG221" s="519"/>
    </row>
    <row r="222" spans="26:33" ht="14.1" customHeight="1">
      <c r="Z222" s="519"/>
      <c r="AA222" s="519"/>
      <c r="AB222" s="973"/>
      <c r="AC222" s="519"/>
      <c r="AD222" s="519"/>
      <c r="AE222" s="519"/>
      <c r="AF222" s="519"/>
      <c r="AG222" s="519"/>
    </row>
    <row r="223" spans="26:33" ht="14.1" customHeight="1">
      <c r="Z223" s="519"/>
      <c r="AA223" s="519"/>
      <c r="AB223" s="973"/>
      <c r="AC223" s="519"/>
      <c r="AD223" s="519"/>
      <c r="AE223" s="519"/>
      <c r="AF223" s="519"/>
      <c r="AG223" s="519"/>
    </row>
  </sheetData>
  <sheetProtection sheet="1" objects="1" scenarios="1"/>
  <customSheetViews>
    <customSheetView guid="{3320ADAB-1745-4CE0-B739-BF2E8269138B}" fitToPage="1" printArea="1" showRuler="0" topLeftCell="A19">
      <selection activeCell="C31" sqref="C31:N32"/>
      <pageMargins left="0" right="0" top="0" bottom="0" header="0" footer="0"/>
      <pageSetup scale="63" orientation="portrait" r:id="rId1"/>
      <headerFooter alignWithMargins="0"/>
    </customSheetView>
    <customSheetView guid="{D1431318-1DB8-4C45-813B-5A8065DFC797}">
      <selection activeCell="Y17" sqref="Y17"/>
      <rowBreaks count="1" manualBreakCount="1">
        <brk id="75" max="19" man="1"/>
      </rowBreaks>
      <pageMargins left="0" right="0" top="0" bottom="0" header="0" footer="0"/>
      <pageSetup scale="75" fitToHeight="2" orientation="portrait" blackAndWhite="1" r:id="rId2"/>
      <headerFooter alignWithMargins="0"/>
    </customSheetView>
  </customSheetViews>
  <mergeCells count="229">
    <mergeCell ref="AE86:AG87"/>
    <mergeCell ref="H175:K175"/>
    <mergeCell ref="Q177:U179"/>
    <mergeCell ref="B173:R173"/>
    <mergeCell ref="B169:S169"/>
    <mergeCell ref="B189:U189"/>
    <mergeCell ref="H171:I171"/>
    <mergeCell ref="M175:R175"/>
    <mergeCell ref="S175:U175"/>
    <mergeCell ref="H179:K179"/>
    <mergeCell ref="N179:O179"/>
    <mergeCell ref="S137:T137"/>
    <mergeCell ref="S133:T133"/>
    <mergeCell ref="L137:M137"/>
    <mergeCell ref="L133:M133"/>
    <mergeCell ref="C168:U168"/>
    <mergeCell ref="H165:I165"/>
    <mergeCell ref="S163:U164"/>
    <mergeCell ref="P163:Q163"/>
    <mergeCell ref="P164:Q164"/>
    <mergeCell ref="D163:E163"/>
    <mergeCell ref="D164:E164"/>
    <mergeCell ref="J165:K165"/>
    <mergeCell ref="P171:Q171"/>
    <mergeCell ref="F131:G131"/>
    <mergeCell ref="L131:M131"/>
    <mergeCell ref="S3:U3"/>
    <mergeCell ref="S5:U5"/>
    <mergeCell ref="G5:P5"/>
    <mergeCell ref="F125:G125"/>
    <mergeCell ref="G3:P3"/>
    <mergeCell ref="I35:J35"/>
    <mergeCell ref="I37:J37"/>
    <mergeCell ref="F123:G123"/>
    <mergeCell ref="L119:M119"/>
    <mergeCell ref="A66:K66"/>
    <mergeCell ref="L66:V66"/>
    <mergeCell ref="B61:U61"/>
    <mergeCell ref="F81:H81"/>
    <mergeCell ref="I11:J11"/>
    <mergeCell ref="S11:U11"/>
    <mergeCell ref="I22:J22"/>
    <mergeCell ref="G106:H106"/>
    <mergeCell ref="S131:T131"/>
    <mergeCell ref="I39:J39"/>
    <mergeCell ref="N39:O39"/>
    <mergeCell ref="F117:G117"/>
    <mergeCell ref="C92:T92"/>
    <mergeCell ref="S123:T123"/>
    <mergeCell ref="S125:T125"/>
    <mergeCell ref="N54:O54"/>
    <mergeCell ref="L75:N75"/>
    <mergeCell ref="O75:S75"/>
    <mergeCell ref="F115:G115"/>
    <mergeCell ref="S7:U7"/>
    <mergeCell ref="G7:P7"/>
    <mergeCell ref="F137:G137"/>
    <mergeCell ref="N45:T45"/>
    <mergeCell ref="N20:O20"/>
    <mergeCell ref="N22:O22"/>
    <mergeCell ref="F83:M83"/>
    <mergeCell ref="L73:N73"/>
    <mergeCell ref="F79:H79"/>
    <mergeCell ref="S73:T73"/>
    <mergeCell ref="S69:T69"/>
    <mergeCell ref="E58:T58"/>
    <mergeCell ref="I71:J71"/>
    <mergeCell ref="L55:T57"/>
    <mergeCell ref="B74:U74"/>
    <mergeCell ref="H41:J41"/>
    <mergeCell ref="N60:T60"/>
    <mergeCell ref="L50:M50"/>
    <mergeCell ref="B162:C162"/>
    <mergeCell ref="B163:C163"/>
    <mergeCell ref="B164:C164"/>
    <mergeCell ref="B165:C165"/>
    <mergeCell ref="F164:G164"/>
    <mergeCell ref="H164:I164"/>
    <mergeCell ref="L164:M164"/>
    <mergeCell ref="H162:I162"/>
    <mergeCell ref="L160:M160"/>
    <mergeCell ref="L165:M165"/>
    <mergeCell ref="F161:G161"/>
    <mergeCell ref="L161:M161"/>
    <mergeCell ref="J160:K160"/>
    <mergeCell ref="J162:K162"/>
    <mergeCell ref="F165:G165"/>
    <mergeCell ref="D162:E162"/>
    <mergeCell ref="B160:C160"/>
    <mergeCell ref="B192:G192"/>
    <mergeCell ref="I192:M192"/>
    <mergeCell ref="B190:G191"/>
    <mergeCell ref="I190:M191"/>
    <mergeCell ref="O190:Q191"/>
    <mergeCell ref="S190:U191"/>
    <mergeCell ref="H177:P177"/>
    <mergeCell ref="H181:P181"/>
    <mergeCell ref="O192:Q192"/>
    <mergeCell ref="B187:U187"/>
    <mergeCell ref="S192:U192"/>
    <mergeCell ref="H183:K183"/>
    <mergeCell ref="N183:O183"/>
    <mergeCell ref="F145:G145"/>
    <mergeCell ref="E43:T43"/>
    <mergeCell ref="P165:Q165"/>
    <mergeCell ref="S165:T165"/>
    <mergeCell ref="J164:K164"/>
    <mergeCell ref="D165:E165"/>
    <mergeCell ref="H163:I163"/>
    <mergeCell ref="J163:K163"/>
    <mergeCell ref="L163:M163"/>
    <mergeCell ref="L162:M162"/>
    <mergeCell ref="N162:O162"/>
    <mergeCell ref="S162:T162"/>
    <mergeCell ref="F162:G162"/>
    <mergeCell ref="N165:O165"/>
    <mergeCell ref="N164:O164"/>
    <mergeCell ref="F163:G163"/>
    <mergeCell ref="S141:T141"/>
    <mergeCell ref="P160:Q160"/>
    <mergeCell ref="L157:M159"/>
    <mergeCell ref="S157:U158"/>
    <mergeCell ref="F151:G151"/>
    <mergeCell ref="S151:T151"/>
    <mergeCell ref="N157:O159"/>
    <mergeCell ref="N163:O163"/>
    <mergeCell ref="S119:T119"/>
    <mergeCell ref="S115:T115"/>
    <mergeCell ref="P161:Q161"/>
    <mergeCell ref="P162:Q162"/>
    <mergeCell ref="M13:N13"/>
    <mergeCell ref="S13:T13"/>
    <mergeCell ref="I15:J15"/>
    <mergeCell ref="O81:T81"/>
    <mergeCell ref="O83:T83"/>
    <mergeCell ref="I50:J50"/>
    <mergeCell ref="N50:O50"/>
    <mergeCell ref="I52:J52"/>
    <mergeCell ref="I67:J67"/>
    <mergeCell ref="S67:T67"/>
    <mergeCell ref="N37:O37"/>
    <mergeCell ref="H45:J45"/>
    <mergeCell ref="I73:J73"/>
    <mergeCell ref="N71:O71"/>
    <mergeCell ref="I54:J54"/>
    <mergeCell ref="N52:O52"/>
    <mergeCell ref="I13:J13"/>
    <mergeCell ref="I20:J20"/>
    <mergeCell ref="F77:H77"/>
    <mergeCell ref="S71:T71"/>
    <mergeCell ref="N161:O161"/>
    <mergeCell ref="C149:E149"/>
    <mergeCell ref="F160:G160"/>
    <mergeCell ref="H161:I161"/>
    <mergeCell ref="F157:G159"/>
    <mergeCell ref="H157:I159"/>
    <mergeCell ref="J157:K159"/>
    <mergeCell ref="J161:K161"/>
    <mergeCell ref="F149:G149"/>
    <mergeCell ref="N160:O160"/>
    <mergeCell ref="D161:E161"/>
    <mergeCell ref="L149:M149"/>
    <mergeCell ref="H153:K153"/>
    <mergeCell ref="H160:I160"/>
    <mergeCell ref="M151:N151"/>
    <mergeCell ref="L153:M153"/>
    <mergeCell ref="D160:E160"/>
    <mergeCell ref="S117:T117"/>
    <mergeCell ref="S159:T159"/>
    <mergeCell ref="K98:M98"/>
    <mergeCell ref="P93:T94"/>
    <mergeCell ref="S98:T98"/>
    <mergeCell ref="P157:Q159"/>
    <mergeCell ref="M129:O129"/>
    <mergeCell ref="P129:T129"/>
    <mergeCell ref="L145:M145"/>
    <mergeCell ref="L143:M143"/>
    <mergeCell ref="S96:T96"/>
    <mergeCell ref="S149:T149"/>
    <mergeCell ref="S153:T153"/>
    <mergeCell ref="L141:M141"/>
    <mergeCell ref="L125:M125"/>
    <mergeCell ref="G102:K102"/>
    <mergeCell ref="L115:M115"/>
    <mergeCell ref="L102:Q102"/>
    <mergeCell ref="G93:H93"/>
    <mergeCell ref="G94:H94"/>
    <mergeCell ref="M94:N94"/>
    <mergeCell ref="G96:H96"/>
    <mergeCell ref="G108:H108"/>
    <mergeCell ref="G110:U110"/>
    <mergeCell ref="G104:H104"/>
    <mergeCell ref="C112:U112"/>
    <mergeCell ref="O104:P104"/>
    <mergeCell ref="L106:U106"/>
    <mergeCell ref="L108:U108"/>
    <mergeCell ref="H56:J56"/>
    <mergeCell ref="D71:E71"/>
    <mergeCell ref="K90:U90"/>
    <mergeCell ref="C91:U91"/>
    <mergeCell ref="G88:T88"/>
    <mergeCell ref="H60:J60"/>
    <mergeCell ref="I69:J69"/>
    <mergeCell ref="O77:T77"/>
    <mergeCell ref="O79:T79"/>
    <mergeCell ref="F143:G143"/>
    <mergeCell ref="O151:R151"/>
    <mergeCell ref="F141:G141"/>
    <mergeCell ref="O153:R153"/>
    <mergeCell ref="S145:T145"/>
    <mergeCell ref="H24:J24"/>
    <mergeCell ref="G26:M26"/>
    <mergeCell ref="D30:U30"/>
    <mergeCell ref="S160:U161"/>
    <mergeCell ref="C153:E153"/>
    <mergeCell ref="I149:K149"/>
    <mergeCell ref="S143:T143"/>
    <mergeCell ref="S135:T135"/>
    <mergeCell ref="F153:G153"/>
    <mergeCell ref="B161:C161"/>
    <mergeCell ref="D157:E159"/>
    <mergeCell ref="O119:R119"/>
    <mergeCell ref="N117:R117"/>
    <mergeCell ref="F133:G133"/>
    <mergeCell ref="L135:M135"/>
    <mergeCell ref="F135:G135"/>
    <mergeCell ref="L117:M117"/>
    <mergeCell ref="L123:M123"/>
    <mergeCell ref="F119:G119"/>
  </mergeCells>
  <phoneticPr fontId="26" type="noConversion"/>
  <dataValidations xWindow="236" yWindow="200" count="30">
    <dataValidation type="list" allowBlank="1" showInputMessage="1" showErrorMessage="1" sqref="N20:O20 N22:O22 N54:O54 N37:O37 N52 N39:O39" xr:uid="{00000000-0002-0000-0E00-000001000000}">
      <formula1>CLR</formula1>
    </dataValidation>
    <dataValidation allowBlank="1" showInputMessage="1" showErrorMessage="1" promptTitle="Design Summary" prompt="This section will be filled in after the design of each of the components is complete." sqref="C112:U112" xr:uid="{00000000-0002-0000-0E00-000002000000}"/>
    <dataValidation allowBlank="1" showInputMessage="1" showErrorMessage="1" prompt="Enter septic tank capacity only. Pump tank capacity is entered automatically below on Line 1.D" sqref="I54:J54" xr:uid="{00000000-0002-0000-0E00-000003000000}"/>
    <dataValidation operator="lessThanOrEqual" allowBlank="1" showInputMessage="1" promptTitle="On Field Tab" prompt="Value must be less than or equal to 84 inches for treatment to occur within 7 feet from grade." sqref="G94:H94" xr:uid="{00000000-0002-0000-0E00-000004000000}"/>
    <dataValidation allowBlank="1" showInputMessage="1" showErrorMessage="1" prompt="Name of registered treatment media." sqref="U83" xr:uid="{00000000-0002-0000-0E00-000005000000}"/>
    <dataValidation type="list" allowBlank="1" showInputMessage="1" showErrorMessage="1" sqref="F77" xr:uid="{00000000-0002-0000-0E00-000006000000}">
      <formula1>STA</formula1>
    </dataValidation>
    <dataValidation type="list" allowBlank="1" showInputMessage="1" showErrorMessage="1" sqref="O77" xr:uid="{00000000-0002-0000-0E00-000007000000}">
      <formula1>DistType</formula1>
    </dataValidation>
    <dataValidation type="list" allowBlank="1" showInputMessage="1" showErrorMessage="1" sqref="I15" xr:uid="{00000000-0002-0000-0E00-000008000000}">
      <formula1>TreatmentLevel</formula1>
    </dataValidation>
    <dataValidation type="list" allowBlank="1" showInputMessage="1" sqref="F81:H81" xr:uid="{00000000-0002-0000-0E00-000009000000}">
      <formula1>MPCAType</formula1>
    </dataValidation>
    <dataValidation allowBlank="1" showInputMessage="1" showErrorMessage="1" promptTitle="MPCA Type Comments" prompt="If the system is a Type III or IV list information on the plan for the installation and/or the treatment device to be used." sqref="F83:M83" xr:uid="{00000000-0002-0000-0E00-00000A000000}"/>
    <dataValidation type="list" allowBlank="1" showInputMessage="1" showErrorMessage="1" sqref="I50" xr:uid="{00000000-0002-0000-0E00-00000B000000}">
      <formula1>Gravity_Or_Pressure</formula1>
    </dataValidation>
    <dataValidation type="list" allowBlank="1" showInputMessage="1" sqref="J90" xr:uid="{00000000-0002-0000-0E00-00000C000000}">
      <formula1>YN</formula1>
    </dataValidation>
    <dataValidation type="list" allowBlank="1" showInputMessage="1" showErrorMessage="1" sqref="O81" xr:uid="{00000000-0002-0000-0E00-00000D000000}">
      <formula1>DispersalMedia</formula1>
    </dataValidation>
    <dataValidation allowBlank="1" showInputMessage="1" promptTitle="On Field Tab" prompt="The slope is on the &quot;Field Tab&quot;_x000a_" sqref="G108:H108" xr:uid="{00000000-0002-0000-0E00-00000E000000}"/>
    <dataValidation allowBlank="1" showErrorMessage="1" prompt="Enter code minimum holding tank capacity._x000a_" sqref="I20:J20" xr:uid="{00000000-0002-0000-0E00-00000F000000}"/>
    <dataValidation allowBlank="1" showErrorMessage="1" prompt="Enter septic tank capacity only. Pump tank capacity is entered automatically below on Line 1.D" sqref="I22:J22" xr:uid="{00000000-0002-0000-0E00-000010000000}"/>
    <dataValidation allowBlank="1" showInputMessage="1" showErrorMessage="1" prompt="Enter septic tank capacity only. Pump tank capacity is filled automatically below." sqref="I37:J37 I39:J40" xr:uid="{00000000-0002-0000-0E00-000011000000}"/>
    <dataValidation allowBlank="1" showInputMessage="1" showErrorMessage="1" prompt="From Prelim Page" sqref="G3:P3 S3:U3 G5:P5 G7:P7 S7:U7 I13:J13 M13:N13 S13:T13 I11:J11" xr:uid="{00000000-0002-0000-0E00-000012000000}"/>
    <dataValidation allowBlank="1" showInputMessage="1" showErrorMessage="1" promptTitle="System Type Code" sqref="AA77" xr:uid="{F4FB510A-5EEE-48DD-BDC9-A852D6268E79}"/>
    <dataValidation allowBlank="1" showInputMessage="1" showErrorMessage="1" promptTitle="Pressure Distribution Code" sqref="AC77" xr:uid="{D6127B4E-B31A-4718-BCD9-73DDD7B1C772}"/>
    <dataValidation allowBlank="1" showInputMessage="1" promptTitle="Number of bedrooms" prompt="Number from Prelim" sqref="I35:J35" xr:uid="{F4327248-F637-40C9-A1A0-6C17D701941D}"/>
    <dataValidation allowBlank="1" showInputMessage="1" showErrorMessage="1" promptTitle="From &quot;Field Tab&quot;" prompt="Soil Hydraulic Loading rate is on the Field Tab" sqref="G104:H104" xr:uid="{A1C62A51-8B5E-4444-ADD5-32EEE6C3AFED}"/>
    <dataValidation allowBlank="1" showInputMessage="1" showErrorMessage="1" promptTitle="Soil Texture on Field Page" prompt="Soil texture is listed on the &quot;Field Page&quot;" sqref="G102:K102" xr:uid="{9FA37E8E-8ED6-49A0-9565-4D7AF0A479AD}"/>
    <dataValidation allowBlank="1" showInputMessage="1" showErrorMessage="1" promptTitle="Benchmark Elevation on Field Pg" prompt="Entry of Elevation on the field page" sqref="F79:H79" xr:uid="{9A8B403F-5F98-4DF0-AA73-7FAE01F25D0F}"/>
    <dataValidation allowBlank="1" showInputMessage="1" showErrorMessage="1" promptTitle="Benchmark Location on Field pg" prompt="Entry of Benchmark Location on the Field Page" sqref="O79:T79" xr:uid="{322D5FB0-A1F8-4AAA-95AF-BEF30FD85CD7}"/>
    <dataValidation allowBlank="1" showInputMessage="1" showErrorMessage="1" promptTitle="Treatment Level" prompt="What level will be achieved with technology?" sqref="S175:U175" xr:uid="{37E56F3D-B9D6-4232-A701-161A247F4A87}"/>
    <dataValidation allowBlank="1" showInputMessage="1" prompt="Value input on Field Tab" sqref="M94:N94" xr:uid="{E0B2863C-281D-4848-A6D7-38BC909E982E}"/>
    <dataValidation allowBlank="1" showInputMessage="1" prompt="Data Input on Field Tab" sqref="O104:P104" xr:uid="{C1C503A1-12F7-4C66-BAAC-1DB001B4D1BE}"/>
    <dataValidation allowBlank="1" showInputMessage="1" prompt="From Prelim Page" sqref="S11:U11" xr:uid="{00000000-0002-0000-0E00-000016000000}"/>
    <dataValidation allowBlank="1" showInputMessage="1" showErrorMessage="1" promptTitle="Analyte" prompt="Which analyte tested is the desing based off of?" sqref="H171:I171" xr:uid="{873B4EC3-23D0-40CA-93D8-2D9900E8060E}"/>
  </dataValidations>
  <printOptions horizontalCentered="1"/>
  <pageMargins left="0.4" right="0.25" top="1" bottom="0.25" header="0.4" footer="0.25"/>
  <pageSetup scale="91" orientation="portrait" blackAndWhite="1" r:id="rId3"/>
  <headerFooter>
    <oddHeader>&amp;L&amp;G&amp;C&amp;"Trebuchet MS,Regular"&amp;14
Design Summary Page&amp;R&amp;G</oddHeader>
  </headerFooter>
  <rowBreaks count="2" manualBreakCount="2">
    <brk id="63" max="21" man="1"/>
    <brk id="127" max="21" man="1"/>
  </rowBreaks>
  <drawing r:id="rId4"/>
  <legacyDrawingHF r:id="rId5"/>
  <extLst>
    <ext xmlns:x14="http://schemas.microsoft.com/office/spreadsheetml/2009/9/main" uri="{CCE6A557-97BC-4b89-ADB6-D9C93CAAB3DF}">
      <x14:dataValidations xmlns:xm="http://schemas.microsoft.com/office/excel/2006/main" xWindow="236" yWindow="200" count="5">
        <x14:dataValidation type="list" errorStyle="warning" allowBlank="1" showInputMessage="1" showErrorMessage="1" error="Check Separation Distance allowed in 7080" promptTitle="Treatment Level:" prompt="Level C effluent: min separation = 36 inches_x000a_Level C Rapidly Permeable Soils = 60 inches_x000a_Level B effluent: min separation = 18 inches_x000a_Level A effluent: min separation = 12 inches" xr:uid="{00000000-0002-0000-0E00-000015000000}">
          <x14:formula1>
            <xm:f>'Drop-Down Lists'!$BQ$2:$BQ$5</xm:f>
          </x14:formula1>
          <xm:sqref>G96:H97</xm:sqref>
        </x14:dataValidation>
        <x14:dataValidation type="list" errorStyle="information" allowBlank="1" showInputMessage="1" showErrorMessage="1" prompt="Name of registered treatment media." xr:uid="{00000000-0002-0000-0E00-000019000000}">
          <x14:formula1>
            <xm:f>'Drop-Down Lists'!$BL$2:$BL$6</xm:f>
          </x14:formula1>
          <xm:sqref>O83:T83</xm:sqref>
        </x14:dataValidation>
        <x14:dataValidation type="list" allowBlank="1" xr:uid="{00000000-0002-0000-0E00-000017000000}">
          <x14:formula1>
            <xm:f>'Drop-Down Lists'!$C$2:$C$6</xm:f>
          </x14:formula1>
          <xm:sqref>H60:J60 H45:J45</xm:sqref>
        </x14:dataValidation>
        <x14:dataValidation type="list" errorStyle="information" allowBlank="1" showInputMessage="1" showErrorMessage="1" promptTitle="Will the tanks be reused?" prompt="Will the tanks be new or existing ?" xr:uid="{A5A946AF-6618-4E41-82C6-5954C6B4BF10}">
          <x14:formula1>
            <xm:f>'Drop-Down Lists'!$BX$2:$BX$4</xm:f>
          </x14:formula1>
          <xm:sqref>H41:J41 H24:J24 H56:J56</xm:sqref>
        </x14:dataValidation>
        <x14:dataValidation type="list" errorStyle="information" allowBlank="1" showInputMessage="1" showErrorMessage="1" error="Check condition listed" promptTitle="Limiting Condition" prompt="Choose a limiting condition or enter your own" xr:uid="{00000000-0002-0000-0E00-000018000000}">
          <x14:formula1>
            <xm:f>'Drop-Down Lists'!$E$2:$E$6</xm:f>
          </x14:formula1>
          <xm:sqref>G88:T88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3">
    <tabColor indexed="13"/>
  </sheetPr>
  <dimension ref="A1:AQ47"/>
  <sheetViews>
    <sheetView showGridLines="0" tabSelected="1" view="pageBreakPreview" zoomScaleNormal="100" zoomScaleSheetLayoutView="100" workbookViewId="0">
      <selection activeCell="S7" sqref="S7"/>
    </sheetView>
  </sheetViews>
  <sheetFormatPr defaultColWidth="8.85546875" defaultRowHeight="12"/>
  <cols>
    <col min="1" max="1" width="1.140625" style="895" customWidth="1"/>
    <col min="2" max="12" width="4.85546875" style="895" customWidth="1"/>
    <col min="13" max="13" width="6.28515625" style="895" customWidth="1"/>
    <col min="14" max="14" width="4" style="895" customWidth="1"/>
    <col min="15" max="21" width="4.85546875" style="895" customWidth="1"/>
    <col min="22" max="22" width="1.140625" style="895" customWidth="1"/>
    <col min="23" max="16384" width="8.85546875" style="895"/>
  </cols>
  <sheetData>
    <row r="1" spans="1:26" s="896" customFormat="1" ht="13.5" customHeight="1">
      <c r="A1" s="898"/>
      <c r="B1" s="899" t="str">
        <f>'Drop-Down Lists'!A2</f>
        <v>v 05.01.2026</v>
      </c>
      <c r="C1" s="899"/>
      <c r="D1" s="899"/>
      <c r="E1" s="899"/>
      <c r="F1" s="899"/>
      <c r="G1" s="899"/>
      <c r="H1" s="899"/>
      <c r="I1" s="899"/>
      <c r="J1" s="899"/>
      <c r="K1" s="899"/>
      <c r="L1" s="899"/>
      <c r="M1" s="899"/>
      <c r="N1" s="899"/>
      <c r="O1" s="899"/>
      <c r="P1" s="899"/>
      <c r="Q1" s="899"/>
      <c r="R1" s="899"/>
      <c r="S1" s="899"/>
      <c r="T1" s="899"/>
      <c r="U1" s="899"/>
      <c r="V1" s="900"/>
    </row>
    <row r="2" spans="1:26" s="896" customFormat="1" ht="20.100000000000001" customHeight="1">
      <c r="A2" s="901"/>
      <c r="B2" s="2393" t="s">
        <v>2645</v>
      </c>
      <c r="C2" s="2393"/>
      <c r="D2" s="2393"/>
      <c r="E2" s="2393"/>
      <c r="F2" s="2393"/>
      <c r="G2" s="2393"/>
      <c r="H2" s="2393"/>
      <c r="I2" s="2393"/>
      <c r="J2" s="2393"/>
      <c r="K2" s="2393"/>
      <c r="L2" s="2393"/>
      <c r="M2" s="2393"/>
      <c r="N2" s="2393"/>
      <c r="O2" s="2393"/>
      <c r="P2" s="2393"/>
      <c r="Q2" s="2393"/>
      <c r="R2" s="2393"/>
      <c r="S2" s="2393"/>
      <c r="T2" s="2393"/>
      <c r="U2" s="2393"/>
      <c r="V2" s="902"/>
    </row>
    <row r="3" spans="1:26" s="896" customFormat="1" ht="20.100000000000001" customHeight="1">
      <c r="A3" s="903"/>
      <c r="B3" s="2394"/>
      <c r="C3" s="2394"/>
      <c r="D3" s="2394"/>
      <c r="E3" s="2394"/>
      <c r="F3" s="2394"/>
      <c r="G3" s="2394"/>
      <c r="H3" s="2394"/>
      <c r="I3" s="2394"/>
      <c r="J3" s="2394"/>
      <c r="K3" s="2394"/>
      <c r="L3" s="2394"/>
      <c r="M3" s="2394"/>
      <c r="N3" s="2394"/>
      <c r="O3" s="2394"/>
      <c r="P3" s="2394"/>
      <c r="Q3" s="2394"/>
      <c r="R3" s="2394"/>
      <c r="S3" s="2394"/>
      <c r="T3" s="2394"/>
      <c r="U3" s="2394"/>
      <c r="V3" s="904"/>
    </row>
    <row r="4" spans="1:26" s="896" customFormat="1" ht="20.100000000000001" customHeight="1">
      <c r="A4" s="903"/>
      <c r="B4" s="2394"/>
      <c r="C4" s="2394"/>
      <c r="D4" s="2394"/>
      <c r="E4" s="2394"/>
      <c r="F4" s="2394"/>
      <c r="G4" s="2394"/>
      <c r="H4" s="2394"/>
      <c r="I4" s="2394"/>
      <c r="J4" s="2394"/>
      <c r="K4" s="2394"/>
      <c r="L4" s="2394"/>
      <c r="M4" s="2394"/>
      <c r="N4" s="2394"/>
      <c r="O4" s="2394"/>
      <c r="P4" s="2394"/>
      <c r="Q4" s="2394"/>
      <c r="R4" s="2394"/>
      <c r="S4" s="2394"/>
      <c r="T4" s="2394"/>
      <c r="U4" s="2394"/>
      <c r="V4" s="904"/>
    </row>
    <row r="5" spans="1:26" s="896" customFormat="1" ht="20.100000000000001" customHeight="1">
      <c r="A5" s="905"/>
      <c r="B5" s="2395"/>
      <c r="C5" s="2395"/>
      <c r="D5" s="2395"/>
      <c r="E5" s="2395"/>
      <c r="F5" s="2395"/>
      <c r="G5" s="2395"/>
      <c r="H5" s="2395"/>
      <c r="I5" s="2395"/>
      <c r="J5" s="2395"/>
      <c r="K5" s="2395"/>
      <c r="L5" s="2395"/>
      <c r="M5" s="2395"/>
      <c r="N5" s="2395"/>
      <c r="O5" s="2395"/>
      <c r="P5" s="2395"/>
      <c r="Q5" s="2395"/>
      <c r="R5" s="2395"/>
      <c r="S5" s="2395"/>
      <c r="T5" s="2395"/>
      <c r="U5" s="2395"/>
      <c r="V5" s="906"/>
    </row>
    <row r="6" spans="1:26" s="896" customFormat="1" ht="13.5" customHeight="1">
      <c r="A6" s="907"/>
      <c r="B6" s="1617" t="s">
        <v>475</v>
      </c>
      <c r="C6" s="745" t="s">
        <v>476</v>
      </c>
      <c r="D6" s="745"/>
      <c r="E6" s="745"/>
      <c r="F6" s="745"/>
      <c r="G6" s="1617" t="s">
        <v>477</v>
      </c>
      <c r="H6" s="745" t="s">
        <v>478</v>
      </c>
      <c r="I6" s="745"/>
      <c r="J6" s="745"/>
      <c r="K6" s="745"/>
      <c r="L6" s="745"/>
      <c r="M6" s="745"/>
      <c r="N6" s="1617" t="s">
        <v>479</v>
      </c>
      <c r="O6" s="745" t="s">
        <v>480</v>
      </c>
      <c r="P6" s="745"/>
      <c r="Q6" s="745"/>
      <c r="R6" s="745"/>
      <c r="S6" s="745"/>
      <c r="T6" s="745"/>
      <c r="U6" s="745"/>
      <c r="V6" s="908"/>
    </row>
    <row r="7" spans="1:26" s="896" customFormat="1" ht="13.5" customHeight="1">
      <c r="A7" s="907"/>
      <c r="B7" s="1617" t="s">
        <v>481</v>
      </c>
      <c r="C7" s="745" t="s">
        <v>482</v>
      </c>
      <c r="D7" s="745"/>
      <c r="E7" s="745"/>
      <c r="F7" s="745"/>
      <c r="G7" s="1617" t="s">
        <v>483</v>
      </c>
      <c r="H7" s="745" t="s">
        <v>484</v>
      </c>
      <c r="I7" s="745"/>
      <c r="J7" s="745"/>
      <c r="K7" s="745"/>
      <c r="L7" s="745"/>
      <c r="M7" s="745"/>
      <c r="N7" s="1617" t="s">
        <v>485</v>
      </c>
      <c r="O7" s="745" t="s">
        <v>486</v>
      </c>
      <c r="P7" s="745"/>
      <c r="Q7" s="745"/>
      <c r="R7" s="745"/>
      <c r="S7" s="745"/>
      <c r="T7" s="745"/>
      <c r="U7" s="745"/>
      <c r="V7" s="908"/>
    </row>
    <row r="8" spans="1:26" s="896" customFormat="1" ht="13.5" customHeight="1">
      <c r="A8" s="907"/>
      <c r="B8" s="1617" t="s">
        <v>487</v>
      </c>
      <c r="C8" s="745" t="s">
        <v>488</v>
      </c>
      <c r="D8" s="745"/>
      <c r="E8" s="745"/>
      <c r="F8" s="745"/>
      <c r="G8" s="1617" t="s">
        <v>489</v>
      </c>
      <c r="H8" s="745" t="s">
        <v>490</v>
      </c>
      <c r="I8" s="745"/>
      <c r="J8" s="745"/>
      <c r="K8" s="745"/>
      <c r="L8" s="745"/>
      <c r="M8" s="745"/>
      <c r="N8" s="1617" t="s">
        <v>491</v>
      </c>
      <c r="O8" s="745" t="s">
        <v>492</v>
      </c>
      <c r="P8" s="745"/>
      <c r="Q8" s="745"/>
      <c r="R8" s="745"/>
      <c r="S8" s="745"/>
      <c r="T8" s="745"/>
      <c r="U8" s="745"/>
      <c r="V8" s="908"/>
    </row>
    <row r="9" spans="1:26" s="896" customFormat="1" ht="13.5" customHeight="1">
      <c r="A9" s="907"/>
      <c r="B9" s="1617" t="s">
        <v>493</v>
      </c>
      <c r="C9" s="745" t="s">
        <v>494</v>
      </c>
      <c r="D9" s="745"/>
      <c r="E9" s="745"/>
      <c r="F9" s="745"/>
      <c r="G9" s="1617" t="s">
        <v>495</v>
      </c>
      <c r="H9" s="745" t="s">
        <v>2668</v>
      </c>
      <c r="I9" s="745"/>
      <c r="J9" s="745"/>
      <c r="K9" s="745"/>
      <c r="L9" s="745"/>
      <c r="M9" s="745"/>
      <c r="N9" s="1617" t="s">
        <v>496</v>
      </c>
      <c r="O9" s="745" t="s">
        <v>497</v>
      </c>
      <c r="P9" s="745"/>
      <c r="Q9" s="745"/>
      <c r="R9" s="745"/>
      <c r="S9" s="745"/>
      <c r="T9" s="745"/>
      <c r="U9" s="745"/>
      <c r="V9" s="908"/>
    </row>
    <row r="10" spans="1:26" s="896" customFormat="1" ht="13.5" customHeight="1">
      <c r="A10" s="907"/>
      <c r="B10" s="1617" t="s">
        <v>498</v>
      </c>
      <c r="C10" s="745" t="s">
        <v>505</v>
      </c>
      <c r="D10" s="745"/>
      <c r="E10" s="745"/>
      <c r="F10" s="745"/>
      <c r="G10" s="1617" t="s">
        <v>500</v>
      </c>
      <c r="H10" s="745" t="s">
        <v>501</v>
      </c>
      <c r="I10" s="745"/>
      <c r="J10" s="745"/>
      <c r="K10" s="745"/>
      <c r="L10" s="745"/>
      <c r="M10" s="745"/>
      <c r="N10" s="1617" t="s">
        <v>502</v>
      </c>
      <c r="O10" s="745" t="s">
        <v>503</v>
      </c>
      <c r="P10" s="745"/>
      <c r="Q10" s="745"/>
      <c r="R10" s="745"/>
      <c r="S10" s="745"/>
      <c r="T10" s="745"/>
      <c r="U10" s="745"/>
      <c r="V10" s="908"/>
    </row>
    <row r="11" spans="1:26" s="896" customFormat="1" ht="13.5" customHeight="1">
      <c r="A11" s="907"/>
      <c r="B11" s="1617" t="s">
        <v>504</v>
      </c>
      <c r="C11" s="745" t="s">
        <v>499</v>
      </c>
      <c r="D11" s="745"/>
      <c r="E11" s="745"/>
      <c r="F11" s="745"/>
      <c r="G11" s="1617" t="s">
        <v>506</v>
      </c>
      <c r="H11" s="745" t="s">
        <v>507</v>
      </c>
      <c r="I11" s="745"/>
      <c r="J11" s="745"/>
      <c r="K11" s="745"/>
      <c r="L11" s="745"/>
      <c r="M11" s="745"/>
      <c r="N11" s="1617" t="s">
        <v>508</v>
      </c>
      <c r="O11" s="745" t="s">
        <v>509</v>
      </c>
      <c r="P11" s="745"/>
      <c r="Q11" s="745"/>
      <c r="R11" s="745"/>
      <c r="S11" s="745"/>
      <c r="T11" s="745"/>
      <c r="U11" s="745"/>
      <c r="V11" s="908"/>
      <c r="Z11" s="745"/>
    </row>
    <row r="12" spans="1:26" s="896" customFormat="1" ht="13.5" customHeight="1">
      <c r="A12" s="907"/>
      <c r="B12" s="1617" t="s">
        <v>510</v>
      </c>
      <c r="C12" s="745" t="s">
        <v>104</v>
      </c>
      <c r="D12" s="745"/>
      <c r="E12" s="745"/>
      <c r="F12" s="745"/>
      <c r="G12" s="1617" t="s">
        <v>511</v>
      </c>
      <c r="H12" s="745" t="s">
        <v>512</v>
      </c>
      <c r="I12" s="745"/>
      <c r="J12" s="745"/>
      <c r="K12" s="745"/>
      <c r="L12" s="745"/>
      <c r="M12" s="745"/>
      <c r="N12" s="1617" t="s">
        <v>513</v>
      </c>
      <c r="O12" s="745" t="s">
        <v>514</v>
      </c>
      <c r="P12" s="745"/>
      <c r="Q12" s="745"/>
      <c r="R12" s="745"/>
      <c r="S12" s="745"/>
      <c r="T12" s="745"/>
      <c r="U12" s="745"/>
      <c r="V12" s="908"/>
    </row>
    <row r="13" spans="1:26" s="896" customFormat="1" ht="13.5" customHeight="1">
      <c r="A13" s="907"/>
      <c r="B13" s="1617" t="s">
        <v>515</v>
      </c>
      <c r="C13" s="745" t="s">
        <v>184</v>
      </c>
      <c r="D13" s="745"/>
      <c r="E13" s="745"/>
      <c r="F13" s="745"/>
      <c r="G13" s="1617" t="s">
        <v>516</v>
      </c>
      <c r="H13" s="896" t="s">
        <v>517</v>
      </c>
      <c r="I13" s="745"/>
      <c r="J13" s="745"/>
      <c r="K13" s="745"/>
      <c r="L13" s="745"/>
      <c r="M13" s="745"/>
      <c r="N13" s="1903" t="s">
        <v>518</v>
      </c>
      <c r="O13" s="745" t="s">
        <v>177</v>
      </c>
      <c r="P13" s="745"/>
      <c r="Q13" s="745"/>
      <c r="R13" s="745"/>
      <c r="S13" s="745"/>
      <c r="T13" s="745"/>
      <c r="U13" s="745"/>
      <c r="V13" s="908"/>
    </row>
    <row r="14" spans="1:26" s="896" customFormat="1" ht="13.5" customHeight="1">
      <c r="A14" s="907"/>
      <c r="B14" s="1617" t="s">
        <v>519</v>
      </c>
      <c r="C14" s="745" t="s">
        <v>254</v>
      </c>
      <c r="D14" s="745"/>
      <c r="E14" s="745"/>
      <c r="F14" s="745"/>
      <c r="G14" s="1903" t="s">
        <v>520</v>
      </c>
      <c r="H14" s="896" t="s">
        <v>521</v>
      </c>
      <c r="N14" s="1903" t="s">
        <v>522</v>
      </c>
      <c r="O14" s="745" t="s">
        <v>523</v>
      </c>
      <c r="P14" s="745"/>
      <c r="Q14" s="745"/>
      <c r="R14" s="745"/>
      <c r="S14" s="745"/>
      <c r="T14" s="745"/>
      <c r="U14" s="745"/>
      <c r="V14" s="908"/>
    </row>
    <row r="15" spans="1:26" s="896" customFormat="1" ht="13.5" customHeight="1">
      <c r="A15" s="907"/>
      <c r="B15" s="1617" t="s">
        <v>524</v>
      </c>
      <c r="C15" s="745" t="s">
        <v>2667</v>
      </c>
      <c r="D15" s="745"/>
      <c r="E15" s="745"/>
      <c r="F15" s="745"/>
      <c r="G15" s="1617" t="s">
        <v>525</v>
      </c>
      <c r="H15" s="745" t="s">
        <v>526</v>
      </c>
      <c r="I15" s="745"/>
      <c r="J15" s="745"/>
      <c r="K15" s="745"/>
      <c r="L15" s="745"/>
      <c r="M15" s="745"/>
      <c r="N15" s="1617"/>
      <c r="O15" s="745"/>
      <c r="P15" s="745"/>
      <c r="Q15" s="745"/>
      <c r="R15" s="745"/>
      <c r="S15" s="745"/>
      <c r="T15" s="745"/>
      <c r="U15" s="745"/>
      <c r="V15" s="908"/>
    </row>
    <row r="16" spans="1:26" s="896" customFormat="1" ht="13.5" customHeight="1">
      <c r="A16" s="901"/>
      <c r="B16" s="2399" t="s">
        <v>527</v>
      </c>
      <c r="C16" s="2399"/>
      <c r="D16" s="2399"/>
      <c r="E16" s="2399"/>
      <c r="F16" s="2399"/>
      <c r="G16" s="2399"/>
      <c r="H16" s="2399"/>
      <c r="I16" s="2399"/>
      <c r="J16" s="2399"/>
      <c r="K16" s="2399"/>
      <c r="L16" s="2399"/>
      <c r="M16" s="2399"/>
      <c r="N16" s="2399"/>
      <c r="O16" s="2399"/>
      <c r="P16" s="2399"/>
      <c r="Q16" s="2399"/>
      <c r="R16" s="2399"/>
      <c r="S16" s="2399"/>
      <c r="T16" s="2399"/>
      <c r="U16" s="2399"/>
      <c r="V16" s="902"/>
    </row>
    <row r="17" spans="1:43" s="896" customFormat="1" ht="13.5" customHeight="1">
      <c r="A17" s="905"/>
      <c r="B17" s="2400"/>
      <c r="C17" s="2400"/>
      <c r="D17" s="2400"/>
      <c r="E17" s="2400"/>
      <c r="F17" s="2400"/>
      <c r="G17" s="2400"/>
      <c r="H17" s="2400"/>
      <c r="I17" s="2400"/>
      <c r="J17" s="2400"/>
      <c r="K17" s="2400"/>
      <c r="L17" s="2400"/>
      <c r="M17" s="2400"/>
      <c r="N17" s="2400"/>
      <c r="O17" s="2400"/>
      <c r="P17" s="2400"/>
      <c r="Q17" s="2400"/>
      <c r="R17" s="2400"/>
      <c r="S17" s="2400"/>
      <c r="T17" s="2400"/>
      <c r="U17" s="2400"/>
      <c r="V17" s="906"/>
    </row>
    <row r="18" spans="1:43" s="896" customFormat="1" ht="13.5" customHeight="1">
      <c r="A18" s="907"/>
      <c r="B18" s="745" t="s">
        <v>528</v>
      </c>
      <c r="C18" s="745"/>
      <c r="D18" s="745"/>
      <c r="E18" s="745"/>
      <c r="F18" s="745"/>
      <c r="G18" s="745"/>
      <c r="H18" s="745"/>
      <c r="I18" s="745"/>
      <c r="J18" s="745"/>
      <c r="K18" s="745"/>
      <c r="L18" s="745"/>
      <c r="V18" s="908"/>
    </row>
    <row r="19" spans="1:43" s="896" customFormat="1" ht="13.5" customHeight="1">
      <c r="A19" s="907"/>
      <c r="B19" s="2397" t="s">
        <v>529</v>
      </c>
      <c r="C19" s="2397"/>
      <c r="D19" s="2397"/>
      <c r="E19" s="2397"/>
      <c r="F19" s="2397"/>
      <c r="G19" s="2397"/>
      <c r="H19" s="2397"/>
      <c r="I19" s="2397"/>
      <c r="J19" s="2397"/>
      <c r="K19" s="2397"/>
      <c r="L19" s="2397"/>
      <c r="M19" s="2397"/>
      <c r="N19" s="2397"/>
      <c r="O19" s="2397"/>
      <c r="P19" s="2397"/>
      <c r="Q19" s="2397"/>
      <c r="R19" s="2397"/>
      <c r="S19" s="2397"/>
      <c r="T19" s="2397"/>
      <c r="U19" s="2397"/>
      <c r="V19" s="908"/>
    </row>
    <row r="20" spans="1:43" s="896" customFormat="1" ht="13.5" customHeight="1">
      <c r="A20" s="907"/>
      <c r="B20" s="2397"/>
      <c r="C20" s="2397"/>
      <c r="D20" s="2397"/>
      <c r="E20" s="2397"/>
      <c r="F20" s="2397"/>
      <c r="G20" s="2397"/>
      <c r="H20" s="2397"/>
      <c r="I20" s="2397"/>
      <c r="J20" s="2397"/>
      <c r="K20" s="2397"/>
      <c r="L20" s="2397"/>
      <c r="M20" s="2397"/>
      <c r="N20" s="2397"/>
      <c r="O20" s="2397"/>
      <c r="P20" s="2397"/>
      <c r="Q20" s="2397"/>
      <c r="R20" s="2397"/>
      <c r="S20" s="2397"/>
      <c r="T20" s="2397"/>
      <c r="U20" s="2397"/>
      <c r="V20" s="908"/>
    </row>
    <row r="21" spans="1:43" s="896" customFormat="1" ht="13.5" customHeight="1">
      <c r="A21" s="907"/>
      <c r="B21" s="2397" t="s">
        <v>530</v>
      </c>
      <c r="C21" s="2397"/>
      <c r="D21" s="2397"/>
      <c r="E21" s="2397"/>
      <c r="F21" s="2397"/>
      <c r="G21" s="2397"/>
      <c r="H21" s="2397"/>
      <c r="I21" s="2397"/>
      <c r="J21" s="2397"/>
      <c r="K21" s="2397"/>
      <c r="L21" s="2397"/>
      <c r="M21" s="2397"/>
      <c r="N21" s="2397"/>
      <c r="O21" s="2397"/>
      <c r="P21" s="2397"/>
      <c r="Q21" s="2397"/>
      <c r="R21" s="2397"/>
      <c r="S21" s="2397"/>
      <c r="T21" s="2397"/>
      <c r="U21" s="2397"/>
      <c r="V21" s="908"/>
    </row>
    <row r="22" spans="1:43" s="896" customFormat="1" ht="13.5" customHeight="1">
      <c r="A22" s="909"/>
      <c r="B22" s="2401" t="s">
        <v>531</v>
      </c>
      <c r="C22" s="2401"/>
      <c r="D22" s="2401"/>
      <c r="E22" s="2401"/>
      <c r="F22" s="2401"/>
      <c r="G22" s="2401"/>
      <c r="H22" s="2401"/>
      <c r="I22" s="2401"/>
      <c r="J22" s="2401"/>
      <c r="K22" s="2401"/>
      <c r="L22" s="2401"/>
      <c r="M22" s="2401"/>
      <c r="N22" s="2401"/>
      <c r="O22" s="2401"/>
      <c r="P22" s="2401"/>
      <c r="Q22" s="2401"/>
      <c r="R22" s="2401"/>
      <c r="S22" s="2401"/>
      <c r="T22" s="2401"/>
      <c r="U22" s="2401"/>
      <c r="V22" s="910"/>
    </row>
    <row r="23" spans="1:43" s="896" customFormat="1" ht="13.5" customHeight="1">
      <c r="A23" s="907"/>
      <c r="B23" s="2397" t="s">
        <v>532</v>
      </c>
      <c r="C23" s="2397"/>
      <c r="D23" s="2397"/>
      <c r="E23" s="2397"/>
      <c r="F23" s="2397"/>
      <c r="G23" s="2397"/>
      <c r="H23" s="2397"/>
      <c r="I23" s="2397"/>
      <c r="J23" s="2397"/>
      <c r="K23" s="2397"/>
      <c r="L23" s="2397"/>
      <c r="M23" s="2397"/>
      <c r="N23" s="2397"/>
      <c r="O23" s="2397"/>
      <c r="P23" s="2397"/>
      <c r="Q23" s="2397"/>
      <c r="R23" s="2397"/>
      <c r="S23" s="2397"/>
      <c r="T23" s="2397"/>
      <c r="U23" s="2397"/>
      <c r="V23" s="908"/>
    </row>
    <row r="24" spans="1:43" s="896" customFormat="1" ht="13.5" customHeight="1">
      <c r="A24" s="907"/>
      <c r="B24" s="2397" t="s">
        <v>533</v>
      </c>
      <c r="C24" s="2397"/>
      <c r="D24" s="2397"/>
      <c r="E24" s="2397"/>
      <c r="F24" s="2397"/>
      <c r="G24" s="2397"/>
      <c r="H24" s="2397"/>
      <c r="I24" s="2397"/>
      <c r="J24" s="2397"/>
      <c r="K24" s="2397"/>
      <c r="L24" s="2397"/>
      <c r="M24" s="2397"/>
      <c r="N24" s="2397"/>
      <c r="O24" s="2397"/>
      <c r="P24" s="2397"/>
      <c r="Q24" s="2397"/>
      <c r="R24" s="2397"/>
      <c r="S24" s="2397"/>
      <c r="T24" s="2397"/>
      <c r="U24" s="2397"/>
      <c r="V24" s="908"/>
    </row>
    <row r="25" spans="1:43" s="896" customFormat="1" ht="13.5" customHeight="1">
      <c r="A25" s="907"/>
      <c r="B25" s="2397"/>
      <c r="C25" s="2397"/>
      <c r="D25" s="2397"/>
      <c r="E25" s="2397"/>
      <c r="F25" s="2397"/>
      <c r="G25" s="2397"/>
      <c r="H25" s="2397"/>
      <c r="I25" s="2397"/>
      <c r="J25" s="2397"/>
      <c r="K25" s="2397"/>
      <c r="L25" s="2397"/>
      <c r="M25" s="2397"/>
      <c r="N25" s="2397"/>
      <c r="O25" s="2397"/>
      <c r="P25" s="2397"/>
      <c r="Q25" s="2397"/>
      <c r="R25" s="2397"/>
      <c r="S25" s="2397"/>
      <c r="T25" s="2397"/>
      <c r="U25" s="2397"/>
      <c r="V25" s="908"/>
    </row>
    <row r="26" spans="1:43" s="896" customFormat="1" ht="13.5" customHeight="1">
      <c r="A26" s="907"/>
      <c r="B26" s="2397"/>
      <c r="C26" s="2397"/>
      <c r="D26" s="2397"/>
      <c r="E26" s="2397"/>
      <c r="F26" s="2397"/>
      <c r="G26" s="2397"/>
      <c r="H26" s="2397"/>
      <c r="I26" s="2397"/>
      <c r="J26" s="2397"/>
      <c r="K26" s="2397"/>
      <c r="L26" s="2397"/>
      <c r="M26" s="2397"/>
      <c r="N26" s="2397"/>
      <c r="O26" s="2397"/>
      <c r="P26" s="2397"/>
      <c r="Q26" s="2397"/>
      <c r="R26" s="2397"/>
      <c r="S26" s="2397"/>
      <c r="T26" s="2397"/>
      <c r="U26" s="2397"/>
      <c r="V26" s="908"/>
    </row>
    <row r="27" spans="1:43" s="896" customFormat="1" ht="13.5" customHeight="1">
      <c r="A27" s="907"/>
      <c r="B27" s="2397" t="s">
        <v>534</v>
      </c>
      <c r="C27" s="2397"/>
      <c r="D27" s="2397"/>
      <c r="E27" s="2397"/>
      <c r="F27" s="2397"/>
      <c r="G27" s="2397"/>
      <c r="H27" s="2397"/>
      <c r="I27" s="2397"/>
      <c r="J27" s="2397"/>
      <c r="K27" s="2397"/>
      <c r="L27" s="2397"/>
      <c r="M27" s="2397"/>
      <c r="N27" s="2397"/>
      <c r="O27" s="2397"/>
      <c r="P27" s="2397"/>
      <c r="Q27" s="2397"/>
      <c r="R27" s="2397"/>
      <c r="S27" s="2397"/>
      <c r="T27" s="2397"/>
      <c r="U27" s="2397"/>
      <c r="V27" s="908"/>
    </row>
    <row r="28" spans="1:43" s="896" customFormat="1" ht="13.5" customHeight="1">
      <c r="A28" s="909"/>
      <c r="B28" s="2401" t="s">
        <v>535</v>
      </c>
      <c r="C28" s="2401"/>
      <c r="D28" s="2401"/>
      <c r="E28" s="2401"/>
      <c r="F28" s="2401"/>
      <c r="G28" s="2401"/>
      <c r="H28" s="2401"/>
      <c r="I28" s="2401"/>
      <c r="J28" s="2401"/>
      <c r="K28" s="2401"/>
      <c r="L28" s="2401"/>
      <c r="M28" s="2401"/>
      <c r="N28" s="2401"/>
      <c r="O28" s="2401"/>
      <c r="P28" s="2401"/>
      <c r="Q28" s="2401"/>
      <c r="R28" s="2401"/>
      <c r="S28" s="2401"/>
      <c r="T28" s="2401"/>
      <c r="U28" s="2401"/>
      <c r="V28" s="910"/>
      <c r="X28" s="2072"/>
    </row>
    <row r="29" spans="1:43" s="896" customFormat="1" ht="118.5" customHeight="1">
      <c r="A29" s="907"/>
      <c r="B29" s="2396" t="s">
        <v>2646</v>
      </c>
      <c r="C29" s="2396"/>
      <c r="D29" s="2396"/>
      <c r="E29" s="2396"/>
      <c r="F29" s="2396"/>
      <c r="G29" s="2396"/>
      <c r="H29" s="2396"/>
      <c r="I29" s="2396"/>
      <c r="J29" s="2396"/>
      <c r="K29" s="2396"/>
      <c r="L29" s="2396"/>
      <c r="M29" s="2396"/>
      <c r="N29" s="2396"/>
      <c r="O29" s="2396"/>
      <c r="P29" s="2396"/>
      <c r="Q29" s="2396"/>
      <c r="R29" s="2396"/>
      <c r="S29" s="2396"/>
      <c r="T29" s="2396"/>
      <c r="U29" s="2396"/>
      <c r="V29" s="908"/>
      <c r="X29" s="2397"/>
      <c r="Y29" s="2397"/>
      <c r="Z29" s="2397"/>
      <c r="AA29" s="2397"/>
      <c r="AB29" s="2397"/>
      <c r="AC29" s="2397"/>
      <c r="AD29" s="2397"/>
      <c r="AE29" s="2397"/>
      <c r="AF29" s="2397"/>
      <c r="AG29" s="2397"/>
      <c r="AH29" s="2397"/>
      <c r="AI29" s="2397"/>
      <c r="AJ29" s="2397"/>
      <c r="AK29" s="2397"/>
      <c r="AL29" s="2397"/>
      <c r="AM29" s="2397"/>
      <c r="AN29" s="2397"/>
      <c r="AO29" s="2397"/>
      <c r="AP29" s="2397"/>
      <c r="AQ29" s="2397"/>
    </row>
    <row r="30" spans="1:43" s="896" customFormat="1" ht="13.5" customHeight="1">
      <c r="A30" s="909"/>
      <c r="B30" s="2401" t="s">
        <v>536</v>
      </c>
      <c r="C30" s="2401"/>
      <c r="D30" s="2401"/>
      <c r="E30" s="2401"/>
      <c r="F30" s="2401"/>
      <c r="G30" s="2401"/>
      <c r="H30" s="2401"/>
      <c r="I30" s="2401"/>
      <c r="J30" s="2401"/>
      <c r="K30" s="2401"/>
      <c r="L30" s="2401"/>
      <c r="M30" s="2401"/>
      <c r="N30" s="2401"/>
      <c r="O30" s="2401"/>
      <c r="P30" s="2401"/>
      <c r="Q30" s="2401"/>
      <c r="R30" s="2401"/>
      <c r="S30" s="2401"/>
      <c r="T30" s="2401"/>
      <c r="U30" s="2401"/>
      <c r="V30" s="910"/>
    </row>
    <row r="31" spans="1:43" s="896" customFormat="1" ht="60.75" customHeight="1">
      <c r="A31" s="907"/>
      <c r="B31" s="2396" t="s">
        <v>537</v>
      </c>
      <c r="C31" s="2396"/>
      <c r="D31" s="2396"/>
      <c r="E31" s="2396"/>
      <c r="F31" s="2396"/>
      <c r="G31" s="2396"/>
      <c r="H31" s="2396"/>
      <c r="I31" s="2396"/>
      <c r="J31" s="2396"/>
      <c r="K31" s="2396"/>
      <c r="L31" s="2396"/>
      <c r="M31" s="2396"/>
      <c r="N31" s="2396"/>
      <c r="O31" s="2396"/>
      <c r="P31" s="2396"/>
      <c r="Q31" s="2396"/>
      <c r="R31" s="2396"/>
      <c r="S31" s="2396"/>
      <c r="T31" s="2396"/>
      <c r="U31" s="2396"/>
      <c r="V31" s="908"/>
      <c r="X31" s="2397"/>
      <c r="Y31" s="2397"/>
      <c r="Z31" s="2397"/>
      <c r="AA31" s="2397"/>
      <c r="AB31" s="2397"/>
      <c r="AC31" s="2397"/>
      <c r="AD31" s="2397"/>
      <c r="AE31" s="2397"/>
      <c r="AF31" s="2397"/>
      <c r="AG31" s="2397"/>
      <c r="AH31" s="2397"/>
      <c r="AI31" s="2397"/>
      <c r="AJ31" s="2397"/>
      <c r="AK31" s="2397"/>
      <c r="AL31" s="2397"/>
      <c r="AM31" s="2397"/>
      <c r="AN31" s="2397"/>
      <c r="AO31" s="2397"/>
      <c r="AP31" s="2397"/>
      <c r="AQ31" s="2397"/>
    </row>
    <row r="32" spans="1:43" s="896" customFormat="1" ht="13.5" customHeight="1">
      <c r="A32" s="909"/>
      <c r="B32" s="2401" t="s">
        <v>538</v>
      </c>
      <c r="C32" s="2401"/>
      <c r="D32" s="2401"/>
      <c r="E32" s="2401"/>
      <c r="F32" s="2401"/>
      <c r="G32" s="2401"/>
      <c r="H32" s="2401"/>
      <c r="I32" s="2401"/>
      <c r="J32" s="2401"/>
      <c r="K32" s="2401"/>
      <c r="L32" s="2401"/>
      <c r="M32" s="2401"/>
      <c r="N32" s="2401"/>
      <c r="O32" s="2401"/>
      <c r="P32" s="2401"/>
      <c r="Q32" s="2401"/>
      <c r="R32" s="2401"/>
      <c r="S32" s="2401"/>
      <c r="T32" s="2401"/>
      <c r="U32" s="2401"/>
      <c r="V32" s="910"/>
    </row>
    <row r="33" spans="1:42" s="896" customFormat="1" ht="69" customHeight="1">
      <c r="A33" s="2392"/>
      <c r="B33" s="2402" t="s">
        <v>2647</v>
      </c>
      <c r="C33" s="2402"/>
      <c r="D33" s="2402"/>
      <c r="E33" s="2402"/>
      <c r="F33" s="2402"/>
      <c r="G33" s="2402"/>
      <c r="H33" s="2402"/>
      <c r="I33" s="2402"/>
      <c r="J33" s="2402"/>
      <c r="K33" s="2402"/>
      <c r="L33" s="2402"/>
      <c r="M33" s="2402"/>
      <c r="N33" s="2402"/>
      <c r="O33" s="2402"/>
      <c r="P33" s="2402"/>
      <c r="Q33" s="2402"/>
      <c r="R33" s="2402"/>
      <c r="S33" s="2402"/>
      <c r="T33" s="2402"/>
      <c r="U33" s="2402"/>
      <c r="V33" s="908"/>
      <c r="W33" s="666"/>
      <c r="X33" s="666"/>
      <c r="Y33" s="666"/>
      <c r="Z33" s="666"/>
      <c r="AA33" s="666"/>
      <c r="AB33" s="666"/>
      <c r="AC33" s="666"/>
      <c r="AD33" s="666"/>
      <c r="AE33" s="666"/>
      <c r="AF33" s="666"/>
      <c r="AG33" s="666"/>
      <c r="AH33" s="666"/>
      <c r="AI33" s="666"/>
      <c r="AJ33" s="666"/>
      <c r="AK33" s="666"/>
      <c r="AL33" s="666"/>
      <c r="AM33" s="666"/>
      <c r="AN33" s="666"/>
      <c r="AO33" s="666"/>
      <c r="AP33" s="666"/>
    </row>
    <row r="34" spans="1:42" s="896" customFormat="1" ht="13.5" customHeight="1">
      <c r="A34" s="905"/>
      <c r="B34" s="2401" t="s">
        <v>539</v>
      </c>
      <c r="C34" s="2401"/>
      <c r="D34" s="2401"/>
      <c r="E34" s="2401"/>
      <c r="F34" s="2401"/>
      <c r="G34" s="2401"/>
      <c r="H34" s="2401"/>
      <c r="I34" s="2401"/>
      <c r="J34" s="2401"/>
      <c r="K34" s="2401"/>
      <c r="L34" s="2401"/>
      <c r="M34" s="2401"/>
      <c r="N34" s="2401"/>
      <c r="O34" s="2401"/>
      <c r="P34" s="2401"/>
      <c r="Q34" s="2401"/>
      <c r="R34" s="2401"/>
      <c r="S34" s="2401"/>
      <c r="T34" s="2401"/>
      <c r="U34" s="2401"/>
      <c r="V34" s="910"/>
    </row>
    <row r="35" spans="1:42" s="896" customFormat="1" ht="93" customHeight="1">
      <c r="A35" s="907"/>
      <c r="B35" s="2402" t="s">
        <v>540</v>
      </c>
      <c r="C35" s="2402"/>
      <c r="D35" s="2402"/>
      <c r="E35" s="2402"/>
      <c r="F35" s="2402"/>
      <c r="G35" s="2402"/>
      <c r="H35" s="2402"/>
      <c r="I35" s="2402"/>
      <c r="J35" s="2402"/>
      <c r="K35" s="2402"/>
      <c r="L35" s="2402"/>
      <c r="M35" s="2402"/>
      <c r="N35" s="2402"/>
      <c r="O35" s="2402"/>
      <c r="P35" s="2402"/>
      <c r="Q35" s="2402"/>
      <c r="R35" s="2402"/>
      <c r="S35" s="2402"/>
      <c r="T35" s="2402"/>
      <c r="U35" s="2402"/>
      <c r="V35" s="908"/>
      <c r="W35" s="897"/>
      <c r="X35" s="897"/>
      <c r="Y35" s="897"/>
      <c r="Z35" s="897"/>
      <c r="AA35" s="897"/>
      <c r="AB35" s="897"/>
      <c r="AC35" s="897"/>
      <c r="AD35" s="897"/>
      <c r="AE35" s="897"/>
      <c r="AF35" s="897"/>
      <c r="AG35" s="897"/>
      <c r="AH35" s="897"/>
      <c r="AI35" s="897"/>
      <c r="AJ35" s="897"/>
      <c r="AK35" s="897"/>
      <c r="AL35" s="897"/>
      <c r="AM35" s="897"/>
      <c r="AN35" s="897"/>
      <c r="AO35" s="897"/>
      <c r="AP35" s="897"/>
    </row>
    <row r="36" spans="1:42" s="896" customFormat="1" ht="13.5" customHeight="1">
      <c r="A36" s="909"/>
      <c r="B36" s="2404" t="s">
        <v>541</v>
      </c>
      <c r="C36" s="2404"/>
      <c r="D36" s="2404"/>
      <c r="E36" s="2404"/>
      <c r="F36" s="2404"/>
      <c r="G36" s="2404"/>
      <c r="H36" s="2404"/>
      <c r="I36" s="2404"/>
      <c r="J36" s="2404"/>
      <c r="K36" s="2404"/>
      <c r="L36" s="2404"/>
      <c r="M36" s="2404"/>
      <c r="N36" s="2404"/>
      <c r="O36" s="2404"/>
      <c r="P36" s="2404"/>
      <c r="Q36" s="2404"/>
      <c r="R36" s="2404"/>
      <c r="S36" s="2404"/>
      <c r="T36" s="2404"/>
      <c r="U36" s="2404"/>
      <c r="V36" s="910"/>
    </row>
    <row r="37" spans="1:42" s="896" customFormat="1" ht="81" customHeight="1" thickBot="1">
      <c r="A37" s="1618"/>
      <c r="B37" s="2405" t="s">
        <v>2648</v>
      </c>
      <c r="C37" s="2405"/>
      <c r="D37" s="2405"/>
      <c r="E37" s="2405"/>
      <c r="F37" s="2405"/>
      <c r="G37" s="2405"/>
      <c r="H37" s="2405"/>
      <c r="I37" s="2405"/>
      <c r="J37" s="2405"/>
      <c r="K37" s="2405"/>
      <c r="L37" s="2405"/>
      <c r="M37" s="2405"/>
      <c r="N37" s="2405"/>
      <c r="O37" s="2405"/>
      <c r="P37" s="2405"/>
      <c r="Q37" s="2405"/>
      <c r="R37" s="2405"/>
      <c r="S37" s="2405"/>
      <c r="T37" s="2405"/>
      <c r="U37" s="2405"/>
      <c r="V37" s="1619"/>
      <c r="W37" s="897"/>
      <c r="X37" s="897"/>
      <c r="Y37" s="897"/>
      <c r="Z37" s="897"/>
      <c r="AA37" s="897"/>
      <c r="AB37" s="897"/>
      <c r="AC37" s="897"/>
      <c r="AD37" s="897"/>
      <c r="AE37" s="897"/>
      <c r="AF37" s="897"/>
      <c r="AG37" s="897"/>
      <c r="AH37" s="897"/>
      <c r="AI37" s="897"/>
      <c r="AJ37" s="897"/>
      <c r="AK37" s="897"/>
      <c r="AL37" s="897"/>
      <c r="AM37" s="897"/>
      <c r="AN37" s="897"/>
      <c r="AO37" s="897"/>
      <c r="AP37" s="897"/>
    </row>
    <row r="38" spans="1:42" s="896" customFormat="1" ht="13.5" customHeight="1">
      <c r="A38" s="905"/>
      <c r="B38" s="2395" t="s">
        <v>542</v>
      </c>
      <c r="C38" s="2395"/>
      <c r="D38" s="2395"/>
      <c r="E38" s="2395"/>
      <c r="F38" s="2395"/>
      <c r="G38" s="2395"/>
      <c r="H38" s="2395"/>
      <c r="I38" s="2395"/>
      <c r="J38" s="2395"/>
      <c r="K38" s="2395"/>
      <c r="L38" s="2395"/>
      <c r="M38" s="2395"/>
      <c r="N38" s="2395"/>
      <c r="O38" s="2395"/>
      <c r="P38" s="2395"/>
      <c r="Q38" s="2395"/>
      <c r="R38" s="2395"/>
      <c r="S38" s="2395"/>
      <c r="T38" s="2395"/>
      <c r="U38" s="2395"/>
      <c r="V38" s="906"/>
    </row>
    <row r="39" spans="1:42" s="896" customFormat="1" ht="13.5" customHeight="1">
      <c r="A39" s="907"/>
      <c r="B39" s="2396" t="s">
        <v>543</v>
      </c>
      <c r="C39" s="2396"/>
      <c r="D39" s="2396"/>
      <c r="E39" s="2396"/>
      <c r="F39" s="2396"/>
      <c r="G39" s="2396"/>
      <c r="H39" s="2396"/>
      <c r="I39" s="2396"/>
      <c r="J39" s="2396"/>
      <c r="K39" s="2396"/>
      <c r="L39" s="2396"/>
      <c r="M39" s="2396"/>
      <c r="N39" s="2396"/>
      <c r="O39" s="2396"/>
      <c r="P39" s="2396"/>
      <c r="Q39" s="2396"/>
      <c r="R39" s="2396"/>
      <c r="S39" s="2396"/>
      <c r="T39" s="2396"/>
      <c r="U39" s="2396"/>
      <c r="V39" s="908"/>
    </row>
    <row r="40" spans="1:42" s="896" customFormat="1" ht="13.5" customHeight="1">
      <c r="A40" s="907"/>
      <c r="B40" s="2397"/>
      <c r="C40" s="2397"/>
      <c r="D40" s="2397"/>
      <c r="E40" s="2397"/>
      <c r="F40" s="2397"/>
      <c r="G40" s="2397"/>
      <c r="H40" s="2397"/>
      <c r="I40" s="2397"/>
      <c r="J40" s="2397"/>
      <c r="K40" s="2397"/>
      <c r="L40" s="2397"/>
      <c r="M40" s="2397"/>
      <c r="N40" s="2397"/>
      <c r="O40" s="2397"/>
      <c r="P40" s="2397"/>
      <c r="Q40" s="2397"/>
      <c r="R40" s="2397"/>
      <c r="S40" s="2397"/>
      <c r="T40" s="2397"/>
      <c r="U40" s="2397"/>
      <c r="V40" s="908"/>
    </row>
    <row r="41" spans="1:42" s="896" customFormat="1" ht="59.25" customHeight="1">
      <c r="A41" s="907"/>
      <c r="B41" s="2398"/>
      <c r="C41" s="2398"/>
      <c r="D41" s="2398"/>
      <c r="E41" s="2398"/>
      <c r="F41" s="2398"/>
      <c r="G41" s="2398"/>
      <c r="H41" s="2398"/>
      <c r="I41" s="2398"/>
      <c r="J41" s="2398"/>
      <c r="K41" s="2398"/>
      <c r="L41" s="2398"/>
      <c r="M41" s="2398"/>
      <c r="N41" s="2398"/>
      <c r="O41" s="2398"/>
      <c r="P41" s="2398"/>
      <c r="Q41" s="2398"/>
      <c r="R41" s="2398"/>
      <c r="S41" s="2398"/>
      <c r="T41" s="2398"/>
      <c r="U41" s="2398"/>
      <c r="V41" s="908"/>
    </row>
    <row r="42" spans="1:42" s="896" customFormat="1" ht="13.5" customHeight="1">
      <c r="A42" s="909"/>
      <c r="B42" s="2401" t="s">
        <v>544</v>
      </c>
      <c r="C42" s="2401"/>
      <c r="D42" s="2401"/>
      <c r="E42" s="2401"/>
      <c r="F42" s="2401"/>
      <c r="G42" s="2401"/>
      <c r="H42" s="2401"/>
      <c r="I42" s="2401"/>
      <c r="J42" s="2401"/>
      <c r="K42" s="2401"/>
      <c r="L42" s="2401"/>
      <c r="M42" s="2401"/>
      <c r="N42" s="2401"/>
      <c r="O42" s="2401"/>
      <c r="P42" s="2401"/>
      <c r="Q42" s="2401"/>
      <c r="R42" s="2401"/>
      <c r="S42" s="2401"/>
      <c r="T42" s="2401"/>
      <c r="U42" s="2401"/>
      <c r="V42" s="910"/>
    </row>
    <row r="43" spans="1:42" s="896" customFormat="1" ht="252.75" customHeight="1">
      <c r="A43" s="907"/>
      <c r="B43" s="2402" t="s">
        <v>545</v>
      </c>
      <c r="C43" s="2402"/>
      <c r="D43" s="2402"/>
      <c r="E43" s="2402"/>
      <c r="F43" s="2402"/>
      <c r="G43" s="2402"/>
      <c r="H43" s="2402"/>
      <c r="I43" s="2402"/>
      <c r="J43" s="2402"/>
      <c r="K43" s="2402"/>
      <c r="L43" s="2402"/>
      <c r="M43" s="2402"/>
      <c r="N43" s="2402"/>
      <c r="O43" s="2402"/>
      <c r="P43" s="2402"/>
      <c r="Q43" s="2402"/>
      <c r="R43" s="2402"/>
      <c r="S43" s="2402"/>
      <c r="T43" s="2402"/>
      <c r="U43" s="2402"/>
      <c r="V43" s="908"/>
    </row>
    <row r="44" spans="1:42" s="896" customFormat="1" ht="13.5" customHeight="1">
      <c r="A44" s="909"/>
      <c r="B44" s="2401" t="s">
        <v>546</v>
      </c>
      <c r="C44" s="2401"/>
      <c r="D44" s="2401"/>
      <c r="E44" s="2401"/>
      <c r="F44" s="2401"/>
      <c r="G44" s="2401"/>
      <c r="H44" s="2401"/>
      <c r="I44" s="2401"/>
      <c r="J44" s="2401"/>
      <c r="K44" s="2401"/>
      <c r="L44" s="2401"/>
      <c r="M44" s="2401"/>
      <c r="N44" s="2401"/>
      <c r="O44" s="2401"/>
      <c r="P44" s="2401"/>
      <c r="Q44" s="2401"/>
      <c r="R44" s="2401"/>
      <c r="S44" s="2401"/>
      <c r="T44" s="2401"/>
      <c r="U44" s="2401"/>
      <c r="V44" s="910"/>
    </row>
    <row r="45" spans="1:42" s="896" customFormat="1" ht="81" customHeight="1" thickBot="1">
      <c r="A45" s="912"/>
      <c r="B45" s="2403" t="s">
        <v>2649</v>
      </c>
      <c r="C45" s="2403"/>
      <c r="D45" s="2403"/>
      <c r="E45" s="2403"/>
      <c r="F45" s="2403"/>
      <c r="G45" s="2403"/>
      <c r="H45" s="2403"/>
      <c r="I45" s="2403"/>
      <c r="J45" s="2403"/>
      <c r="K45" s="2403"/>
      <c r="L45" s="2403"/>
      <c r="M45" s="2403"/>
      <c r="N45" s="2403"/>
      <c r="O45" s="2403"/>
      <c r="P45" s="2403"/>
      <c r="Q45" s="2403"/>
      <c r="R45" s="2403"/>
      <c r="S45" s="2403"/>
      <c r="T45" s="2403"/>
      <c r="U45" s="2403"/>
      <c r="V45" s="911"/>
    </row>
    <row r="46" spans="1:42" s="896" customFormat="1" ht="13.5" customHeight="1"/>
    <row r="47" spans="1:42" s="896" customFormat="1" ht="13.5" customHeight="1"/>
  </sheetData>
  <sheetProtection sheet="1" objects="1" scenarios="1"/>
  <customSheetViews>
    <customSheetView guid="{D1431318-1DB8-4C45-813B-5A8065DFC797}">
      <selection activeCell="M9" sqref="M9"/>
      <pageMargins left="0" right="0" top="0" bottom="0" header="0" footer="0"/>
      <printOptions horizontalCentered="1"/>
      <pageSetup scale="78" orientation="portrait" blackAndWhite="1" r:id="rId1"/>
      <headerFooter scaleWithDoc="0" alignWithMargins="0"/>
    </customSheetView>
  </customSheetViews>
  <mergeCells count="26">
    <mergeCell ref="B45:U45"/>
    <mergeCell ref="X29:AQ29"/>
    <mergeCell ref="B21:U21"/>
    <mergeCell ref="B22:U22"/>
    <mergeCell ref="B23:U23"/>
    <mergeCell ref="B38:U38"/>
    <mergeCell ref="X31:AQ31"/>
    <mergeCell ref="B30:U30"/>
    <mergeCell ref="B29:U29"/>
    <mergeCell ref="B31:U31"/>
    <mergeCell ref="B36:U36"/>
    <mergeCell ref="B37:U37"/>
    <mergeCell ref="B42:U42"/>
    <mergeCell ref="B44:U44"/>
    <mergeCell ref="B43:U43"/>
    <mergeCell ref="B2:U5"/>
    <mergeCell ref="B39:U41"/>
    <mergeCell ref="B24:U26"/>
    <mergeCell ref="B19:U20"/>
    <mergeCell ref="B16:U17"/>
    <mergeCell ref="B32:U32"/>
    <mergeCell ref="B27:U27"/>
    <mergeCell ref="B28:U28"/>
    <mergeCell ref="B34:U34"/>
    <mergeCell ref="B35:U35"/>
    <mergeCell ref="B33:U33"/>
  </mergeCells>
  <printOptions horizontalCentered="1"/>
  <pageMargins left="0.4" right="0.4" top="1" bottom="0.4" header="0.4" footer="0.25"/>
  <pageSetup scale="99" fitToWidth="0" fitToHeight="0" orientation="portrait" blackAndWhite="1" r:id="rId2"/>
  <headerFooter differentFirst="1" scaleWithDoc="0">
    <firstHeader>&amp;L&amp;G&amp;C&amp;"Trebuchet MS,Regular"&amp;16Instructions for
2019 SSTS Design Forms&amp;R&amp;G</firstHeader>
  </headerFooter>
  <rowBreaks count="1" manualBreakCount="1">
    <brk id="33" max="21" man="1"/>
  </rowBreaks>
  <ignoredErrors>
    <ignoredError sqref="B6:B15" numberStoredAsText="1"/>
  </ignoredError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tabColor theme="9" tint="0.39997558519241921"/>
  </sheetPr>
  <dimension ref="A1:BM114"/>
  <sheetViews>
    <sheetView showGridLines="0" showZeros="0" view="pageBreakPreview" zoomScaleNormal="100" zoomScaleSheetLayoutView="100" workbookViewId="0">
      <selection activeCell="P6" sqref="P6:Q6"/>
    </sheetView>
  </sheetViews>
  <sheetFormatPr defaultColWidth="4.42578125" defaultRowHeight="14.1" customHeight="1"/>
  <cols>
    <col min="1" max="1" width="2.42578125" style="672" customWidth="1"/>
    <col min="2" max="2" width="2.42578125" style="529" customWidth="1"/>
    <col min="3" max="3" width="6.42578125" style="528" customWidth="1"/>
    <col min="4" max="9" width="5.42578125" style="528" customWidth="1"/>
    <col min="10" max="10" width="5.7109375" style="528" customWidth="1"/>
    <col min="11" max="16" width="5.42578125" style="528" customWidth="1"/>
    <col min="17" max="17" width="6.85546875" style="528" customWidth="1"/>
    <col min="18" max="18" width="5.42578125" style="528" customWidth="1"/>
    <col min="19" max="19" width="6.42578125" style="528" customWidth="1"/>
    <col min="20" max="36" width="5.42578125" style="528" customWidth="1"/>
    <col min="37" max="37" width="22.42578125" style="528" customWidth="1"/>
    <col min="38" max="38" width="10.42578125" style="528" customWidth="1"/>
    <col min="39" max="39" width="4.42578125" style="528"/>
    <col min="40" max="41" width="5.42578125" style="528" customWidth="1"/>
    <col min="42" max="42" width="4.42578125" style="528" bestFit="1" customWidth="1"/>
    <col min="43" max="45" width="4.42578125" style="528"/>
    <col min="46" max="46" width="4.42578125" style="528" bestFit="1" customWidth="1"/>
    <col min="47" max="16384" width="4.42578125" style="528"/>
  </cols>
  <sheetData>
    <row r="1" spans="1:39" s="658" customFormat="1" ht="54.95" customHeight="1" thickBot="1">
      <c r="B1" s="547"/>
      <c r="C1" s="547"/>
      <c r="D1" s="547"/>
      <c r="F1" s="3032" t="s">
        <v>1162</v>
      </c>
      <c r="G1" s="3032"/>
      <c r="H1" s="3032"/>
      <c r="I1" s="3032"/>
      <c r="J1" s="3032"/>
      <c r="K1" s="3032"/>
      <c r="L1" s="3032"/>
      <c r="M1" s="3032"/>
      <c r="N1" s="547"/>
      <c r="O1" s="547"/>
      <c r="P1" s="547"/>
      <c r="Q1" s="659"/>
      <c r="R1" s="659"/>
      <c r="S1" s="659"/>
      <c r="T1" s="659"/>
      <c r="U1" s="660"/>
    </row>
    <row r="2" spans="1:39" ht="16.350000000000001" customHeight="1" thickBot="1">
      <c r="A2" s="543" t="s">
        <v>475</v>
      </c>
      <c r="B2" s="542"/>
      <c r="C2" s="541" t="s">
        <v>1163</v>
      </c>
      <c r="D2" s="540"/>
      <c r="E2" s="540"/>
      <c r="F2" s="540"/>
      <c r="G2" s="540"/>
      <c r="H2" s="3035" t="s">
        <v>1164</v>
      </c>
      <c r="I2" s="3035"/>
      <c r="J2" s="3038" t="str">
        <f>IF(ISBLANK('Design Details &amp; Summary'!S3)," ",'Design Details &amp; Summary'!S3)</f>
        <v xml:space="preserve"> </v>
      </c>
      <c r="K2" s="3038"/>
      <c r="L2" s="540"/>
      <c r="M2" s="540"/>
      <c r="N2" s="540"/>
      <c r="O2" s="540"/>
      <c r="P2" s="540"/>
      <c r="Q2" s="3035" t="str">
        <f>'Drop-Down Lists'!A2</f>
        <v>v 05.01.2026</v>
      </c>
      <c r="R2" s="3035"/>
      <c r="S2" s="3039"/>
    </row>
    <row r="3" spans="1:39" ht="6" customHeight="1">
      <c r="A3" s="661"/>
      <c r="B3" s="662"/>
      <c r="C3" s="663"/>
      <c r="D3" s="663"/>
      <c r="E3" s="663"/>
      <c r="F3" s="663"/>
      <c r="G3" s="663"/>
      <c r="H3" s="663"/>
      <c r="I3" s="663"/>
      <c r="J3" s="663"/>
      <c r="K3" s="663"/>
      <c r="L3" s="663"/>
      <c r="M3" s="663"/>
      <c r="N3" s="663"/>
      <c r="O3" s="663"/>
      <c r="P3" s="663"/>
      <c r="Q3" s="663"/>
      <c r="R3" s="663"/>
      <c r="S3" s="664"/>
    </row>
    <row r="4" spans="1:39" ht="18" customHeight="1">
      <c r="A4" s="532"/>
      <c r="B4" s="529" t="s">
        <v>1011</v>
      </c>
      <c r="C4" s="528" t="s">
        <v>1165</v>
      </c>
      <c r="H4" s="2999" t="str">
        <f>IF('Design Details &amp; Summary'!AA77=0,"",IF('Design Details &amp; Summary'!AA77=1,'Design Details &amp; Summary'!I11,""))</f>
        <v/>
      </c>
      <c r="I4" s="3036"/>
      <c r="J4" s="528" t="s">
        <v>583</v>
      </c>
      <c r="S4" s="531"/>
      <c r="U4" s="672"/>
    </row>
    <row r="5" spans="1:39" ht="5.0999999999999996" customHeight="1">
      <c r="A5" s="532"/>
      <c r="S5" s="531"/>
    </row>
    <row r="6" spans="1:39" ht="18" customHeight="1">
      <c r="A6" s="532"/>
      <c r="B6" s="1555" t="s">
        <v>1019</v>
      </c>
      <c r="C6" s="528" t="s">
        <v>1166</v>
      </c>
      <c r="H6" s="3042" t="str">
        <f>IF('Design Details &amp; Summary'!AA77=1,'Design Details &amp; Summary'!G94-'Design Details &amp; Summary'!G96,"")</f>
        <v/>
      </c>
      <c r="I6" s="3036"/>
      <c r="J6" s="528" t="s">
        <v>762</v>
      </c>
      <c r="K6" s="3029" t="s">
        <v>1167</v>
      </c>
      <c r="L6" s="3029"/>
      <c r="M6" s="3029"/>
      <c r="N6" s="3029"/>
      <c r="O6" s="3029"/>
      <c r="P6" s="3040"/>
      <c r="Q6" s="3041"/>
      <c r="R6" s="528" t="s">
        <v>762</v>
      </c>
      <c r="S6" s="665"/>
      <c r="U6" s="527"/>
    </row>
    <row r="7" spans="1:39" ht="5.0999999999999996" customHeight="1">
      <c r="A7" s="532"/>
      <c r="L7" s="666"/>
      <c r="M7" s="666"/>
      <c r="N7" s="666"/>
      <c r="O7" s="666"/>
      <c r="P7" s="666"/>
      <c r="Q7" s="666"/>
      <c r="R7" s="666"/>
      <c r="S7" s="665"/>
      <c r="U7" s="527"/>
    </row>
    <row r="8" spans="1:39" ht="18" customHeight="1">
      <c r="A8" s="532"/>
      <c r="B8" s="529" t="s">
        <v>1168</v>
      </c>
      <c r="C8" s="528" t="s">
        <v>1169</v>
      </c>
      <c r="H8" s="3099" t="str">
        <f>IF('Design Details &amp; Summary'!AA77=0,"",IF('Design Details &amp; Summary'!AA77=1,'Design Details &amp; Summary'!G104,""))</f>
        <v/>
      </c>
      <c r="I8" s="3036"/>
      <c r="J8" s="528" t="s">
        <v>1170</v>
      </c>
      <c r="L8" s="528" t="s">
        <v>1171</v>
      </c>
      <c r="P8" s="3045">
        <v>12</v>
      </c>
      <c r="Q8" s="3046"/>
      <c r="R8" s="528" t="s">
        <v>1115</v>
      </c>
      <c r="S8" s="665"/>
      <c r="U8" s="1816"/>
    </row>
    <row r="9" spans="1:39" ht="5.0999999999999996" customHeight="1">
      <c r="A9" s="532"/>
      <c r="L9" s="666"/>
      <c r="M9" s="666"/>
      <c r="N9" s="666"/>
      <c r="O9" s="666"/>
      <c r="P9" s="666"/>
      <c r="Q9" s="666"/>
      <c r="R9" s="666"/>
      <c r="S9" s="665"/>
      <c r="U9" s="527"/>
    </row>
    <row r="10" spans="1:39" ht="18" customHeight="1">
      <c r="A10" s="532"/>
      <c r="B10" s="1552" t="s">
        <v>1172</v>
      </c>
      <c r="C10" s="3010" t="s">
        <v>1173</v>
      </c>
      <c r="D10" s="3091"/>
      <c r="E10" s="3091"/>
      <c r="F10" s="3091"/>
      <c r="G10" s="3091"/>
      <c r="H10" s="3091"/>
      <c r="I10" s="3091"/>
      <c r="J10" s="3091"/>
      <c r="K10" s="3091"/>
      <c r="L10" s="3091"/>
      <c r="M10" s="3091"/>
      <c r="N10" s="3091"/>
      <c r="O10" s="3091"/>
      <c r="P10" s="3091"/>
      <c r="Q10" s="3091"/>
      <c r="S10" s="531"/>
      <c r="U10" s="527"/>
    </row>
    <row r="11" spans="1:39" ht="5.0999999999999996" customHeight="1">
      <c r="A11" s="532"/>
      <c r="B11" s="1552"/>
      <c r="C11" s="1203"/>
      <c r="D11" s="1203"/>
      <c r="E11" s="1203"/>
      <c r="F11" s="1203"/>
      <c r="G11" s="1203"/>
      <c r="H11" s="1203"/>
      <c r="L11" s="1203"/>
      <c r="S11" s="531"/>
    </row>
    <row r="12" spans="1:39" ht="18" customHeight="1">
      <c r="A12" s="532"/>
      <c r="B12" s="1552"/>
      <c r="C12" s="3097" t="str">
        <f>H4</f>
        <v/>
      </c>
      <c r="D12" s="3098"/>
      <c r="E12" s="2087" t="s">
        <v>1174</v>
      </c>
      <c r="F12" s="3099" t="str">
        <f>H8</f>
        <v/>
      </c>
      <c r="G12" s="3100"/>
      <c r="H12" s="3096" t="s">
        <v>1175</v>
      </c>
      <c r="I12" s="2851"/>
      <c r="J12" s="2999" t="str">
        <f>IF('Design Details &amp; Summary'!AA77=0,"",IF('Design Details &amp; Summary'!AA77=2,"",IF('Design Details &amp; Summary'!AA77=2,"",IF('Design Details &amp; Summary'!AA77=3,"",IF('Design Details &amp; Summary'!AA77=4,"",IF('Design Details &amp; Summary'!AA77=5,"",IF('Design Details &amp; Summary'!AA77=1,C12/F12)))))))</f>
        <v/>
      </c>
      <c r="K12" s="3000"/>
      <c r="L12" s="917" t="s">
        <v>1089</v>
      </c>
      <c r="S12" s="531"/>
    </row>
    <row r="13" spans="1:39" ht="5.0999999999999996" customHeight="1">
      <c r="A13" s="532"/>
      <c r="B13" s="1552"/>
      <c r="C13" s="1962"/>
      <c r="D13" s="1962"/>
      <c r="E13" s="2087"/>
      <c r="F13" s="1557"/>
      <c r="G13" s="1557"/>
      <c r="H13" s="745"/>
      <c r="I13" s="745"/>
      <c r="J13" s="1093"/>
      <c r="K13" s="1093"/>
      <c r="L13" s="917"/>
      <c r="S13" s="531"/>
      <c r="V13" s="1747"/>
    </row>
    <row r="14" spans="1:39" ht="18" customHeight="1">
      <c r="A14" s="1538"/>
      <c r="B14" s="1828" t="s">
        <v>1176</v>
      </c>
      <c r="C14" s="1541"/>
      <c r="D14" s="1541"/>
      <c r="E14" s="1541"/>
      <c r="F14" s="1542"/>
      <c r="G14" s="1542"/>
      <c r="H14" s="1543"/>
      <c r="I14" s="1543"/>
      <c r="J14" s="1544"/>
      <c r="K14" s="1544"/>
      <c r="L14" s="1545"/>
      <c r="M14" s="1539"/>
      <c r="N14" s="1539"/>
      <c r="O14" s="1539"/>
      <c r="P14" s="1539"/>
      <c r="Q14" s="1539"/>
      <c r="R14" s="1539"/>
      <c r="S14" s="1849"/>
      <c r="V14" s="1747"/>
      <c r="AF14" s="1559"/>
      <c r="AG14" s="1559"/>
      <c r="AH14" s="1559"/>
      <c r="AI14" s="1559"/>
      <c r="AJ14" s="1559"/>
      <c r="AK14" s="1559"/>
      <c r="AL14" s="1559"/>
      <c r="AM14" s="1559"/>
    </row>
    <row r="15" spans="1:39" ht="3.95" customHeight="1">
      <c r="A15" s="532"/>
      <c r="B15" s="1963"/>
      <c r="C15" s="653"/>
      <c r="D15" s="653"/>
      <c r="E15" s="653"/>
      <c r="F15" s="1557"/>
      <c r="G15" s="1557"/>
      <c r="H15" s="745"/>
      <c r="I15" s="745"/>
      <c r="J15" s="1093"/>
      <c r="K15" s="1093"/>
      <c r="L15" s="917"/>
      <c r="S15" s="531"/>
      <c r="V15" s="1747"/>
      <c r="AF15" s="1559"/>
      <c r="AG15" s="1559"/>
      <c r="AH15" s="1559"/>
      <c r="AI15" s="1559"/>
      <c r="AJ15" s="1559"/>
      <c r="AK15" s="1559"/>
      <c r="AL15" s="1559"/>
      <c r="AM15" s="1559"/>
    </row>
    <row r="16" spans="1:39" ht="18" customHeight="1">
      <c r="A16" s="532"/>
      <c r="B16" s="1552" t="s">
        <v>1177</v>
      </c>
      <c r="C16" s="3064" t="s">
        <v>1178</v>
      </c>
      <c r="D16" s="3064"/>
      <c r="E16" s="3064"/>
      <c r="F16" s="3064"/>
      <c r="G16" s="3064"/>
      <c r="H16" s="3064"/>
      <c r="I16" s="3064"/>
      <c r="J16" s="3064"/>
      <c r="K16" s="1559"/>
      <c r="L16" s="3008"/>
      <c r="M16" s="3009"/>
      <c r="N16" s="528" t="s">
        <v>1089</v>
      </c>
      <c r="S16" s="531"/>
      <c r="V16" s="1747"/>
      <c r="AF16" s="1559"/>
      <c r="AG16" s="1559"/>
      <c r="AH16" s="1559"/>
      <c r="AI16" s="1559"/>
      <c r="AJ16" s="1559"/>
      <c r="AK16" s="1559"/>
      <c r="AL16" s="1559"/>
      <c r="AM16" s="1559"/>
    </row>
    <row r="17" spans="1:39" ht="15" customHeight="1">
      <c r="A17" s="532"/>
      <c r="B17" s="1552"/>
      <c r="C17" s="3101"/>
      <c r="D17" s="3101"/>
      <c r="E17" s="3101"/>
      <c r="F17" s="3101"/>
      <c r="G17" s="3101"/>
      <c r="H17" s="3101"/>
      <c r="I17" s="3101"/>
      <c r="J17" s="3101"/>
      <c r="K17" s="1827"/>
      <c r="L17" s="1559"/>
      <c r="N17" s="1093"/>
      <c r="O17" s="1093"/>
      <c r="S17" s="531"/>
      <c r="V17" s="1747"/>
      <c r="AF17" s="1559"/>
      <c r="AG17" s="1559"/>
      <c r="AH17" s="1559"/>
      <c r="AI17" s="1559"/>
      <c r="AJ17" s="1559"/>
      <c r="AK17" s="1559"/>
      <c r="AL17" s="1559"/>
      <c r="AM17" s="1559"/>
    </row>
    <row r="18" spans="1:39" ht="5.0999999999999996" customHeight="1">
      <c r="A18" s="1538"/>
      <c r="B18" s="1546"/>
      <c r="C18" s="1540"/>
      <c r="D18" s="1540"/>
      <c r="E18" s="1539"/>
      <c r="F18" s="1540"/>
      <c r="G18" s="1540"/>
      <c r="H18" s="1540"/>
      <c r="I18" s="1539"/>
      <c r="J18" s="1539"/>
      <c r="K18" s="1539"/>
      <c r="L18" s="1540"/>
      <c r="M18" s="1539"/>
      <c r="N18" s="1539"/>
      <c r="O18" s="1539"/>
      <c r="P18" s="1539"/>
      <c r="Q18" s="1539"/>
      <c r="R18" s="1539"/>
      <c r="S18" s="1849"/>
      <c r="V18" s="1747"/>
    </row>
    <row r="19" spans="1:39" ht="18" customHeight="1">
      <c r="A19" s="532"/>
      <c r="B19" s="529" t="s">
        <v>1179</v>
      </c>
      <c r="C19" s="1203" t="s">
        <v>1180</v>
      </c>
      <c r="D19" s="1203"/>
      <c r="E19" s="1203"/>
      <c r="G19" s="3065">
        <f>IF(ISBLANK(P8)," ",(MAX(J12,L16)))</f>
        <v>0</v>
      </c>
      <c r="H19" s="3066"/>
      <c r="I19" s="1203" t="s">
        <v>1089</v>
      </c>
      <c r="J19" s="1556"/>
      <c r="S19" s="531"/>
      <c r="U19" s="1803"/>
      <c r="V19" s="1747"/>
    </row>
    <row r="20" spans="1:39" ht="5.0999999999999996" customHeight="1">
      <c r="A20" s="532"/>
      <c r="B20" s="1552"/>
      <c r="C20" s="1203"/>
      <c r="D20" s="1203"/>
      <c r="F20" s="1203"/>
      <c r="G20" s="1203"/>
      <c r="H20" s="1203"/>
      <c r="L20" s="1203"/>
      <c r="S20" s="531"/>
      <c r="V20" s="1747"/>
    </row>
    <row r="21" spans="1:39" ht="18" customHeight="1">
      <c r="A21" s="532"/>
      <c r="B21" s="1552" t="s">
        <v>1181</v>
      </c>
      <c r="C21" s="1203" t="s">
        <v>1182</v>
      </c>
      <c r="D21" s="1203"/>
      <c r="E21" s="1203"/>
      <c r="G21" s="2958" t="str">
        <f>IF('Design Details &amp; Summary'!AA77=0,"",IF('Design Details &amp; Summary'!AA77=1,'Design Details &amp; Summary'!O81,""))</f>
        <v/>
      </c>
      <c r="H21" s="3028"/>
      <c r="I21" s="3028"/>
      <c r="J21" s="2959"/>
      <c r="L21" s="2958" t="str">
        <f>IF(G21="Rock"," ",IF('Design Details &amp; Summary'!AA77=0,"",IF('Design Details &amp; Summary'!AA77=1,'Design Details &amp; Summary'!O83,"")))</f>
        <v/>
      </c>
      <c r="M21" s="3028"/>
      <c r="N21" s="3028"/>
      <c r="O21" s="3028"/>
      <c r="P21" s="2959"/>
      <c r="S21" s="531"/>
      <c r="V21" s="1747"/>
    </row>
    <row r="22" spans="1:39" ht="18" customHeight="1">
      <c r="A22" s="532"/>
      <c r="B22" s="1552"/>
      <c r="C22" s="2088"/>
      <c r="H22" s="527"/>
      <c r="I22" s="746"/>
      <c r="L22" s="3102" t="s">
        <v>1183</v>
      </c>
      <c r="M22" s="3102"/>
      <c r="N22" s="3102"/>
      <c r="O22" s="3102"/>
      <c r="P22" s="3102"/>
      <c r="Q22" s="1558"/>
      <c r="R22" s="1558"/>
      <c r="S22" s="709"/>
      <c r="V22" s="1747"/>
    </row>
    <row r="23" spans="1:39" ht="6" customHeight="1">
      <c r="A23" s="532"/>
      <c r="B23" s="1552"/>
      <c r="C23" s="1203"/>
      <c r="D23" s="1203"/>
      <c r="E23" s="1203"/>
      <c r="F23" s="1203"/>
      <c r="G23" s="1203"/>
      <c r="H23" s="1203"/>
      <c r="L23" s="1203"/>
      <c r="S23" s="531"/>
      <c r="V23" s="1747"/>
    </row>
    <row r="24" spans="1:39" ht="18" customHeight="1">
      <c r="A24" s="532"/>
      <c r="B24" s="1552" t="s">
        <v>1184</v>
      </c>
      <c r="C24" s="1203" t="s">
        <v>1185</v>
      </c>
      <c r="D24" s="1203"/>
      <c r="E24" s="1203"/>
      <c r="G24" s="2878"/>
      <c r="H24" s="2878"/>
      <c r="I24" s="2878"/>
      <c r="J24" s="2878"/>
      <c r="K24" s="3029" t="s">
        <v>641</v>
      </c>
      <c r="L24" s="3029"/>
      <c r="M24" s="3037"/>
      <c r="N24" s="3037"/>
      <c r="O24" s="3037"/>
      <c r="P24" s="3037"/>
      <c r="Q24" s="3037"/>
      <c r="R24" s="3037"/>
      <c r="S24" s="531"/>
      <c r="V24" s="1747"/>
    </row>
    <row r="25" spans="1:39" ht="18" customHeight="1">
      <c r="A25" s="532"/>
      <c r="B25" s="529" t="s">
        <v>1186</v>
      </c>
      <c r="C25" s="1964" t="s">
        <v>1187</v>
      </c>
      <c r="D25" s="1964"/>
      <c r="E25" s="1964"/>
      <c r="F25" s="1964"/>
      <c r="G25" s="1964"/>
      <c r="H25" s="1965"/>
      <c r="I25" s="1966"/>
      <c r="J25" s="1964"/>
      <c r="K25" s="1964"/>
      <c r="L25" s="1964"/>
      <c r="M25" s="1964"/>
      <c r="N25" s="1964"/>
      <c r="O25" s="1964"/>
      <c r="P25" s="1967"/>
      <c r="Q25" s="1967"/>
      <c r="R25" s="1964"/>
      <c r="S25" s="698"/>
    </row>
    <row r="26" spans="1:39" ht="18" customHeight="1">
      <c r="A26" s="532"/>
      <c r="C26" s="1968" t="s">
        <v>1188</v>
      </c>
      <c r="D26" s="1968"/>
      <c r="G26" s="1969"/>
      <c r="H26" s="1970"/>
      <c r="I26" s="1971"/>
      <c r="J26" s="1969"/>
      <c r="K26" s="1969"/>
      <c r="L26" s="1969"/>
      <c r="M26" s="3078"/>
      <c r="N26" s="3090"/>
      <c r="O26" s="3090"/>
      <c r="P26" s="3090"/>
      <c r="Q26" s="3090"/>
      <c r="R26" s="3079"/>
      <c r="S26" s="665"/>
    </row>
    <row r="27" spans="1:39" ht="6" customHeight="1">
      <c r="A27" s="710"/>
      <c r="B27" s="701"/>
      <c r="C27" s="702"/>
      <c r="D27" s="702"/>
      <c r="E27" s="702"/>
      <c r="F27" s="702"/>
      <c r="G27" s="702"/>
      <c r="H27" s="702"/>
      <c r="I27" s="671"/>
      <c r="J27" s="671"/>
      <c r="K27" s="671"/>
      <c r="L27" s="702"/>
      <c r="M27" s="671"/>
      <c r="N27" s="671"/>
      <c r="O27" s="671"/>
      <c r="P27" s="671"/>
      <c r="Q27" s="671"/>
      <c r="R27" s="671"/>
      <c r="S27" s="711"/>
      <c r="V27" s="1747"/>
    </row>
    <row r="28" spans="1:39" ht="18" customHeight="1">
      <c r="A28" s="757" t="s">
        <v>481</v>
      </c>
      <c r="B28" s="2089"/>
      <c r="C28" s="2090" t="s">
        <v>1189</v>
      </c>
      <c r="D28" s="2091"/>
      <c r="E28" s="2091"/>
      <c r="F28" s="2091"/>
      <c r="G28" s="2091"/>
      <c r="H28" s="2091"/>
      <c r="I28" s="2091"/>
      <c r="J28" s="2091"/>
      <c r="K28" s="2091"/>
      <c r="L28" s="2091"/>
      <c r="M28" s="2091"/>
      <c r="N28" s="2091"/>
      <c r="O28" s="2091"/>
      <c r="P28" s="2091"/>
      <c r="Q28" s="2091"/>
      <c r="R28" s="2091"/>
      <c r="S28" s="758"/>
    </row>
    <row r="29" spans="1:39" ht="6" customHeight="1">
      <c r="A29" s="707"/>
      <c r="B29" s="699"/>
      <c r="C29" s="700"/>
      <c r="D29" s="700"/>
      <c r="E29" s="700"/>
      <c r="F29" s="700"/>
      <c r="G29" s="700"/>
      <c r="H29" s="700"/>
      <c r="I29" s="700"/>
      <c r="J29" s="759"/>
      <c r="K29" s="700"/>
      <c r="L29" s="700"/>
      <c r="M29" s="700"/>
      <c r="N29" s="700"/>
      <c r="O29" s="700"/>
      <c r="P29" s="700"/>
      <c r="Q29" s="700"/>
      <c r="R29" s="760"/>
      <c r="S29" s="708"/>
    </row>
    <row r="30" spans="1:39" ht="18" customHeight="1">
      <c r="A30" s="532"/>
      <c r="B30" s="1552" t="s">
        <v>1011</v>
      </c>
      <c r="C30" s="3033" t="s">
        <v>1190</v>
      </c>
      <c r="D30" s="3033"/>
      <c r="E30" s="3033"/>
      <c r="F30" s="3033" t="s">
        <v>1191</v>
      </c>
      <c r="G30" s="3033"/>
      <c r="H30" s="3033" t="s">
        <v>1192</v>
      </c>
      <c r="I30" s="3033"/>
      <c r="J30" s="3033" t="s">
        <v>1193</v>
      </c>
      <c r="K30" s="3033"/>
      <c r="L30" s="3092" t="s">
        <v>1194</v>
      </c>
      <c r="M30" s="3093"/>
      <c r="R30" s="1972"/>
      <c r="S30" s="531"/>
    </row>
    <row r="31" spans="1:39" ht="25.35" customHeight="1">
      <c r="A31" s="532"/>
      <c r="C31" s="3033"/>
      <c r="D31" s="3033"/>
      <c r="E31" s="3033"/>
      <c r="F31" s="3033"/>
      <c r="G31" s="3033"/>
      <c r="H31" s="3033"/>
      <c r="I31" s="3033"/>
      <c r="J31" s="3033"/>
      <c r="K31" s="3033"/>
      <c r="L31" s="3094"/>
      <c r="M31" s="3095"/>
      <c r="R31" s="2092"/>
      <c r="S31" s="531"/>
    </row>
    <row r="32" spans="1:39" ht="18" customHeight="1">
      <c r="A32" s="532"/>
      <c r="C32" s="3034">
        <f>G19</f>
        <v>0</v>
      </c>
      <c r="D32" s="3034"/>
      <c r="E32" s="3034"/>
      <c r="F32" s="3024" t="s">
        <v>1195</v>
      </c>
      <c r="G32" s="3024"/>
      <c r="H32" s="3043" t="s">
        <v>1196</v>
      </c>
      <c r="I32" s="3044"/>
      <c r="J32" s="3024">
        <v>1</v>
      </c>
      <c r="K32" s="3024"/>
      <c r="L32" s="3022">
        <f>C32</f>
        <v>0</v>
      </c>
      <c r="M32" s="3023"/>
      <c r="R32" s="2092"/>
      <c r="S32" s="531"/>
      <c r="U32" s="3010" t="s">
        <v>1197</v>
      </c>
      <c r="V32" s="3010"/>
      <c r="W32" s="3010"/>
      <c r="X32" s="3010"/>
      <c r="Y32" s="3010"/>
      <c r="Z32" s="3010"/>
    </row>
    <row r="33" spans="1:25" ht="18" customHeight="1">
      <c r="A33" s="532"/>
      <c r="C33" s="3034"/>
      <c r="D33" s="3034"/>
      <c r="E33" s="3034"/>
      <c r="F33" s="3024" t="s">
        <v>1198</v>
      </c>
      <c r="G33" s="3024"/>
      <c r="H33" s="3044">
        <v>0.2</v>
      </c>
      <c r="I33" s="3044"/>
      <c r="J33" s="3024">
        <v>0.8</v>
      </c>
      <c r="K33" s="3024"/>
      <c r="L33" s="3022" t="str">
        <f>IF(ISBLANK(G24)," ",G19*0.8)</f>
        <v xml:space="preserve"> </v>
      </c>
      <c r="M33" s="3023"/>
      <c r="R33" s="2092"/>
      <c r="S33" s="531"/>
      <c r="U33" s="3011" t="s">
        <v>122</v>
      </c>
      <c r="V33" s="3012"/>
      <c r="W33" s="3012"/>
      <c r="X33" s="3013"/>
      <c r="Y33" s="1527">
        <v>8</v>
      </c>
    </row>
    <row r="34" spans="1:25" ht="18" customHeight="1">
      <c r="A34" s="532"/>
      <c r="C34" s="3034"/>
      <c r="D34" s="3034"/>
      <c r="E34" s="3034"/>
      <c r="F34" s="3024" t="s">
        <v>1199</v>
      </c>
      <c r="G34" s="3024"/>
      <c r="H34" s="3044">
        <v>0.34</v>
      </c>
      <c r="I34" s="3044"/>
      <c r="J34" s="3024">
        <v>0.66</v>
      </c>
      <c r="K34" s="3024"/>
      <c r="L34" s="3022" t="str">
        <f>IF(ISBLANK(G24)," ",G19*0.66)</f>
        <v xml:space="preserve"> </v>
      </c>
      <c r="M34" s="3023"/>
      <c r="R34" s="2092"/>
      <c r="S34" s="531"/>
      <c r="U34" s="3014" t="s">
        <v>175</v>
      </c>
      <c r="V34" s="3015"/>
      <c r="W34" s="3015"/>
      <c r="X34" s="3004"/>
      <c r="Y34" s="1525">
        <v>6</v>
      </c>
    </row>
    <row r="35" spans="1:25" ht="18" customHeight="1">
      <c r="A35" s="532"/>
      <c r="C35" s="3034"/>
      <c r="D35" s="3034"/>
      <c r="E35" s="3034"/>
      <c r="F35" s="3024">
        <v>24</v>
      </c>
      <c r="G35" s="3024"/>
      <c r="H35" s="3044">
        <v>0.4</v>
      </c>
      <c r="I35" s="3044"/>
      <c r="J35" s="3024">
        <v>0.6</v>
      </c>
      <c r="K35" s="3024"/>
      <c r="L35" s="3022" t="str">
        <f>IF(ISBLANK(G24)," ",G19*0.6)</f>
        <v xml:space="preserve"> </v>
      </c>
      <c r="M35" s="3023"/>
      <c r="S35" s="531"/>
      <c r="U35" s="3016" t="s">
        <v>226</v>
      </c>
      <c r="V35" s="3017"/>
      <c r="W35" s="3017"/>
      <c r="X35" s="3018"/>
      <c r="Y35" s="1524">
        <v>12</v>
      </c>
    </row>
    <row r="36" spans="1:25" ht="6" customHeight="1">
      <c r="A36" s="532"/>
      <c r="S36" s="531"/>
      <c r="U36" s="1526"/>
      <c r="V36" s="671"/>
      <c r="W36" s="671"/>
      <c r="X36" s="1520"/>
      <c r="Y36" s="1518"/>
    </row>
    <row r="37" spans="1:25" ht="18" customHeight="1">
      <c r="A37" s="532"/>
      <c r="B37" s="1552" t="s">
        <v>1019</v>
      </c>
      <c r="C37" s="1203" t="s">
        <v>1200</v>
      </c>
      <c r="H37" s="3088"/>
      <c r="I37" s="3089"/>
      <c r="J37" s="3006" t="s">
        <v>1201</v>
      </c>
      <c r="K37" s="3007"/>
      <c r="L37" s="3053">
        <f>H37/12</f>
        <v>0</v>
      </c>
      <c r="M37" s="3054"/>
      <c r="N37" s="528" t="s">
        <v>609</v>
      </c>
      <c r="S37" s="531"/>
      <c r="T37" s="530"/>
      <c r="U37" s="3019" t="s">
        <v>260</v>
      </c>
      <c r="V37" s="3020"/>
      <c r="W37" s="3020"/>
      <c r="X37" s="3021"/>
      <c r="Y37" s="1528">
        <v>6</v>
      </c>
    </row>
    <row r="38" spans="1:25" ht="6" customHeight="1">
      <c r="A38" s="532"/>
      <c r="C38" s="1203"/>
      <c r="N38" s="3030" t="s">
        <v>1202</v>
      </c>
      <c r="O38" s="3030"/>
      <c r="P38" s="3030"/>
      <c r="Q38" s="3030"/>
      <c r="R38" s="3030"/>
      <c r="S38" s="531"/>
      <c r="Y38" s="1203"/>
    </row>
    <row r="39" spans="1:25" ht="18" customHeight="1">
      <c r="A39" s="532"/>
      <c r="B39" s="1552" t="s">
        <v>1168</v>
      </c>
      <c r="C39" s="1203" t="s">
        <v>1203</v>
      </c>
      <c r="G39" s="3105"/>
      <c r="H39" s="3106"/>
      <c r="I39" s="528" t="s">
        <v>1204</v>
      </c>
      <c r="N39" s="3030"/>
      <c r="O39" s="3030"/>
      <c r="P39" s="3030"/>
      <c r="Q39" s="3030"/>
      <c r="R39" s="3030"/>
      <c r="S39" s="531"/>
      <c r="T39" s="549"/>
      <c r="U39" s="549"/>
    </row>
    <row r="40" spans="1:25" ht="6" customHeight="1">
      <c r="A40" s="532"/>
      <c r="N40" s="3030"/>
      <c r="O40" s="3030"/>
      <c r="P40" s="3030"/>
      <c r="Q40" s="3030"/>
      <c r="R40" s="3030"/>
      <c r="S40" s="531"/>
    </row>
    <row r="41" spans="1:25" ht="18" customHeight="1">
      <c r="A41" s="532"/>
      <c r="B41" s="1552" t="s">
        <v>1172</v>
      </c>
      <c r="C41" s="1203" t="s">
        <v>1205</v>
      </c>
      <c r="H41" s="3107"/>
      <c r="I41" s="3108"/>
      <c r="J41" s="1203" t="s">
        <v>609</v>
      </c>
      <c r="K41" s="3031"/>
      <c r="L41" s="3031"/>
      <c r="N41" s="3030"/>
      <c r="O41" s="3030"/>
      <c r="P41" s="3030"/>
      <c r="Q41" s="3030"/>
      <c r="R41" s="3030"/>
      <c r="S41" s="531"/>
    </row>
    <row r="42" spans="1:25" ht="6" customHeight="1">
      <c r="A42" s="532"/>
      <c r="N42" s="3030"/>
      <c r="O42" s="3030"/>
      <c r="P42" s="3030"/>
      <c r="Q42" s="3030"/>
      <c r="R42" s="3030"/>
      <c r="S42" s="531"/>
    </row>
    <row r="43" spans="1:25" ht="18" customHeight="1">
      <c r="A43" s="532"/>
      <c r="B43" s="1552" t="s">
        <v>1177</v>
      </c>
      <c r="C43" s="528" t="s">
        <v>1206</v>
      </c>
      <c r="M43" s="667"/>
      <c r="S43" s="531"/>
    </row>
    <row r="44" spans="1:25" ht="18" customHeight="1">
      <c r="A44" s="532"/>
      <c r="B44" s="1552"/>
      <c r="F44" s="3060">
        <f>G39</f>
        <v>0</v>
      </c>
      <c r="G44" s="3061"/>
      <c r="H44" s="3006" t="s">
        <v>1207</v>
      </c>
      <c r="I44" s="3007"/>
      <c r="J44" s="3053">
        <f>H41</f>
        <v>0</v>
      </c>
      <c r="K44" s="3054"/>
      <c r="L44" s="527" t="s">
        <v>1208</v>
      </c>
      <c r="M44" s="3025" t="str">
        <f>IF(ISBLANK(H41),"",G39/H41)</f>
        <v/>
      </c>
      <c r="N44" s="3026"/>
      <c r="O44" s="528" t="s">
        <v>609</v>
      </c>
      <c r="P44" s="527"/>
      <c r="S44" s="531"/>
    </row>
    <row r="45" spans="1:25" ht="6" customHeight="1">
      <c r="A45" s="532"/>
      <c r="C45" s="1203"/>
      <c r="S45" s="531"/>
    </row>
    <row r="46" spans="1:25" ht="18" customHeight="1">
      <c r="A46" s="532"/>
      <c r="B46" s="1552" t="s">
        <v>1179</v>
      </c>
      <c r="C46" s="1203" t="s">
        <v>1209</v>
      </c>
      <c r="S46" s="531"/>
    </row>
    <row r="47" spans="1:25" ht="18" customHeight="1">
      <c r="A47" s="532"/>
      <c r="C47" s="1203"/>
      <c r="G47" s="2999" t="str">
        <f>IF(ISBLANK(H37), "",H4)</f>
        <v/>
      </c>
      <c r="H47" s="3000"/>
      <c r="I47" s="527" t="s">
        <v>1210</v>
      </c>
      <c r="J47" s="3060" t="str">
        <f>IF(ISBLANK(H37), " ",P8)</f>
        <v xml:space="preserve"> </v>
      </c>
      <c r="K47" s="3061"/>
      <c r="L47" s="3006" t="s">
        <v>1211</v>
      </c>
      <c r="M47" s="3077"/>
      <c r="N47" s="3002" t="str">
        <f>IF(ISBLANK(H37),"", (G47/J47))</f>
        <v/>
      </c>
      <c r="O47" s="3027"/>
      <c r="P47" s="528" t="s">
        <v>609</v>
      </c>
      <c r="S47" s="531"/>
    </row>
    <row r="48" spans="1:25" ht="6" customHeight="1">
      <c r="A48" s="532"/>
      <c r="C48" s="1203"/>
      <c r="N48" s="548"/>
      <c r="O48" s="548"/>
      <c r="S48" s="531"/>
    </row>
    <row r="49" spans="1:22" ht="18" customHeight="1">
      <c r="A49" s="532"/>
      <c r="B49" s="529" t="s">
        <v>1181</v>
      </c>
      <c r="C49" s="1203" t="s">
        <v>1212</v>
      </c>
      <c r="J49" s="2694">
        <f>M26</f>
        <v>0</v>
      </c>
      <c r="K49" s="2694"/>
      <c r="L49" s="2694"/>
      <c r="M49" s="2694"/>
      <c r="N49" s="2694"/>
      <c r="O49" s="2694"/>
      <c r="S49" s="531"/>
    </row>
    <row r="50" spans="1:22" ht="6" customHeight="1">
      <c r="A50" s="532"/>
      <c r="C50" s="1203"/>
      <c r="N50" s="548"/>
      <c r="O50" s="548"/>
      <c r="S50" s="531"/>
    </row>
    <row r="51" spans="1:22" ht="18" customHeight="1">
      <c r="A51" s="532"/>
      <c r="C51" s="1203" t="s">
        <v>1213</v>
      </c>
      <c r="O51" s="548"/>
      <c r="S51" s="531"/>
    </row>
    <row r="52" spans="1:22" ht="18" customHeight="1">
      <c r="A52" s="532"/>
      <c r="C52" s="3001" t="str">
        <f>IF(J49="Serial distribution in 15% sections",(G39),"N/A")</f>
        <v>N/A</v>
      </c>
      <c r="D52" s="3001"/>
      <c r="E52" s="3006" t="s">
        <v>1214</v>
      </c>
      <c r="F52" s="3010"/>
      <c r="G52" s="3010"/>
      <c r="H52" s="3010"/>
      <c r="I52" s="3065" t="str">
        <f>IF((C52)="N/A","N/A ",C52*0.15)</f>
        <v xml:space="preserve">N/A </v>
      </c>
      <c r="J52" s="3066"/>
      <c r="K52" s="1203" t="s">
        <v>1089</v>
      </c>
      <c r="N52" s="548"/>
      <c r="S52" s="531"/>
    </row>
    <row r="53" spans="1:22" ht="18" customHeight="1">
      <c r="A53" s="532"/>
      <c r="C53" s="1203" t="s">
        <v>1215</v>
      </c>
      <c r="S53" s="531"/>
    </row>
    <row r="54" spans="1:22" ht="18" customHeight="1">
      <c r="A54" s="532"/>
      <c r="C54" s="3065" t="str">
        <f>IF(J49="Serial distribution in 15% sections",(I52),"N/A")</f>
        <v>N/A</v>
      </c>
      <c r="D54" s="3066"/>
      <c r="E54" s="3006" t="s">
        <v>1216</v>
      </c>
      <c r="F54" s="3007"/>
      <c r="G54" s="3058" t="str">
        <f>IF(J49="Serial distribution in 15% sections",(H41),"N/A")</f>
        <v>N/A</v>
      </c>
      <c r="H54" s="3059"/>
      <c r="I54" s="528" t="s">
        <v>1208</v>
      </c>
      <c r="J54" s="3058" t="str">
        <f>IF(ISBLANK(I52)," ",IF(J49="Serial distribution in 15% sections",(C54/H41),"N/A"))</f>
        <v>N/A</v>
      </c>
      <c r="K54" s="3059"/>
      <c r="L54" s="528" t="s">
        <v>609</v>
      </c>
      <c r="R54" s="2998" t="s">
        <v>1217</v>
      </c>
      <c r="S54" s="3113"/>
    </row>
    <row r="55" spans="1:22" ht="6" customHeight="1">
      <c r="A55" s="532"/>
      <c r="C55" s="1203"/>
      <c r="N55" s="548"/>
      <c r="O55" s="548"/>
      <c r="R55" s="2998"/>
      <c r="S55" s="3113"/>
    </row>
    <row r="56" spans="1:22" ht="18" customHeight="1">
      <c r="A56" s="532"/>
      <c r="B56" s="1552" t="s">
        <v>1184</v>
      </c>
      <c r="C56" s="1203" t="s">
        <v>1218</v>
      </c>
      <c r="G56" s="3085" t="str">
        <f>IF(ISBLANK(H37)," ",(M44/N47))</f>
        <v xml:space="preserve"> </v>
      </c>
      <c r="H56" s="3085"/>
      <c r="I56" s="528" t="s">
        <v>1219</v>
      </c>
      <c r="P56" s="3062" t="str">
        <f>IF(J49="Serial distribution in 15% sections",(M44/J54),"N/A")</f>
        <v>N/A</v>
      </c>
      <c r="Q56" s="3063"/>
      <c r="R56" s="2998"/>
      <c r="S56" s="3113"/>
      <c r="V56" s="1797"/>
    </row>
    <row r="57" spans="1:22" ht="6" customHeight="1">
      <c r="A57" s="532"/>
      <c r="B57" s="1552"/>
      <c r="C57" s="1203"/>
      <c r="H57" s="2093"/>
      <c r="I57" s="1476"/>
      <c r="P57" s="2093"/>
      <c r="Q57" s="2093"/>
      <c r="R57" s="2998"/>
      <c r="S57" s="3113"/>
    </row>
    <row r="58" spans="1:22" ht="18" customHeight="1">
      <c r="A58" s="532"/>
      <c r="B58" s="1552"/>
      <c r="C58" s="1203"/>
      <c r="D58" s="528" t="s">
        <v>1220</v>
      </c>
      <c r="G58" s="1093"/>
      <c r="H58" s="1093"/>
      <c r="I58" s="2940"/>
      <c r="J58" s="2941"/>
      <c r="M58" s="60"/>
      <c r="N58" s="60"/>
      <c r="P58" s="527"/>
      <c r="Q58" s="1559"/>
      <c r="R58" s="2998"/>
      <c r="S58" s="3113"/>
    </row>
    <row r="59" spans="1:22" ht="5.0999999999999996" customHeight="1" thickBot="1">
      <c r="A59" s="668"/>
      <c r="B59" s="1566"/>
      <c r="C59" s="1378"/>
      <c r="D59" s="669"/>
      <c r="E59" s="669"/>
      <c r="F59" s="669"/>
      <c r="G59" s="1191"/>
      <c r="H59" s="1191"/>
      <c r="I59" s="1567"/>
      <c r="J59" s="1567"/>
      <c r="K59" s="669"/>
      <c r="L59" s="669"/>
      <c r="M59" s="1567"/>
      <c r="N59" s="1567"/>
      <c r="O59" s="669"/>
      <c r="P59" s="544"/>
      <c r="Q59" s="1568"/>
      <c r="R59" s="1569"/>
      <c r="S59" s="1570"/>
    </row>
    <row r="60" spans="1:22" ht="5.0999999999999996" customHeight="1">
      <c r="A60" s="2097"/>
      <c r="B60" s="663"/>
      <c r="C60" s="663"/>
      <c r="D60" s="663"/>
      <c r="E60" s="663"/>
      <c r="F60" s="663"/>
      <c r="G60" s="663"/>
      <c r="H60" s="663"/>
      <c r="I60" s="663"/>
      <c r="J60" s="663"/>
      <c r="K60" s="663"/>
      <c r="L60" s="663"/>
      <c r="M60" s="663"/>
      <c r="N60" s="663"/>
      <c r="O60" s="663"/>
      <c r="P60" s="663"/>
      <c r="Q60" s="663"/>
      <c r="R60" s="663"/>
      <c r="S60" s="664"/>
    </row>
    <row r="61" spans="1:22" ht="18" customHeight="1">
      <c r="A61" s="532"/>
      <c r="B61" s="529" t="s">
        <v>1186</v>
      </c>
      <c r="C61" s="1203" t="s">
        <v>1221</v>
      </c>
      <c r="S61" s="531"/>
    </row>
    <row r="62" spans="1:22" ht="18" customHeight="1">
      <c r="A62" s="532"/>
      <c r="C62" s="1203"/>
      <c r="G62" s="3025" t="str">
        <f>IF(ISBLANK(H37), "",M44)</f>
        <v/>
      </c>
      <c r="H62" s="3026"/>
      <c r="I62" s="1203" t="s">
        <v>1222</v>
      </c>
      <c r="J62" s="3069" t="str">
        <f>IF(ISBLANK(H37), " ",I58)</f>
        <v xml:space="preserve"> </v>
      </c>
      <c r="K62" s="3070"/>
      <c r="L62" s="3006" t="s">
        <v>1223</v>
      </c>
      <c r="M62" s="3077"/>
      <c r="N62" s="3002" t="str">
        <f>IF(ISBLANK(H37),"", (G62/J62))</f>
        <v/>
      </c>
      <c r="O62" s="3027"/>
      <c r="P62" s="528" t="s">
        <v>609</v>
      </c>
      <c r="S62" s="531"/>
    </row>
    <row r="63" spans="1:22" ht="6" customHeight="1">
      <c r="A63" s="532"/>
      <c r="C63" s="1203"/>
      <c r="S63" s="531"/>
    </row>
    <row r="64" spans="1:22" ht="18" customHeight="1">
      <c r="A64" s="532"/>
      <c r="B64" s="1552" t="s">
        <v>1224</v>
      </c>
      <c r="C64" s="1203" t="s">
        <v>1225</v>
      </c>
      <c r="G64" s="3088"/>
      <c r="H64" s="3089"/>
      <c r="I64" s="528" t="s">
        <v>609</v>
      </c>
      <c r="J64" s="528" t="s">
        <v>1226</v>
      </c>
      <c r="N64" s="548"/>
      <c r="O64" s="548"/>
      <c r="P64" s="527"/>
      <c r="S64" s="531"/>
    </row>
    <row r="65" spans="1:65" ht="6" customHeight="1">
      <c r="A65" s="532"/>
      <c r="C65" s="1203"/>
      <c r="N65" s="548"/>
      <c r="O65" s="548"/>
      <c r="S65" s="531"/>
    </row>
    <row r="66" spans="1:65" ht="18" customHeight="1">
      <c r="A66" s="532"/>
      <c r="B66" s="529" t="s">
        <v>1227</v>
      </c>
      <c r="C66" s="1203" t="s">
        <v>1228</v>
      </c>
      <c r="N66" s="548"/>
      <c r="O66" s="548"/>
      <c r="S66" s="531"/>
    </row>
    <row r="67" spans="1:65" ht="18" customHeight="1">
      <c r="A67" s="532"/>
      <c r="G67" s="3025" t="str">
        <f>M44</f>
        <v/>
      </c>
      <c r="H67" s="3026"/>
      <c r="I67" s="527" t="s">
        <v>1229</v>
      </c>
      <c r="J67" s="3025" t="str">
        <f>IF(ISBLANK(G64), " ", G64)</f>
        <v xml:space="preserve"> </v>
      </c>
      <c r="K67" s="3026"/>
      <c r="L67" s="527" t="s">
        <v>1230</v>
      </c>
      <c r="N67" s="3025" t="str">
        <f>IF(ISBLANK(G64), " ", (M44*G64))</f>
        <v xml:space="preserve"> </v>
      </c>
      <c r="O67" s="3067"/>
      <c r="P67" s="528" t="s">
        <v>1231</v>
      </c>
      <c r="Q67" s="548"/>
      <c r="S67" s="531"/>
      <c r="T67" s="530"/>
    </row>
    <row r="68" spans="1:65" s="669" customFormat="1" ht="6" customHeight="1" thickBot="1">
      <c r="A68" s="668"/>
      <c r="B68" s="546"/>
      <c r="G68" s="1191"/>
      <c r="H68" s="1191"/>
      <c r="I68" s="544"/>
      <c r="J68" s="1191"/>
      <c r="K68" s="1191"/>
      <c r="L68" s="544"/>
      <c r="N68" s="1191"/>
      <c r="O68" s="1192"/>
      <c r="Q68" s="1193"/>
      <c r="S68" s="670"/>
      <c r="T68" s="530"/>
      <c r="U68" s="528"/>
      <c r="V68" s="528"/>
      <c r="W68" s="528"/>
      <c r="X68" s="528"/>
      <c r="Y68" s="528"/>
      <c r="Z68" s="528"/>
      <c r="AA68" s="528"/>
      <c r="AB68" s="528"/>
      <c r="AC68" s="528"/>
      <c r="AD68" s="528"/>
      <c r="AE68" s="528"/>
      <c r="AF68" s="528"/>
      <c r="AG68" s="528"/>
      <c r="AH68" s="528"/>
      <c r="AI68" s="528"/>
      <c r="AJ68" s="528"/>
      <c r="AK68" s="528"/>
      <c r="AL68" s="528"/>
      <c r="AM68" s="528"/>
      <c r="AN68" s="528"/>
      <c r="AO68" s="528"/>
      <c r="AP68" s="528"/>
      <c r="AQ68" s="528"/>
      <c r="AR68" s="528"/>
      <c r="AS68" s="528"/>
      <c r="AT68" s="528"/>
      <c r="AU68" s="528"/>
      <c r="AV68" s="528"/>
      <c r="AW68" s="528"/>
      <c r="AX68" s="528"/>
      <c r="AY68" s="528"/>
      <c r="AZ68" s="528"/>
      <c r="BA68" s="528"/>
      <c r="BB68" s="528"/>
      <c r="BC68" s="528"/>
      <c r="BD68" s="528"/>
      <c r="BE68" s="528"/>
      <c r="BF68" s="528"/>
      <c r="BG68" s="528"/>
      <c r="BH68" s="528"/>
      <c r="BI68" s="528"/>
      <c r="BJ68" s="528"/>
      <c r="BK68" s="528"/>
      <c r="BL68" s="528"/>
      <c r="BM68" s="528"/>
    </row>
    <row r="69" spans="1:65" ht="17.25" customHeight="1" thickBot="1">
      <c r="A69" s="1379" t="s">
        <v>487</v>
      </c>
      <c r="B69" s="1194"/>
      <c r="C69" s="1194" t="s">
        <v>1232</v>
      </c>
      <c r="D69" s="1195"/>
      <c r="E69" s="1195"/>
      <c r="F69" s="1195"/>
      <c r="G69" s="1195"/>
      <c r="H69" s="1195"/>
      <c r="I69" s="1195"/>
      <c r="J69" s="1195"/>
      <c r="K69" s="1195"/>
      <c r="L69" s="1195"/>
      <c r="M69" s="1195"/>
      <c r="N69" s="3083" t="s">
        <v>1164</v>
      </c>
      <c r="O69" s="3083"/>
      <c r="P69" s="3084" t="str">
        <f>J2</f>
        <v xml:space="preserve"> </v>
      </c>
      <c r="Q69" s="3084"/>
      <c r="R69" s="3084"/>
      <c r="S69" s="1196"/>
    </row>
    <row r="70" spans="1:65" ht="9" customHeight="1">
      <c r="A70" s="1189"/>
      <c r="C70" s="529"/>
      <c r="N70" s="548"/>
      <c r="O70" s="548"/>
      <c r="S70" s="531"/>
    </row>
    <row r="71" spans="1:65" ht="18" customHeight="1">
      <c r="A71" s="532"/>
      <c r="B71" s="1552" t="s">
        <v>1011</v>
      </c>
      <c r="C71" s="1203" t="s">
        <v>1233</v>
      </c>
      <c r="K71" s="3112"/>
      <c r="L71" s="3112"/>
      <c r="M71" s="528" t="s">
        <v>609</v>
      </c>
      <c r="N71" s="2301" t="s">
        <v>1234</v>
      </c>
      <c r="O71" s="548"/>
      <c r="P71" s="527"/>
      <c r="S71" s="531"/>
      <c r="T71" s="533"/>
    </row>
    <row r="72" spans="1:65" ht="6" customHeight="1">
      <c r="A72" s="532"/>
      <c r="G72" s="2094"/>
      <c r="H72" s="2094"/>
      <c r="J72" s="1203"/>
      <c r="S72" s="531"/>
    </row>
    <row r="73" spans="1:65" ht="18" customHeight="1">
      <c r="A73" s="532"/>
      <c r="B73" s="1552" t="s">
        <v>1019</v>
      </c>
      <c r="C73" s="528" t="s">
        <v>1235</v>
      </c>
      <c r="S73" s="846"/>
      <c r="T73" s="550"/>
    </row>
    <row r="74" spans="1:65" ht="18" customHeight="1">
      <c r="A74" s="532"/>
      <c r="B74" s="1552"/>
      <c r="C74" s="528" t="s">
        <v>1236</v>
      </c>
      <c r="S74" s="846"/>
      <c r="T74" s="550"/>
    </row>
    <row r="75" spans="1:65" ht="18" customHeight="1">
      <c r="A75" s="532"/>
      <c r="B75" s="1555" t="s">
        <v>1237</v>
      </c>
      <c r="C75" s="3002" t="str">
        <f>IF(G21="ROCK",H37/12," ")</f>
        <v xml:space="preserve"> </v>
      </c>
      <c r="D75" s="3003"/>
      <c r="E75" s="1260" t="s">
        <v>1238</v>
      </c>
      <c r="F75" s="3002" t="str">
        <f>IF(G21="ROCK",K71," ")</f>
        <v xml:space="preserve"> </v>
      </c>
      <c r="G75" s="3003"/>
      <c r="H75" s="1601" t="s">
        <v>1239</v>
      </c>
      <c r="I75" s="3002" t="str">
        <f>IF(G21="ROCK", G39,"")</f>
        <v/>
      </c>
      <c r="J75" s="3003"/>
      <c r="K75" s="1260" t="s">
        <v>1089</v>
      </c>
      <c r="L75" s="1260" t="s">
        <v>1240</v>
      </c>
      <c r="M75" s="3002" t="str">
        <f>IF(G21="ROCK",(C75+F75)*I75," ")</f>
        <v xml:space="preserve"> </v>
      </c>
      <c r="N75" s="3003"/>
      <c r="O75" s="654" t="s">
        <v>1241</v>
      </c>
      <c r="P75" s="2154" t="s">
        <v>1242</v>
      </c>
      <c r="Q75" s="3002" t="str">
        <f>IF(G21="ROCK",(M75/27)," ")</f>
        <v xml:space="preserve"> </v>
      </c>
      <c r="R75" s="3003"/>
      <c r="S75" s="531" t="s">
        <v>1243</v>
      </c>
      <c r="T75" s="550"/>
    </row>
    <row r="76" spans="1:65" ht="6" customHeight="1">
      <c r="A76" s="532"/>
      <c r="S76" s="531"/>
    </row>
    <row r="77" spans="1:65" ht="30" customHeight="1">
      <c r="A77" s="532"/>
      <c r="B77" s="2998" t="s">
        <v>1244</v>
      </c>
      <c r="C77" s="2998"/>
      <c r="D77" s="2998"/>
      <c r="E77" s="2998"/>
      <c r="F77" s="2998"/>
      <c r="G77" s="2998"/>
      <c r="H77" s="2998"/>
      <c r="I77" s="2998"/>
      <c r="J77" s="2998"/>
      <c r="K77" s="2998"/>
      <c r="L77" s="2998"/>
      <c r="M77" s="2998"/>
      <c r="N77" s="2998"/>
      <c r="O77" s="2998"/>
      <c r="P77" s="2998"/>
      <c r="Q77" s="2998"/>
      <c r="R77" s="2998"/>
      <c r="S77" s="531"/>
      <c r="T77" s="527"/>
    </row>
    <row r="78" spans="1:65" ht="5.0999999999999996" customHeight="1" thickBot="1">
      <c r="A78" s="532"/>
      <c r="G78" s="2095"/>
      <c r="H78" s="2095"/>
      <c r="I78" s="527"/>
      <c r="J78" s="527"/>
      <c r="K78" s="527"/>
      <c r="L78" s="1973"/>
      <c r="M78" s="1973"/>
      <c r="Q78" s="1190"/>
      <c r="R78" s="1190"/>
      <c r="S78" s="531"/>
      <c r="T78" s="527"/>
    </row>
    <row r="79" spans="1:65" ht="18" customHeight="1" thickBot="1">
      <c r="A79" s="1197" t="s">
        <v>493</v>
      </c>
      <c r="B79" s="1198"/>
      <c r="C79" s="1198" t="s">
        <v>1245</v>
      </c>
      <c r="D79" s="1350"/>
      <c r="E79" s="1350"/>
      <c r="F79" s="1350"/>
      <c r="G79" s="1350"/>
      <c r="H79" s="1350"/>
      <c r="I79" s="1350"/>
      <c r="J79" s="1350"/>
      <c r="K79" s="1350"/>
      <c r="L79" s="1350"/>
      <c r="M79" s="1350"/>
      <c r="N79" s="1351"/>
      <c r="O79" s="1351"/>
      <c r="P79" s="1350"/>
      <c r="Q79" s="1350"/>
      <c r="R79" s="1350"/>
      <c r="S79" s="1352"/>
      <c r="T79" s="527"/>
    </row>
    <row r="80" spans="1:65" ht="9" customHeight="1">
      <c r="A80" s="532"/>
      <c r="G80" s="2095"/>
      <c r="H80" s="2095"/>
      <c r="I80" s="527"/>
      <c r="J80" s="527"/>
      <c r="K80" s="527"/>
      <c r="L80" s="1973"/>
      <c r="M80" s="1973"/>
      <c r="Q80" s="1190"/>
      <c r="R80" s="1190"/>
      <c r="S80" s="531"/>
      <c r="T80" s="527"/>
    </row>
    <row r="81" spans="1:26" ht="21" customHeight="1">
      <c r="A81" s="532"/>
      <c r="B81" s="529" t="s">
        <v>1011</v>
      </c>
      <c r="C81" s="528" t="s">
        <v>165</v>
      </c>
      <c r="F81" s="2958" t="str">
        <f>IF(G21="REGISTERED PRODUCT:",L21," ")</f>
        <v xml:space="preserve"> </v>
      </c>
      <c r="G81" s="3028"/>
      <c r="H81" s="3028"/>
      <c r="I81" s="3028"/>
      <c r="J81" s="2959"/>
      <c r="K81" s="2486" t="s">
        <v>1156</v>
      </c>
      <c r="L81" s="2487"/>
      <c r="M81" s="3080"/>
      <c r="N81" s="3081"/>
      <c r="O81" s="3081"/>
      <c r="P81" s="3081"/>
      <c r="Q81" s="3081"/>
      <c r="R81" s="3082"/>
      <c r="S81" s="531"/>
      <c r="T81" s="527"/>
    </row>
    <row r="82" spans="1:26" ht="6" customHeight="1">
      <c r="A82" s="532"/>
      <c r="G82" s="2095"/>
      <c r="H82" s="2095"/>
      <c r="I82" s="527"/>
      <c r="J82" s="527"/>
      <c r="K82" s="527"/>
      <c r="L82" s="1973"/>
      <c r="M82" s="1973"/>
      <c r="Q82" s="1190"/>
      <c r="R82" s="1190"/>
      <c r="S82" s="531"/>
      <c r="T82" s="527"/>
    </row>
    <row r="83" spans="1:26" ht="18" customHeight="1">
      <c r="A83" s="532"/>
      <c r="B83" s="529" t="s">
        <v>1019</v>
      </c>
      <c r="C83" s="528" t="s">
        <v>1246</v>
      </c>
      <c r="G83" s="530"/>
      <c r="H83" s="3078"/>
      <c r="I83" s="3079"/>
      <c r="J83" s="528" t="s">
        <v>609</v>
      </c>
      <c r="Q83" s="3114" t="s">
        <v>1247</v>
      </c>
      <c r="R83" s="3114"/>
      <c r="S83" s="3115"/>
      <c r="T83" s="527"/>
    </row>
    <row r="84" spans="1:26" ht="6" customHeight="1">
      <c r="A84" s="532"/>
      <c r="G84" s="530"/>
      <c r="H84" s="530"/>
      <c r="I84" s="527"/>
      <c r="J84" s="527"/>
      <c r="K84" s="527"/>
      <c r="L84" s="1973"/>
      <c r="M84" s="1973"/>
      <c r="P84" s="537"/>
      <c r="Q84" s="3114"/>
      <c r="R84" s="3114"/>
      <c r="S84" s="3115"/>
      <c r="T84" s="527"/>
    </row>
    <row r="85" spans="1:26" ht="18" customHeight="1">
      <c r="A85" s="532"/>
      <c r="B85" s="529" t="s">
        <v>1168</v>
      </c>
      <c r="C85" s="1203" t="s">
        <v>1248</v>
      </c>
      <c r="P85" s="537"/>
      <c r="Q85" s="3114"/>
      <c r="R85" s="3114"/>
      <c r="S85" s="3115"/>
    </row>
    <row r="86" spans="1:26" ht="18" customHeight="1">
      <c r="A86" s="532"/>
      <c r="C86" s="1203"/>
      <c r="D86" s="3025">
        <f>H83</f>
        <v>0</v>
      </c>
      <c r="E86" s="3026"/>
      <c r="F86" s="3086" t="s">
        <v>1249</v>
      </c>
      <c r="G86" s="3087"/>
      <c r="H86" s="3002" t="str">
        <f>M44</f>
        <v/>
      </c>
      <c r="I86" s="3003"/>
      <c r="J86" s="654" t="s">
        <v>1250</v>
      </c>
      <c r="K86" s="654"/>
      <c r="L86" s="2155"/>
      <c r="M86" s="3002" t="str">
        <f>IF(G21="Registered Product:",(D86-H86)," ")</f>
        <v xml:space="preserve"> </v>
      </c>
      <c r="N86" s="3027"/>
      <c r="O86" s="528" t="s">
        <v>609</v>
      </c>
      <c r="P86" s="537"/>
      <c r="Q86" s="3114"/>
      <c r="R86" s="3114"/>
      <c r="S86" s="3115"/>
    </row>
    <row r="87" spans="1:26" ht="24.95" customHeight="1" thickBot="1">
      <c r="A87" s="668"/>
      <c r="B87" s="546"/>
      <c r="C87" s="1378"/>
      <c r="D87" s="669"/>
      <c r="E87" s="669"/>
      <c r="F87" s="669"/>
      <c r="G87" s="669"/>
      <c r="H87" s="669"/>
      <c r="I87" s="669"/>
      <c r="J87" s="669"/>
      <c r="K87" s="669"/>
      <c r="L87" s="669"/>
      <c r="M87" s="669"/>
      <c r="N87" s="1193"/>
      <c r="O87" s="1193"/>
      <c r="P87" s="1477"/>
      <c r="Q87" s="3116"/>
      <c r="R87" s="3116"/>
      <c r="S87" s="3117"/>
    </row>
    <row r="88" spans="1:26" ht="18" customHeight="1" thickBot="1">
      <c r="A88" s="1379" t="s">
        <v>498</v>
      </c>
      <c r="B88" s="1194"/>
      <c r="C88" s="1194" t="s">
        <v>1251</v>
      </c>
      <c r="D88" s="1195"/>
      <c r="E88" s="1195"/>
      <c r="F88" s="1195"/>
      <c r="G88" s="1195"/>
      <c r="H88" s="1195"/>
      <c r="I88" s="1195"/>
      <c r="J88" s="1195"/>
      <c r="K88" s="1195"/>
      <c r="L88" s="1195"/>
      <c r="M88" s="1195"/>
      <c r="N88" s="1199"/>
      <c r="O88" s="1199"/>
      <c r="P88" s="1195"/>
      <c r="Q88" s="1195"/>
      <c r="R88" s="1195"/>
      <c r="S88" s="1196"/>
      <c r="T88" s="527"/>
    </row>
    <row r="89" spans="1:26" ht="6" customHeight="1">
      <c r="A89" s="1189"/>
      <c r="C89" s="529"/>
      <c r="N89" s="548"/>
      <c r="O89" s="548"/>
      <c r="S89" s="531"/>
      <c r="T89" s="527"/>
    </row>
    <row r="90" spans="1:26" ht="24.95" customHeight="1">
      <c r="A90" s="532"/>
      <c r="G90" s="3068">
        <f>H41*12</f>
        <v>0</v>
      </c>
      <c r="H90" s="3068"/>
      <c r="I90" s="528" t="s">
        <v>1252</v>
      </c>
      <c r="N90" s="548"/>
      <c r="O90" s="548"/>
      <c r="S90" s="531"/>
    </row>
    <row r="91" spans="1:26" ht="13.5" customHeight="1">
      <c r="A91" s="532"/>
      <c r="G91" s="2096"/>
      <c r="H91" s="2096"/>
      <c r="N91" s="548"/>
      <c r="O91" s="548"/>
      <c r="P91" s="2074"/>
      <c r="Q91" s="2074"/>
      <c r="R91" s="2074"/>
      <c r="S91" s="1549"/>
    </row>
    <row r="92" spans="1:26" ht="19.5" customHeight="1">
      <c r="A92" s="532"/>
      <c r="C92" s="3064" t="s">
        <v>1253</v>
      </c>
      <c r="D92" s="3064"/>
      <c r="E92" s="3064"/>
      <c r="S92" s="531"/>
    </row>
    <row r="93" spans="1:26" ht="19.5" customHeight="1">
      <c r="A93" s="532"/>
      <c r="C93" s="3064"/>
      <c r="D93" s="3064"/>
      <c r="E93" s="3064"/>
      <c r="K93" s="1203"/>
      <c r="L93" s="3057"/>
      <c r="M93" s="3057"/>
      <c r="N93" s="3057"/>
      <c r="O93" s="3057"/>
      <c r="P93" s="3057"/>
      <c r="Q93" s="3122"/>
      <c r="R93" s="3122"/>
      <c r="S93" s="531"/>
      <c r="X93" s="1638"/>
      <c r="Y93" s="1638"/>
      <c r="Z93" s="1638"/>
    </row>
    <row r="94" spans="1:26" ht="19.5" customHeight="1">
      <c r="A94" s="532"/>
      <c r="K94" s="2998" t="s">
        <v>1254</v>
      </c>
      <c r="L94" s="2998"/>
      <c r="Q94" s="1260"/>
      <c r="R94" s="1260"/>
      <c r="S94" s="531"/>
    </row>
    <row r="95" spans="1:26" ht="6" customHeight="1">
      <c r="A95" s="532"/>
      <c r="C95" s="1203"/>
      <c r="K95" s="2998"/>
      <c r="L95" s="2998"/>
      <c r="Q95" s="1260"/>
      <c r="R95" s="1260"/>
      <c r="S95" s="531"/>
    </row>
    <row r="96" spans="1:26" ht="19.5" customHeight="1">
      <c r="A96" s="532"/>
      <c r="C96" s="3025" t="str">
        <f>IF(G21="Rock",M44,(IF(G21="REGISTERED PRODUCT:",H83," ")))</f>
        <v xml:space="preserve"> </v>
      </c>
      <c r="D96" s="3026"/>
      <c r="K96" s="2998"/>
      <c r="L96" s="2998"/>
      <c r="O96" s="3120" t="s">
        <v>1255</v>
      </c>
      <c r="P96" s="3120"/>
      <c r="Q96" s="3120"/>
      <c r="R96" s="3120"/>
      <c r="S96" s="3121"/>
    </row>
    <row r="97" spans="1:28" ht="19.5" customHeight="1">
      <c r="A97" s="532"/>
      <c r="C97" s="3015" t="s">
        <v>1256</v>
      </c>
      <c r="D97" s="3015"/>
      <c r="N97" s="3118"/>
      <c r="O97" s="3118"/>
      <c r="P97" s="3118"/>
      <c r="Q97" s="3118"/>
      <c r="R97" s="3118"/>
      <c r="S97" s="3119"/>
    </row>
    <row r="98" spans="1:28" ht="6" customHeight="1">
      <c r="A98" s="532"/>
      <c r="Q98" s="1554"/>
      <c r="R98" s="1554"/>
      <c r="S98" s="531"/>
      <c r="AA98" s="527"/>
    </row>
    <row r="99" spans="1:28" ht="19.5" customHeight="1">
      <c r="A99" s="532"/>
      <c r="K99" s="3025" t="str">
        <f>IF(ISBLANK(G24)," ",H37)</f>
        <v xml:space="preserve"> </v>
      </c>
      <c r="L99" s="3026"/>
      <c r="M99" s="3111" t="s">
        <v>1257</v>
      </c>
      <c r="N99" s="3111"/>
      <c r="O99" s="3111"/>
      <c r="Q99" s="3103" t="str">
        <f>IF(ISBLANK(G24)," ",Q103+K99/12)</f>
        <v xml:space="preserve"> </v>
      </c>
      <c r="R99" s="3104"/>
      <c r="S99" s="531" t="s">
        <v>609</v>
      </c>
      <c r="W99" s="3010" t="s">
        <v>1258</v>
      </c>
      <c r="X99" s="3010"/>
      <c r="Y99" s="3010"/>
      <c r="Z99" s="3010"/>
      <c r="AA99" s="3010"/>
      <c r="AB99" s="3010"/>
    </row>
    <row r="100" spans="1:28" ht="19.5" customHeight="1">
      <c r="A100" s="532"/>
      <c r="C100" s="2999">
        <f>I58</f>
        <v>0</v>
      </c>
      <c r="D100" s="3048"/>
      <c r="M100" s="3111"/>
      <c r="N100" s="3111"/>
      <c r="O100" s="3111"/>
      <c r="Q100" s="1554"/>
      <c r="R100" s="1554"/>
      <c r="S100" s="531"/>
      <c r="W100" s="3055" t="s">
        <v>122</v>
      </c>
      <c r="X100" s="3056"/>
      <c r="Y100" s="3056"/>
      <c r="Z100" s="3056"/>
      <c r="AA100" s="1529">
        <v>12</v>
      </c>
    </row>
    <row r="101" spans="1:28" ht="19.5" customHeight="1">
      <c r="A101" s="532"/>
      <c r="B101" s="2487" t="s">
        <v>1259</v>
      </c>
      <c r="C101" s="2487"/>
      <c r="D101" s="2487"/>
      <c r="E101" s="2487"/>
      <c r="Q101" s="652"/>
      <c r="R101" s="652"/>
      <c r="S101" s="531"/>
      <c r="W101" s="3014" t="s">
        <v>175</v>
      </c>
      <c r="X101" s="3015"/>
      <c r="Y101" s="3015"/>
      <c r="Z101" s="3015"/>
      <c r="AA101" s="3004">
        <v>8</v>
      </c>
    </row>
    <row r="102" spans="1:28" ht="6" customHeight="1">
      <c r="A102" s="532"/>
      <c r="C102" s="1203"/>
      <c r="Q102" s="1554"/>
      <c r="R102" s="1554"/>
      <c r="S102" s="531"/>
      <c r="W102" s="3051"/>
      <c r="X102" s="3052"/>
      <c r="Y102" s="3052"/>
      <c r="Z102" s="3052"/>
      <c r="AA102" s="3005"/>
    </row>
    <row r="103" spans="1:28" ht="19.5" customHeight="1">
      <c r="A103" s="532"/>
      <c r="B103" s="528"/>
      <c r="K103" s="3025" t="str">
        <f>IF(ISBLANK(G24)," ",P6)</f>
        <v xml:space="preserve"> </v>
      </c>
      <c r="L103" s="3026"/>
      <c r="M103" s="3111" t="s">
        <v>1260</v>
      </c>
      <c r="N103" s="3111"/>
      <c r="O103" s="3111"/>
      <c r="Q103" s="3103" t="str">
        <f>IF(ISBLANK(G24)," ",'Design Details &amp; Summary'!K98+(H6/12)-(P6/12))</f>
        <v xml:space="preserve"> </v>
      </c>
      <c r="R103" s="3104"/>
      <c r="S103" s="531" t="s">
        <v>609</v>
      </c>
      <c r="W103" s="3049" t="s">
        <v>226</v>
      </c>
      <c r="X103" s="3050"/>
      <c r="Y103" s="3050"/>
      <c r="Z103" s="3050"/>
      <c r="AA103" s="1528">
        <v>14</v>
      </c>
    </row>
    <row r="104" spans="1:28" ht="18" customHeight="1">
      <c r="A104" s="532"/>
      <c r="B104" s="528"/>
      <c r="M104" s="3111"/>
      <c r="N104" s="3111"/>
      <c r="O104" s="3111"/>
      <c r="Q104" s="1554"/>
      <c r="R104" s="1554"/>
      <c r="S104" s="531"/>
      <c r="W104" s="3049" t="s">
        <v>260</v>
      </c>
      <c r="X104" s="3050"/>
      <c r="Y104" s="3050"/>
      <c r="Z104" s="3050"/>
      <c r="AA104" s="1525">
        <v>12</v>
      </c>
    </row>
    <row r="105" spans="1:28" ht="19.5" customHeight="1">
      <c r="A105" s="532"/>
      <c r="B105" s="528"/>
      <c r="Q105" s="652"/>
      <c r="R105" s="652"/>
      <c r="S105" s="531"/>
    </row>
    <row r="106" spans="1:28" ht="6" customHeight="1">
      <c r="A106" s="532"/>
      <c r="B106" s="528"/>
      <c r="K106" s="527"/>
      <c r="L106" s="527"/>
      <c r="N106" s="548"/>
      <c r="O106" s="548"/>
      <c r="Q106" s="1554"/>
      <c r="R106" s="1554"/>
      <c r="S106" s="531"/>
    </row>
    <row r="107" spans="1:28" ht="19.5" customHeight="1">
      <c r="A107" s="1560"/>
      <c r="B107" s="3047" t="s">
        <v>1049</v>
      </c>
      <c r="C107" s="3047"/>
      <c r="D107" s="3047"/>
      <c r="E107" s="3047"/>
      <c r="F107" s="3068" t="str">
        <f>IF(G21="Rock",G21,(IF(G21="REGISTERED PRODUCT:",L21," ")))</f>
        <v xml:space="preserve"> </v>
      </c>
      <c r="G107" s="3068"/>
      <c r="H107" s="3068"/>
      <c r="I107" s="3068"/>
      <c r="K107" s="3109" t="str">
        <f>IF(ISBLANK(G24)," ",'Design Details &amp; Summary'!G96)</f>
        <v xml:space="preserve"> </v>
      </c>
      <c r="L107" s="3110"/>
      <c r="M107" s="528" t="s">
        <v>1261</v>
      </c>
      <c r="N107" s="548"/>
      <c r="O107" s="548"/>
      <c r="Q107" s="3103" t="str">
        <f>IF(ISBLANK(G24)," ",'Design Details &amp; Summary'!K96+Q109)</f>
        <v xml:space="preserve"> </v>
      </c>
      <c r="R107" s="3104"/>
      <c r="S107" s="531" t="s">
        <v>609</v>
      </c>
    </row>
    <row r="108" spans="1:28" ht="6" customHeight="1">
      <c r="A108" s="1560"/>
      <c r="B108" s="548"/>
      <c r="C108" s="548"/>
      <c r="D108" s="548"/>
      <c r="E108" s="548"/>
      <c r="F108" s="527"/>
      <c r="G108" s="527"/>
      <c r="H108" s="527"/>
      <c r="I108" s="527"/>
      <c r="K108" s="527"/>
      <c r="L108" s="527"/>
      <c r="N108" s="548"/>
      <c r="O108" s="548"/>
      <c r="Q108" s="1554"/>
      <c r="R108" s="1554"/>
      <c r="S108" s="531"/>
    </row>
    <row r="109" spans="1:28" ht="19.5" customHeight="1">
      <c r="A109" s="1560"/>
      <c r="B109" s="528"/>
      <c r="K109" s="2999" t="str">
        <f>IF(ISBLANK(G24)," ",'Design Details &amp; Summary'!G94)</f>
        <v xml:space="preserve"> </v>
      </c>
      <c r="L109" s="3000"/>
      <c r="M109" s="528" t="s">
        <v>1262</v>
      </c>
      <c r="N109" s="548"/>
      <c r="O109" s="548"/>
      <c r="Q109" s="3103" t="str">
        <f>IF(ISBLANK(G24)," ",'Design Details &amp; Summary'!M94)</f>
        <v xml:space="preserve"> </v>
      </c>
      <c r="R109" s="3104"/>
      <c r="S109" s="531" t="s">
        <v>609</v>
      </c>
    </row>
    <row r="110" spans="1:28" ht="9.75" customHeight="1">
      <c r="A110" s="532"/>
      <c r="B110" s="527"/>
      <c r="C110" s="527"/>
      <c r="D110" s="527"/>
      <c r="E110" s="527"/>
      <c r="F110" s="548"/>
      <c r="G110" s="548"/>
      <c r="H110" s="548"/>
      <c r="N110" s="548"/>
      <c r="O110" s="548"/>
      <c r="S110" s="531"/>
    </row>
    <row r="111" spans="1:28" ht="12" customHeight="1">
      <c r="A111" s="532"/>
      <c r="B111" s="529" t="s">
        <v>719</v>
      </c>
      <c r="S111" s="531"/>
    </row>
    <row r="112" spans="1:28" ht="42.75" customHeight="1">
      <c r="A112" s="532"/>
      <c r="B112" s="3071"/>
      <c r="C112" s="3072"/>
      <c r="D112" s="3072"/>
      <c r="E112" s="3072"/>
      <c r="F112" s="3072"/>
      <c r="G112" s="3072"/>
      <c r="H112" s="3072"/>
      <c r="I112" s="3072"/>
      <c r="J112" s="3072"/>
      <c r="K112" s="3072"/>
      <c r="L112" s="3072"/>
      <c r="M112" s="3072"/>
      <c r="N112" s="3072"/>
      <c r="O112" s="3072"/>
      <c r="P112" s="3072"/>
      <c r="Q112" s="3072"/>
      <c r="R112" s="3073"/>
      <c r="S112" s="531"/>
    </row>
    <row r="113" spans="1:19" ht="42.75" customHeight="1">
      <c r="A113" s="532"/>
      <c r="B113" s="3074"/>
      <c r="C113" s="3075"/>
      <c r="D113" s="3075"/>
      <c r="E113" s="3075"/>
      <c r="F113" s="3075"/>
      <c r="G113" s="3075"/>
      <c r="H113" s="3075"/>
      <c r="I113" s="3075"/>
      <c r="J113" s="3075"/>
      <c r="K113" s="3075"/>
      <c r="L113" s="3075"/>
      <c r="M113" s="3075"/>
      <c r="N113" s="3075"/>
      <c r="O113" s="3075"/>
      <c r="P113" s="3075"/>
      <c r="Q113" s="3075"/>
      <c r="R113" s="3076"/>
      <c r="S113" s="531"/>
    </row>
    <row r="114" spans="1:19" ht="6" customHeight="1" thickBot="1">
      <c r="A114" s="668"/>
      <c r="B114" s="546"/>
      <c r="C114" s="669"/>
      <c r="D114" s="669"/>
      <c r="E114" s="669"/>
      <c r="F114" s="669"/>
      <c r="G114" s="669"/>
      <c r="H114" s="669"/>
      <c r="I114" s="669"/>
      <c r="J114" s="669"/>
      <c r="K114" s="669"/>
      <c r="L114" s="669"/>
      <c r="M114" s="669"/>
      <c r="N114" s="669"/>
      <c r="O114" s="669"/>
      <c r="P114" s="669"/>
      <c r="Q114" s="669"/>
      <c r="R114" s="669"/>
      <c r="S114" s="670"/>
    </row>
  </sheetData>
  <sheetProtection sheet="1" objects="1" scenarios="1"/>
  <dataConsolidate/>
  <customSheetViews>
    <customSheetView guid="{D1431318-1DB8-4C45-813B-5A8065DFC797}" showPageBreaks="1" showGridLines="0" zeroValues="0" printArea="1" view="pageBreakPreview">
      <selection activeCell="P6" sqref="P6:Q6"/>
      <rowBreaks count="1" manualBreakCount="1">
        <brk id="59" max="18" man="1"/>
      </rowBreaks>
      <pageMargins left="0" right="0" top="0" bottom="0" header="0" footer="0"/>
      <printOptions horizontalCentered="1"/>
      <pageSetup scale="89" fitToHeight="2" orientation="portrait" blackAndWhite="1" r:id="rId1"/>
      <headerFooter alignWithMargins="0"/>
    </customSheetView>
  </customSheetViews>
  <mergeCells count="135">
    <mergeCell ref="K109:L109"/>
    <mergeCell ref="Q99:R99"/>
    <mergeCell ref="Q103:R103"/>
    <mergeCell ref="Q107:R107"/>
    <mergeCell ref="Q109:R109"/>
    <mergeCell ref="G39:H39"/>
    <mergeCell ref="H41:I41"/>
    <mergeCell ref="H35:I35"/>
    <mergeCell ref="F107:I107"/>
    <mergeCell ref="K99:L99"/>
    <mergeCell ref="K107:L107"/>
    <mergeCell ref="M103:O104"/>
    <mergeCell ref="M99:O100"/>
    <mergeCell ref="K71:L71"/>
    <mergeCell ref="H86:I86"/>
    <mergeCell ref="R54:S58"/>
    <mergeCell ref="J37:K37"/>
    <mergeCell ref="Q83:S87"/>
    <mergeCell ref="I58:J58"/>
    <mergeCell ref="N62:O62"/>
    <mergeCell ref="I52:J52"/>
    <mergeCell ref="N97:S97"/>
    <mergeCell ref="O96:S96"/>
    <mergeCell ref="Q93:R93"/>
    <mergeCell ref="G62:H62"/>
    <mergeCell ref="M26:R26"/>
    <mergeCell ref="C10:Q10"/>
    <mergeCell ref="F32:G32"/>
    <mergeCell ref="L30:M31"/>
    <mergeCell ref="H12:I12"/>
    <mergeCell ref="C12:D12"/>
    <mergeCell ref="H37:I37"/>
    <mergeCell ref="H8:I8"/>
    <mergeCell ref="F12:G12"/>
    <mergeCell ref="F33:G33"/>
    <mergeCell ref="C16:J17"/>
    <mergeCell ref="G19:H19"/>
    <mergeCell ref="J34:K34"/>
    <mergeCell ref="J30:K31"/>
    <mergeCell ref="L22:P22"/>
    <mergeCell ref="N67:O67"/>
    <mergeCell ref="D86:E86"/>
    <mergeCell ref="G90:H90"/>
    <mergeCell ref="C96:D96"/>
    <mergeCell ref="J62:K62"/>
    <mergeCell ref="J12:K12"/>
    <mergeCell ref="H34:I34"/>
    <mergeCell ref="B112:R113"/>
    <mergeCell ref="L47:M47"/>
    <mergeCell ref="C75:D75"/>
    <mergeCell ref="H83:I83"/>
    <mergeCell ref="F75:G75"/>
    <mergeCell ref="I75:J75"/>
    <mergeCell ref="M81:R81"/>
    <mergeCell ref="N69:O69"/>
    <mergeCell ref="P69:R69"/>
    <mergeCell ref="M75:N75"/>
    <mergeCell ref="L62:M62"/>
    <mergeCell ref="M86:N86"/>
    <mergeCell ref="G56:H56"/>
    <mergeCell ref="F81:J81"/>
    <mergeCell ref="F86:G86"/>
    <mergeCell ref="G64:H64"/>
    <mergeCell ref="G67:H67"/>
    <mergeCell ref="B107:E107"/>
    <mergeCell ref="C100:D100"/>
    <mergeCell ref="C97:D97"/>
    <mergeCell ref="W103:Z103"/>
    <mergeCell ref="W104:Z104"/>
    <mergeCell ref="W101:Z102"/>
    <mergeCell ref="L37:M37"/>
    <mergeCell ref="J44:K44"/>
    <mergeCell ref="W100:Z100"/>
    <mergeCell ref="E54:F54"/>
    <mergeCell ref="E52:H52"/>
    <mergeCell ref="K103:L103"/>
    <mergeCell ref="L93:P93"/>
    <mergeCell ref="K81:L81"/>
    <mergeCell ref="G54:H54"/>
    <mergeCell ref="J54:K54"/>
    <mergeCell ref="F44:G44"/>
    <mergeCell ref="J49:O49"/>
    <mergeCell ref="P56:Q56"/>
    <mergeCell ref="C92:E93"/>
    <mergeCell ref="C54:D54"/>
    <mergeCell ref="B101:E101"/>
    <mergeCell ref="J67:K67"/>
    <mergeCell ref="J47:K47"/>
    <mergeCell ref="F1:M1"/>
    <mergeCell ref="C30:E31"/>
    <mergeCell ref="C32:E35"/>
    <mergeCell ref="L32:M32"/>
    <mergeCell ref="L34:M34"/>
    <mergeCell ref="H2:I2"/>
    <mergeCell ref="J32:K32"/>
    <mergeCell ref="H4:I4"/>
    <mergeCell ref="H30:I31"/>
    <mergeCell ref="K6:O6"/>
    <mergeCell ref="G24:J24"/>
    <mergeCell ref="M24:R24"/>
    <mergeCell ref="J2:K2"/>
    <mergeCell ref="F35:G35"/>
    <mergeCell ref="Q2:S2"/>
    <mergeCell ref="P6:Q6"/>
    <mergeCell ref="H6:I6"/>
    <mergeCell ref="F34:G34"/>
    <mergeCell ref="F30:G31"/>
    <mergeCell ref="H32:I32"/>
    <mergeCell ref="H33:I33"/>
    <mergeCell ref="L33:M33"/>
    <mergeCell ref="P8:Q8"/>
    <mergeCell ref="B77:R77"/>
    <mergeCell ref="G47:H47"/>
    <mergeCell ref="K94:L96"/>
    <mergeCell ref="C52:D52"/>
    <mergeCell ref="Q75:R75"/>
    <mergeCell ref="AA101:AA102"/>
    <mergeCell ref="H44:I44"/>
    <mergeCell ref="L16:M16"/>
    <mergeCell ref="W99:AB99"/>
    <mergeCell ref="U33:X33"/>
    <mergeCell ref="U34:X34"/>
    <mergeCell ref="U35:X35"/>
    <mergeCell ref="U37:X37"/>
    <mergeCell ref="U32:Z32"/>
    <mergeCell ref="L35:M35"/>
    <mergeCell ref="J33:K33"/>
    <mergeCell ref="M44:N44"/>
    <mergeCell ref="N47:O47"/>
    <mergeCell ref="G21:J21"/>
    <mergeCell ref="K24:L24"/>
    <mergeCell ref="L21:P21"/>
    <mergeCell ref="J35:K35"/>
    <mergeCell ref="N38:R42"/>
    <mergeCell ref="K41:L41"/>
  </mergeCells>
  <conditionalFormatting sqref="C26">
    <cfRule type="cellIs" dxfId="5" priority="2" stopIfTrue="1" operator="lessThanOrEqual">
      <formula>6</formula>
    </cfRule>
  </conditionalFormatting>
  <conditionalFormatting sqref="H6">
    <cfRule type="cellIs" dxfId="4" priority="7" stopIfTrue="1" operator="lessThanOrEqual">
      <formula>6</formula>
    </cfRule>
  </conditionalFormatting>
  <conditionalFormatting sqref="P25">
    <cfRule type="cellIs" dxfId="3" priority="3" stopIfTrue="1" operator="lessThanOrEqual">
      <formula>6</formula>
    </cfRule>
  </conditionalFormatting>
  <dataValidations count="8">
    <dataValidation allowBlank="1" showInputMessage="1" sqref="K41" xr:uid="{00000000-0002-0000-1000-000000000000}"/>
    <dataValidation type="whole" operator="greaterThan" allowBlank="1" showInputMessage="1" sqref="G64:H64" xr:uid="{00000000-0002-0000-1000-000001000000}">
      <formula1>3</formula1>
    </dataValidation>
    <dataValidation type="list" allowBlank="1" showInputMessage="1" showErrorMessage="1" sqref="T71" xr:uid="{00000000-0002-0000-1000-000002000000}">
      <formula1>#REF!</formula1>
    </dataValidation>
    <dataValidation type="list" allowBlank="1" showInputMessage="1" showErrorMessage="1" sqref="K71:L71" xr:uid="{00000000-0002-0000-1000-000003000000}">
      <formula1>DepthPipe</formula1>
    </dataValidation>
    <dataValidation type="whole" errorStyle="information" allowBlank="1" showInputMessage="1" showErrorMessage="1" error="Check Width Entered" sqref="H41" xr:uid="{00000000-0002-0000-1000-000004000000}">
      <formula1>1</formula1>
      <formula2>36</formula2>
    </dataValidation>
    <dataValidation allowBlank="1" showInputMessage="1" showErrorMessage="1" promptTitle="Registered Distribution Media" prompt="Type of Registered Distribution Media" sqref="L21:P21" xr:uid="{00000000-0002-0000-1000-000007000000}"/>
    <dataValidation type="list" allowBlank="1" showInputMessage="1" showErrorMessage="1" sqref="N59 I58:J59" xr:uid="{00000000-0002-0000-1000-000005000000}">
      <formula1>CLR</formula1>
    </dataValidation>
    <dataValidation allowBlank="1" showInputMessage="1" showErrorMessage="1" prompt="From Prelim Page" sqref="H4:I4" xr:uid="{10C6A342-3536-4A9C-85CA-6FB1BCF23645}"/>
  </dataValidations>
  <printOptions horizontalCentered="1"/>
  <pageMargins left="0.4" right="0.12" top="0.4" bottom="0.4" header="0.4" footer="0.5"/>
  <pageSetup scale="85" fitToHeight="2" orientation="portrait" blackAndWhite="1" r:id="rId2"/>
  <headerFooter alignWithMargins="0"/>
  <rowBreaks count="1" manualBreakCount="1">
    <brk id="59" max="18" man="1"/>
  </rowBreaks>
  <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rench Distribution" xr:uid="{00000000-0002-0000-1000-000008000000}">
          <x14:formula1>
            <xm:f>'Drop-Down Lists'!$BM$2:$BM$4</xm:f>
          </x14:formula1>
          <xm:sqref>G24:J24</xm:sqref>
        </x14:dataValidation>
        <x14:dataValidation type="list" allowBlank="1" showInputMessage="1" xr:uid="{00000000-0002-0000-1000-000006000000}">
          <x14:formula1>
            <xm:f>'Drop-Down Lists'!$D$2:$D$4</xm:f>
          </x14:formula1>
          <xm:sqref>M26:R26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5">
    <tabColor theme="9" tint="0.39997558519241921"/>
  </sheetPr>
  <dimension ref="A1:AU100"/>
  <sheetViews>
    <sheetView showGridLines="0" showZeros="0" view="pageBreakPreview" zoomScaleNormal="100" zoomScaleSheetLayoutView="100" workbookViewId="0">
      <selection activeCell="P6" sqref="P6:Q6"/>
    </sheetView>
  </sheetViews>
  <sheetFormatPr defaultColWidth="4.42578125" defaultRowHeight="14.1" customHeight="1"/>
  <cols>
    <col min="1" max="1" width="2.42578125" style="672" customWidth="1"/>
    <col min="2" max="2" width="2.42578125" style="529" customWidth="1"/>
    <col min="3" max="3" width="6.42578125" style="528" customWidth="1"/>
    <col min="4" max="16" width="5.42578125" style="528" customWidth="1"/>
    <col min="17" max="17" width="6.85546875" style="528" customWidth="1"/>
    <col min="18" max="18" width="5.42578125" style="528" customWidth="1"/>
    <col min="19" max="19" width="12.140625" style="528" customWidth="1"/>
    <col min="20" max="20" width="3.42578125" style="528" customWidth="1"/>
    <col min="21" max="37" width="5.42578125" style="528" customWidth="1"/>
    <col min="38" max="38" width="22.42578125" style="528" customWidth="1"/>
    <col min="39" max="39" width="10.42578125" style="528" customWidth="1"/>
    <col min="40" max="40" width="4.42578125" style="528"/>
    <col min="41" max="42" width="5.42578125" style="528" customWidth="1"/>
    <col min="43" max="43" width="4.42578125" style="528" bestFit="1" customWidth="1"/>
    <col min="44" max="46" width="4.42578125" style="528"/>
    <col min="47" max="47" width="4.42578125" style="528" bestFit="1" customWidth="1"/>
    <col min="48" max="16384" width="4.42578125" style="528"/>
  </cols>
  <sheetData>
    <row r="1" spans="1:22" s="658" customFormat="1" ht="54.95" customHeight="1" thickBot="1">
      <c r="B1" s="547"/>
      <c r="C1" s="547"/>
      <c r="D1" s="547"/>
      <c r="G1" s="3032" t="s">
        <v>1263</v>
      </c>
      <c r="H1" s="3032"/>
      <c r="I1" s="3032"/>
      <c r="J1" s="3032"/>
      <c r="K1" s="3032"/>
      <c r="L1" s="3032"/>
      <c r="M1" s="3032"/>
      <c r="N1" s="547"/>
      <c r="O1" s="547"/>
      <c r="P1" s="547"/>
      <c r="Q1" s="659"/>
      <c r="R1" s="659"/>
      <c r="S1" s="659"/>
      <c r="T1" s="659"/>
      <c r="U1" s="659"/>
      <c r="V1" s="660"/>
    </row>
    <row r="2" spans="1:22" ht="16.350000000000001" customHeight="1" thickBot="1">
      <c r="A2" s="543" t="s">
        <v>475</v>
      </c>
      <c r="B2" s="542"/>
      <c r="C2" s="541" t="s">
        <v>1163</v>
      </c>
      <c r="D2" s="540"/>
      <c r="E2" s="540"/>
      <c r="F2" s="540"/>
      <c r="G2" s="540"/>
      <c r="H2" s="3035" t="s">
        <v>1164</v>
      </c>
      <c r="I2" s="3035"/>
      <c r="J2" s="3038" t="str">
        <f>IF(ISBLANK('Design Details &amp; Summary'!S3)," ",'Design Details &amp; Summary'!S3)</f>
        <v xml:space="preserve"> </v>
      </c>
      <c r="K2" s="3038"/>
      <c r="L2" s="540"/>
      <c r="M2" s="540"/>
      <c r="N2" s="540"/>
      <c r="O2" s="540"/>
      <c r="P2" s="540"/>
      <c r="Q2" s="3035" t="str">
        <f>'Drop-Down Lists'!A2</f>
        <v>v 05.01.2026</v>
      </c>
      <c r="R2" s="3035"/>
      <c r="S2" s="3035"/>
      <c r="T2" s="3039"/>
    </row>
    <row r="3" spans="1:22" ht="5.0999999999999996" customHeight="1">
      <c r="A3" s="661"/>
      <c r="B3" s="662"/>
      <c r="C3" s="663"/>
      <c r="D3" s="663"/>
      <c r="E3" s="663"/>
      <c r="F3" s="663"/>
      <c r="G3" s="663"/>
      <c r="H3" s="663"/>
      <c r="I3" s="663"/>
      <c r="J3" s="663"/>
      <c r="K3" s="663"/>
      <c r="L3" s="663"/>
      <c r="M3" s="663"/>
      <c r="N3" s="663"/>
      <c r="O3" s="663"/>
      <c r="P3" s="663"/>
      <c r="Q3" s="663"/>
      <c r="R3" s="663"/>
      <c r="S3" s="663"/>
      <c r="T3" s="664"/>
    </row>
    <row r="4" spans="1:22" ht="18" customHeight="1">
      <c r="A4" s="532"/>
      <c r="B4" s="529" t="s">
        <v>1011</v>
      </c>
      <c r="C4" s="528" t="s">
        <v>1165</v>
      </c>
      <c r="H4" s="2999" t="str">
        <f>IF('Design Details &amp; Summary'!AA77=0,"",IF('Design Details &amp; Summary'!AA77=3,"",IF('Design Details &amp; Summary'!AA77=4,"",IF('Design Details &amp; Summary'!AA77=5,"",IF('Design Details &amp; Summary'!AA77=1,"",IF('Design Details &amp; Summary'!AA77=2,'Design Details &amp; Summary'!I11,""))))))</f>
        <v/>
      </c>
      <c r="I4" s="3123"/>
      <c r="J4" s="528" t="s">
        <v>583</v>
      </c>
      <c r="T4" s="531"/>
    </row>
    <row r="5" spans="1:22" ht="5.0999999999999996" customHeight="1">
      <c r="A5" s="532"/>
      <c r="M5" s="1974"/>
      <c r="N5" s="1974"/>
      <c r="O5" s="1974"/>
      <c r="P5" s="1974"/>
      <c r="Q5" s="1974"/>
      <c r="R5" s="1974"/>
      <c r="S5" s="1974"/>
      <c r="T5" s="531"/>
    </row>
    <row r="6" spans="1:22" ht="18" customHeight="1">
      <c r="A6" s="532"/>
      <c r="B6" s="1555" t="s">
        <v>1019</v>
      </c>
      <c r="C6" s="528" t="s">
        <v>1166</v>
      </c>
      <c r="H6" s="3025" t="str">
        <f>IF('Design Details &amp; Summary'!AA77=2,'Design Details &amp; Summary'!G94-'Design Details &amp; Summary'!G96,"")</f>
        <v/>
      </c>
      <c r="I6" s="3067"/>
      <c r="J6" s="527" t="s">
        <v>762</v>
      </c>
      <c r="K6" s="3029" t="s">
        <v>1167</v>
      </c>
      <c r="L6" s="3029"/>
      <c r="M6" s="3029"/>
      <c r="N6" s="3029"/>
      <c r="O6" s="2441"/>
      <c r="P6" s="3040"/>
      <c r="Q6" s="3041"/>
      <c r="R6" s="528" t="s">
        <v>762</v>
      </c>
      <c r="T6" s="665"/>
    </row>
    <row r="7" spans="1:22" ht="3.6" customHeight="1">
      <c r="A7" s="532"/>
      <c r="L7" s="667"/>
      <c r="M7" s="667"/>
      <c r="N7" s="667"/>
      <c r="O7" s="667"/>
      <c r="P7" s="667"/>
      <c r="Q7" s="667"/>
      <c r="R7" s="667"/>
      <c r="S7" s="667"/>
      <c r="T7" s="673"/>
    </row>
    <row r="8" spans="1:22" ht="18" customHeight="1">
      <c r="A8" s="532"/>
      <c r="B8" s="529" t="s">
        <v>1168</v>
      </c>
      <c r="C8" s="528" t="s">
        <v>1169</v>
      </c>
      <c r="H8" s="3099" t="str">
        <f>IF('Design Details &amp; Summary'!AA77=0,"",IF('Design Details &amp; Summary'!AA77=1,"",IF('Design Details &amp; Summary'!AA77=4,"",IF('Design Details &amp; Summary'!AA77=0,"",IF('Design Details &amp; Summary'!AA77=1,'Design Details &amp; Summary'!G104,IF('Design Details &amp; Summary'!AA77=2,'Design Details &amp; Summary'!G104,""))))))</f>
        <v/>
      </c>
      <c r="I8" s="3036"/>
      <c r="J8" s="528" t="s">
        <v>1170</v>
      </c>
      <c r="K8" s="1555"/>
      <c r="L8" s="674"/>
      <c r="M8" s="347"/>
      <c r="N8" s="674"/>
      <c r="O8" s="674"/>
      <c r="P8" s="674"/>
      <c r="Q8" s="674"/>
      <c r="R8" s="674"/>
      <c r="S8" s="674"/>
      <c r="T8" s="673"/>
    </row>
    <row r="9" spans="1:22" ht="3.6" customHeight="1">
      <c r="A9" s="532"/>
      <c r="T9" s="531"/>
    </row>
    <row r="10" spans="1:22" ht="18" customHeight="1">
      <c r="A10" s="532"/>
      <c r="B10" s="1552" t="s">
        <v>1172</v>
      </c>
      <c r="C10" s="3010" t="s">
        <v>1264</v>
      </c>
      <c r="D10" s="3091"/>
      <c r="E10" s="3091"/>
      <c r="F10" s="3091"/>
      <c r="G10" s="3091"/>
      <c r="H10" s="3091"/>
      <c r="I10" s="3091"/>
      <c r="J10" s="3091"/>
      <c r="K10" s="3091"/>
      <c r="L10" s="3091"/>
      <c r="M10" s="3091"/>
      <c r="N10" s="3091"/>
      <c r="O10" s="3091"/>
      <c r="P10" s="3091"/>
      <c r="Q10" s="3091"/>
      <c r="T10" s="531"/>
    </row>
    <row r="11" spans="1:22" ht="18" customHeight="1">
      <c r="A11" s="532"/>
      <c r="B11" s="1552"/>
      <c r="C11" s="3097" t="str">
        <f>H4</f>
        <v/>
      </c>
      <c r="D11" s="3098"/>
      <c r="E11" s="527" t="s">
        <v>1265</v>
      </c>
      <c r="F11" s="3053" t="str">
        <f>H8</f>
        <v/>
      </c>
      <c r="G11" s="3054"/>
      <c r="H11" s="3006" t="s">
        <v>2653</v>
      </c>
      <c r="I11" s="3007"/>
      <c r="J11" s="2999" t="str">
        <f>IF('Design Details &amp; Summary'!AA77=0,"",IF('Design Details &amp; Summary'!AA77=3,"",IF('Design Details &amp; Summary'!AA77=4,"",IF('Design Details &amp; Summary'!AA77=5,"",(IF('Design Details &amp; Summary'!AA77=1,"",IF('Design Details &amp; Summary'!AA77=2,C11/F11)))))))</f>
        <v/>
      </c>
      <c r="K11" s="3000"/>
      <c r="L11" s="528" t="s">
        <v>1089</v>
      </c>
      <c r="T11" s="531"/>
    </row>
    <row r="12" spans="1:22" ht="5.0999999999999996" customHeight="1">
      <c r="A12" s="532"/>
      <c r="B12" s="1552"/>
      <c r="C12" s="1203"/>
      <c r="D12" s="1203"/>
      <c r="E12" s="1203"/>
      <c r="F12" s="1203"/>
      <c r="G12" s="1203"/>
      <c r="H12" s="1203"/>
      <c r="L12" s="1203"/>
      <c r="T12" s="531"/>
    </row>
    <row r="13" spans="1:22" ht="18" customHeight="1">
      <c r="A13" s="1975"/>
      <c r="B13" s="1828" t="s">
        <v>1176</v>
      </c>
      <c r="C13" s="1850"/>
      <c r="D13" s="1850"/>
      <c r="E13" s="1850"/>
      <c r="F13" s="1851"/>
      <c r="G13" s="1851"/>
      <c r="H13" s="1852"/>
      <c r="I13" s="1852"/>
      <c r="J13" s="1833"/>
      <c r="K13" s="1833"/>
      <c r="L13" s="1853"/>
      <c r="M13" s="1829"/>
      <c r="N13" s="1829"/>
      <c r="O13" s="1829"/>
      <c r="P13" s="1829"/>
      <c r="Q13" s="1829"/>
      <c r="R13" s="1829"/>
      <c r="S13" s="1829"/>
      <c r="T13" s="1976"/>
    </row>
    <row r="14" spans="1:22" ht="3.95" customHeight="1">
      <c r="A14" s="532"/>
      <c r="B14" s="1963"/>
      <c r="C14" s="653"/>
      <c r="D14" s="653"/>
      <c r="E14" s="653"/>
      <c r="F14" s="1557"/>
      <c r="G14" s="1557"/>
      <c r="H14" s="745"/>
      <c r="I14" s="745"/>
      <c r="J14" s="1093"/>
      <c r="K14" s="1093"/>
      <c r="L14" s="917"/>
      <c r="T14" s="531"/>
    </row>
    <row r="15" spans="1:22" ht="18" customHeight="1">
      <c r="A15" s="532"/>
      <c r="B15" s="1552" t="s">
        <v>1177</v>
      </c>
      <c r="C15" s="3064" t="s">
        <v>1178</v>
      </c>
      <c r="D15" s="3064"/>
      <c r="E15" s="3064"/>
      <c r="F15" s="3064"/>
      <c r="G15" s="3064"/>
      <c r="H15" s="3064"/>
      <c r="I15" s="3064"/>
      <c r="J15" s="3064"/>
      <c r="K15" s="1559"/>
      <c r="L15" s="3157"/>
      <c r="M15" s="3158"/>
      <c r="N15" s="528" t="s">
        <v>1089</v>
      </c>
      <c r="T15" s="531"/>
    </row>
    <row r="16" spans="1:22" ht="18" customHeight="1">
      <c r="A16" s="1977"/>
      <c r="B16" s="1854"/>
      <c r="C16" s="3101"/>
      <c r="D16" s="3101"/>
      <c r="E16" s="3101"/>
      <c r="F16" s="3101"/>
      <c r="G16" s="3101"/>
      <c r="H16" s="3101"/>
      <c r="I16" s="3101"/>
      <c r="J16" s="3101"/>
      <c r="K16" s="1844"/>
      <c r="L16" s="1844"/>
      <c r="M16" s="1846"/>
      <c r="N16" s="1855"/>
      <c r="O16" s="1855"/>
      <c r="P16" s="1846"/>
      <c r="Q16" s="1846"/>
      <c r="R16" s="1846"/>
      <c r="S16" s="1846"/>
      <c r="T16" s="1978"/>
    </row>
    <row r="17" spans="1:22" ht="5.0999999999999996" customHeight="1">
      <c r="A17" s="532"/>
      <c r="B17" s="1552"/>
      <c r="C17" s="1203"/>
      <c r="D17" s="1203"/>
      <c r="E17" s="1203"/>
      <c r="F17" s="1203"/>
      <c r="G17" s="1203"/>
      <c r="H17" s="1203"/>
      <c r="L17" s="1203"/>
      <c r="T17" s="531"/>
    </row>
    <row r="18" spans="1:22" ht="18" customHeight="1">
      <c r="A18" s="532"/>
      <c r="B18" s="1552" t="s">
        <v>1179</v>
      </c>
      <c r="C18" s="1203" t="s">
        <v>1185</v>
      </c>
      <c r="D18" s="1203"/>
      <c r="E18" s="1203"/>
      <c r="G18" s="2878"/>
      <c r="H18" s="2878"/>
      <c r="I18" s="2878"/>
      <c r="J18" s="2878"/>
      <c r="K18" s="2440" t="s">
        <v>641</v>
      </c>
      <c r="L18" s="2441"/>
      <c r="M18" s="3124"/>
      <c r="N18" s="3125"/>
      <c r="O18" s="3125"/>
      <c r="P18" s="3125"/>
      <c r="Q18" s="3125"/>
      <c r="R18" s="3125"/>
      <c r="S18" s="3125"/>
      <c r="T18" s="3126"/>
    </row>
    <row r="19" spans="1:22" ht="9" customHeight="1">
      <c r="A19" s="532"/>
      <c r="B19" s="1552"/>
      <c r="C19" s="1203"/>
      <c r="D19" s="1203"/>
      <c r="E19" s="1203"/>
      <c r="F19" s="1203"/>
      <c r="G19" s="1203"/>
      <c r="H19" s="1203"/>
      <c r="L19" s="1203"/>
      <c r="T19" s="531"/>
    </row>
    <row r="20" spans="1:22" ht="18" customHeight="1">
      <c r="A20" s="532"/>
      <c r="B20" s="1979" t="s">
        <v>1181</v>
      </c>
      <c r="C20" s="1203" t="s">
        <v>1182</v>
      </c>
      <c r="D20" s="1203"/>
      <c r="E20" s="1203"/>
      <c r="F20" s="1203"/>
      <c r="G20" s="2958" t="str">
        <f>IF('Design Details &amp; Summary'!AA77=0,"",IF('Design Details &amp; Summary'!AA77=2,'Design Details &amp; Summary'!O81,""))</f>
        <v/>
      </c>
      <c r="H20" s="3028"/>
      <c r="I20" s="3028"/>
      <c r="J20" s="2959"/>
      <c r="K20" s="2440" t="s">
        <v>1266</v>
      </c>
      <c r="L20" s="3029"/>
      <c r="M20" s="2441"/>
      <c r="N20" s="2958" t="str">
        <f>IF(G20="Rock"," ",IF('Design Details &amp; Summary'!AA77=0,"",IF('Design Details &amp; Summary'!AA77=2,'Design Details &amp; Summary'!O83,"")))</f>
        <v/>
      </c>
      <c r="O20" s="3028"/>
      <c r="P20" s="3028"/>
      <c r="Q20" s="3028"/>
      <c r="R20" s="2959"/>
      <c r="S20" s="527"/>
      <c r="T20" s="531"/>
    </row>
    <row r="21" spans="1:22" ht="8.25" customHeight="1">
      <c r="A21" s="532"/>
      <c r="B21" s="528"/>
      <c r="D21" s="1203"/>
      <c r="E21" s="1203"/>
      <c r="I21" s="527"/>
      <c r="T21" s="531"/>
    </row>
    <row r="22" spans="1:22" ht="18" customHeight="1">
      <c r="A22" s="532"/>
      <c r="B22" s="1979" t="s">
        <v>1184</v>
      </c>
      <c r="C22" s="1964" t="s">
        <v>1267</v>
      </c>
      <c r="D22" s="1964"/>
      <c r="E22" s="1964"/>
      <c r="F22" s="1964"/>
      <c r="G22" s="1964"/>
      <c r="H22" s="1965"/>
      <c r="I22" s="1966"/>
      <c r="J22" s="1964"/>
      <c r="K22" s="1964"/>
      <c r="L22" s="1964"/>
      <c r="M22" s="1964"/>
      <c r="N22" s="1964"/>
      <c r="O22" s="1964"/>
      <c r="P22" s="1967"/>
      <c r="Q22" s="1967"/>
      <c r="R22" s="1964"/>
      <c r="S22" s="1964"/>
      <c r="T22" s="698"/>
    </row>
    <row r="23" spans="1:22" ht="18" customHeight="1">
      <c r="A23" s="532"/>
      <c r="B23" s="1979"/>
      <c r="C23" s="1968" t="s">
        <v>1268</v>
      </c>
      <c r="D23" s="1968"/>
      <c r="E23" s="1969"/>
      <c r="F23" s="1969"/>
      <c r="G23" s="1969"/>
      <c r="H23" s="1970"/>
      <c r="I23" s="1971"/>
      <c r="J23" s="1969"/>
      <c r="K23" s="1969"/>
      <c r="L23" s="3037"/>
      <c r="M23" s="3037"/>
      <c r="N23" s="3037"/>
      <c r="O23" s="3037"/>
      <c r="P23" s="3037"/>
      <c r="Q23" s="3037"/>
      <c r="R23" s="3037"/>
      <c r="S23" s="3037"/>
      <c r="T23" s="665"/>
    </row>
    <row r="24" spans="1:22" ht="5.0999999999999996" customHeight="1" thickBot="1">
      <c r="A24" s="668"/>
      <c r="B24" s="546"/>
      <c r="C24" s="669"/>
      <c r="D24" s="669"/>
      <c r="E24" s="669"/>
      <c r="F24" s="669"/>
      <c r="G24" s="545"/>
      <c r="H24" s="545"/>
      <c r="I24" s="544"/>
      <c r="J24" s="544"/>
      <c r="K24" s="544"/>
      <c r="L24" s="669"/>
      <c r="M24" s="669"/>
      <c r="N24" s="669"/>
      <c r="O24" s="669"/>
      <c r="P24" s="669"/>
      <c r="Q24" s="669"/>
      <c r="R24" s="669"/>
      <c r="S24" s="669"/>
      <c r="T24" s="670"/>
      <c r="U24" s="527"/>
    </row>
    <row r="25" spans="1:22" ht="18" customHeight="1" thickBot="1">
      <c r="A25" s="641" t="s">
        <v>481</v>
      </c>
      <c r="B25" s="642"/>
      <c r="C25" s="643" t="s">
        <v>1269</v>
      </c>
      <c r="D25" s="644"/>
      <c r="E25" s="644"/>
      <c r="F25" s="644"/>
      <c r="G25" s="644"/>
      <c r="H25" s="644"/>
      <c r="I25" s="644"/>
      <c r="J25" s="644"/>
      <c r="K25" s="644"/>
      <c r="L25" s="644"/>
      <c r="M25" s="644"/>
      <c r="N25" s="644"/>
      <c r="O25" s="644"/>
      <c r="P25" s="644"/>
      <c r="Q25" s="644"/>
      <c r="R25" s="644"/>
      <c r="S25" s="644"/>
      <c r="T25" s="645"/>
    </row>
    <row r="26" spans="1:22" ht="5.0999999999999996" customHeight="1">
      <c r="A26" s="675"/>
      <c r="B26" s="662"/>
      <c r="C26" s="676"/>
      <c r="D26" s="663"/>
      <c r="E26" s="663"/>
      <c r="F26" s="663"/>
      <c r="G26" s="663"/>
      <c r="H26" s="663"/>
      <c r="J26" s="538"/>
      <c r="K26" s="538"/>
      <c r="L26" s="538"/>
      <c r="M26" s="538"/>
      <c r="N26" s="538"/>
      <c r="O26" s="538"/>
      <c r="P26" s="538"/>
      <c r="Q26" s="538"/>
      <c r="R26" s="538"/>
      <c r="S26" s="538"/>
      <c r="T26" s="664"/>
    </row>
    <row r="27" spans="1:22" ht="18" customHeight="1">
      <c r="A27" s="532"/>
      <c r="B27" s="529" t="s">
        <v>1011</v>
      </c>
      <c r="C27" s="1203" t="s">
        <v>1270</v>
      </c>
      <c r="D27" s="1203"/>
      <c r="E27" s="1203"/>
      <c r="G27" s="3088"/>
      <c r="H27" s="3089"/>
      <c r="J27" s="2998" t="s">
        <v>1271</v>
      </c>
      <c r="K27" s="2998"/>
      <c r="L27" s="2998"/>
      <c r="M27" s="2998"/>
      <c r="N27" s="2998"/>
      <c r="O27" s="2998"/>
      <c r="P27" s="2998"/>
      <c r="Q27" s="2998"/>
      <c r="R27" s="2998"/>
      <c r="S27" s="1972"/>
      <c r="T27" s="531"/>
      <c r="U27" s="667"/>
      <c r="V27" s="667"/>
    </row>
    <row r="28" spans="1:22" ht="18" customHeight="1">
      <c r="A28" s="536"/>
      <c r="B28" s="529" t="s">
        <v>1019</v>
      </c>
      <c r="C28" s="1203" t="s">
        <v>1272</v>
      </c>
      <c r="D28" s="1203"/>
      <c r="E28" s="1203"/>
      <c r="J28" s="537"/>
      <c r="K28" s="537"/>
      <c r="T28" s="531"/>
    </row>
    <row r="29" spans="1:22" ht="18" customHeight="1">
      <c r="A29" s="532"/>
      <c r="C29" s="3140">
        <f>MAX(J11,L15)</f>
        <v>0</v>
      </c>
      <c r="D29" s="3141"/>
      <c r="E29" s="3142" t="s">
        <v>1273</v>
      </c>
      <c r="F29" s="3145"/>
      <c r="G29" s="3002" t="str">
        <f>IF(ISBLANK(G27),"",G27)</f>
        <v/>
      </c>
      <c r="H29" s="3003"/>
      <c r="I29" s="1203" t="s">
        <v>1274</v>
      </c>
      <c r="J29" s="2999" t="str">
        <f>IF(ISBLANK(G27),"",C29*G27)</f>
        <v/>
      </c>
      <c r="K29" s="3000"/>
      <c r="L29" s="528" t="s">
        <v>1089</v>
      </c>
      <c r="M29" s="1553"/>
      <c r="N29" s="1553"/>
      <c r="O29" s="1553"/>
      <c r="R29" s="1553"/>
      <c r="S29" s="1553"/>
      <c r="T29" s="531"/>
      <c r="U29" s="535"/>
    </row>
    <row r="30" spans="1:22" ht="5.0999999999999996" customHeight="1">
      <c r="A30" s="532"/>
      <c r="C30" s="1203"/>
      <c r="T30" s="531"/>
      <c r="U30" s="533"/>
    </row>
    <row r="31" spans="1:22" ht="18" customHeight="1">
      <c r="A31" s="532"/>
      <c r="B31" s="529" t="s">
        <v>1168</v>
      </c>
      <c r="C31" s="1203" t="s">
        <v>1275</v>
      </c>
      <c r="D31" s="1203"/>
      <c r="E31" s="1203"/>
      <c r="G31" s="3088"/>
      <c r="H31" s="3089"/>
      <c r="I31" s="1203" t="s">
        <v>609</v>
      </c>
      <c r="J31" s="3147" t="s">
        <v>1276</v>
      </c>
      <c r="K31" s="3147"/>
      <c r="L31" s="3147"/>
      <c r="M31" s="3147"/>
      <c r="N31" s="3147"/>
      <c r="O31" s="3147"/>
      <c r="P31" s="3147"/>
      <c r="Q31" s="3147"/>
      <c r="R31" s="3147"/>
      <c r="S31" s="3147"/>
      <c r="T31" s="531"/>
      <c r="U31" s="533"/>
    </row>
    <row r="32" spans="1:22" ht="18" customHeight="1">
      <c r="A32" s="532"/>
      <c r="B32" s="529" t="s">
        <v>1172</v>
      </c>
      <c r="C32" s="528" t="s">
        <v>1277</v>
      </c>
      <c r="R32" s="1203"/>
      <c r="S32" s="1203"/>
      <c r="T32" s="531"/>
      <c r="U32" s="533"/>
    </row>
    <row r="33" spans="1:47" ht="18" customHeight="1">
      <c r="A33" s="532"/>
      <c r="F33" s="3069" t="str">
        <f>IF(ISBLANK(G27)," ",J29)</f>
        <v xml:space="preserve"> </v>
      </c>
      <c r="G33" s="3070"/>
      <c r="H33" s="3142" t="s">
        <v>1278</v>
      </c>
      <c r="I33" s="3145"/>
      <c r="J33" s="3060">
        <f>G31</f>
        <v>0</v>
      </c>
      <c r="K33" s="3061"/>
      <c r="L33" s="1972" t="s">
        <v>1279</v>
      </c>
      <c r="M33" s="3002" t="str">
        <f>IF(ISBLANK(G27),"",F33/J33)</f>
        <v/>
      </c>
      <c r="N33" s="3003"/>
      <c r="O33" s="1203" t="s">
        <v>1280</v>
      </c>
      <c r="T33" s="531"/>
      <c r="U33" s="533"/>
    </row>
    <row r="34" spans="1:47" ht="3.95" customHeight="1">
      <c r="A34" s="532"/>
      <c r="F34" s="1962"/>
      <c r="G34" s="1962"/>
      <c r="H34" s="1553"/>
      <c r="I34" s="1553"/>
      <c r="J34" s="548"/>
      <c r="K34" s="548"/>
      <c r="L34" s="1972"/>
      <c r="M34" s="1260"/>
      <c r="N34" s="1260"/>
      <c r="O34" s="1203"/>
      <c r="T34" s="531"/>
      <c r="U34" s="533"/>
    </row>
    <row r="35" spans="1:47" ht="18" customHeight="1">
      <c r="A35" s="532"/>
      <c r="B35" s="529" t="s">
        <v>1177</v>
      </c>
      <c r="C35" s="528" t="s">
        <v>1281</v>
      </c>
      <c r="F35" s="1962"/>
      <c r="G35" s="1962"/>
      <c r="H35" s="1553"/>
      <c r="I35" s="1553"/>
      <c r="J35" s="548"/>
      <c r="K35" s="548"/>
      <c r="L35" s="1972"/>
      <c r="M35" s="1260"/>
      <c r="N35" s="1260"/>
      <c r="O35" s="1203"/>
      <c r="T35" s="531"/>
      <c r="U35" s="533"/>
    </row>
    <row r="36" spans="1:47" ht="3.95" customHeight="1">
      <c r="A36" s="532"/>
      <c r="F36" s="1962"/>
      <c r="G36" s="1962"/>
      <c r="H36" s="1553"/>
      <c r="I36" s="1553"/>
      <c r="J36" s="548"/>
      <c r="K36" s="548"/>
      <c r="L36" s="1972"/>
      <c r="M36" s="1260"/>
      <c r="N36" s="1260"/>
      <c r="O36" s="1203"/>
      <c r="T36" s="531"/>
      <c r="U36" s="533"/>
    </row>
    <row r="37" spans="1:47" ht="18" customHeight="1">
      <c r="A37" s="532"/>
      <c r="F37" s="3065">
        <f>G31</f>
        <v>0</v>
      </c>
      <c r="G37" s="3066"/>
      <c r="H37" s="1203" t="s">
        <v>609</v>
      </c>
      <c r="I37" s="1553" t="s">
        <v>1282</v>
      </c>
      <c r="J37" s="3159" t="str">
        <f>H8</f>
        <v/>
      </c>
      <c r="K37" s="3160"/>
      <c r="L37" s="528" t="s">
        <v>1170</v>
      </c>
      <c r="M37" s="1555"/>
      <c r="N37" s="1594" t="s">
        <v>1240</v>
      </c>
      <c r="O37" s="3065" t="str">
        <f>IF(ISBLANK(G31)," ",(F37*J37))</f>
        <v xml:space="preserve"> </v>
      </c>
      <c r="P37" s="3066"/>
      <c r="Q37" s="528" t="s">
        <v>1115</v>
      </c>
      <c r="T37" s="531"/>
      <c r="U37" s="533"/>
    </row>
    <row r="38" spans="1:47" ht="5.0999999999999996" customHeight="1" thickBot="1">
      <c r="A38" s="532"/>
      <c r="T38" s="531"/>
      <c r="AM38" s="652"/>
      <c r="AO38" s="653"/>
      <c r="AP38" s="654"/>
      <c r="AQ38" s="652"/>
      <c r="AS38" s="654"/>
    </row>
    <row r="39" spans="1:47" ht="18" customHeight="1" thickBot="1">
      <c r="A39" s="543" t="s">
        <v>487</v>
      </c>
      <c r="B39" s="542"/>
      <c r="C39" s="541" t="s">
        <v>1283</v>
      </c>
      <c r="D39" s="540"/>
      <c r="E39" s="540"/>
      <c r="F39" s="540"/>
      <c r="G39" s="540"/>
      <c r="H39" s="540"/>
      <c r="I39" s="540"/>
      <c r="J39" s="540"/>
      <c r="K39" s="540"/>
      <c r="L39" s="540"/>
      <c r="M39" s="540"/>
      <c r="N39" s="540"/>
      <c r="O39" s="540"/>
      <c r="P39" s="540"/>
      <c r="Q39" s="540"/>
      <c r="R39" s="540"/>
      <c r="S39" s="540"/>
      <c r="T39" s="539"/>
      <c r="AM39" s="652"/>
      <c r="AO39" s="653"/>
      <c r="AP39" s="654"/>
      <c r="AQ39" s="652"/>
      <c r="AS39" s="654"/>
    </row>
    <row r="40" spans="1:47" ht="18" customHeight="1">
      <c r="A40" s="532"/>
      <c r="B40" s="529" t="s">
        <v>1011</v>
      </c>
      <c r="C40" s="1203" t="s">
        <v>1284</v>
      </c>
      <c r="D40" s="1203"/>
      <c r="E40" s="1203"/>
      <c r="G40" s="1980"/>
      <c r="H40" s="1980"/>
      <c r="I40" s="1203"/>
      <c r="K40" s="3148" t="s">
        <v>2655</v>
      </c>
      <c r="L40" s="3148"/>
      <c r="M40" s="3148"/>
      <c r="N40" s="3148"/>
      <c r="T40" s="531"/>
      <c r="AM40" s="652"/>
      <c r="AO40" s="653"/>
      <c r="AP40" s="654"/>
      <c r="AQ40" s="652"/>
      <c r="AS40" s="654"/>
    </row>
    <row r="41" spans="1:47" ht="18" customHeight="1">
      <c r="A41" s="532"/>
      <c r="C41" s="1203"/>
      <c r="D41" s="1203"/>
      <c r="E41" s="1203"/>
      <c r="G41" s="3149"/>
      <c r="H41" s="3150"/>
      <c r="I41" s="1203" t="s">
        <v>629</v>
      </c>
      <c r="J41" s="3103">
        <f>G41/12</f>
        <v>0</v>
      </c>
      <c r="K41" s="3104"/>
      <c r="L41" s="652" t="s">
        <v>609</v>
      </c>
      <c r="N41" s="3156" t="s">
        <v>2654</v>
      </c>
      <c r="O41" s="3156"/>
      <c r="P41" s="3156"/>
      <c r="Q41" s="3156"/>
      <c r="R41" s="3156"/>
      <c r="S41" s="3156"/>
      <c r="T41" s="531"/>
      <c r="AM41" s="652"/>
      <c r="AO41" s="653"/>
      <c r="AP41" s="654"/>
      <c r="AQ41" s="652"/>
      <c r="AS41" s="654"/>
    </row>
    <row r="42" spans="1:47" ht="18" customHeight="1">
      <c r="A42" s="532"/>
      <c r="B42" s="529" t="s">
        <v>1019</v>
      </c>
      <c r="C42" s="3064" t="s">
        <v>1285</v>
      </c>
      <c r="D42" s="3064"/>
      <c r="E42" s="3064"/>
      <c r="F42" s="3064"/>
      <c r="G42" s="3064"/>
      <c r="H42" s="3064"/>
      <c r="I42" s="3064"/>
      <c r="J42" s="3064"/>
      <c r="K42" s="3064"/>
      <c r="L42" s="3064"/>
      <c r="M42" s="3064"/>
      <c r="N42" s="3064"/>
      <c r="O42" s="3064"/>
      <c r="P42" s="3064"/>
      <c r="Q42" s="2384"/>
      <c r="R42" s="2384"/>
      <c r="S42" s="2384"/>
      <c r="T42" s="531"/>
      <c r="AP42" s="654"/>
      <c r="AU42" s="652"/>
    </row>
    <row r="43" spans="1:47" ht="18" customHeight="1">
      <c r="A43" s="532"/>
      <c r="C43" s="1190" t="s">
        <v>1237</v>
      </c>
      <c r="D43" s="3002">
        <f>IF(ISBLANK(J41), " ",J41)</f>
        <v>0</v>
      </c>
      <c r="E43" s="3003"/>
      <c r="F43" s="528" t="s">
        <v>1286</v>
      </c>
      <c r="G43" s="3107"/>
      <c r="H43" s="3108"/>
      <c r="I43" s="528" t="s">
        <v>1287</v>
      </c>
      <c r="J43" s="3060" t="str">
        <f>IF(ISBLANK(G41),"",J29)</f>
        <v/>
      </c>
      <c r="K43" s="3061"/>
      <c r="L43" s="3006" t="s">
        <v>1288</v>
      </c>
      <c r="M43" s="3007"/>
      <c r="N43" s="3060" t="str">
        <f>IF(ISBLANK(G41),"",(D43+G43)*J43)</f>
        <v/>
      </c>
      <c r="O43" s="3061"/>
      <c r="P43" s="1553" t="s">
        <v>1241</v>
      </c>
      <c r="T43" s="531"/>
      <c r="AU43" s="652"/>
    </row>
    <row r="44" spans="1:47" ht="3.6" customHeight="1">
      <c r="A44" s="532"/>
      <c r="T44" s="531"/>
    </row>
    <row r="45" spans="1:47" ht="18" customHeight="1">
      <c r="A45" s="532"/>
      <c r="B45" s="529" t="s">
        <v>1168</v>
      </c>
      <c r="C45" s="528" t="s">
        <v>1289</v>
      </c>
      <c r="T45" s="531"/>
    </row>
    <row r="46" spans="1:47" ht="18" customHeight="1">
      <c r="A46" s="532"/>
      <c r="G46" s="3060" t="str">
        <f>N43</f>
        <v/>
      </c>
      <c r="H46" s="3061"/>
      <c r="I46" s="3142" t="s">
        <v>1290</v>
      </c>
      <c r="J46" s="3143"/>
      <c r="K46" s="3144"/>
      <c r="L46" s="3060" t="str">
        <f>IF(ISBLANK(G41),"",G46/27)</f>
        <v/>
      </c>
      <c r="M46" s="3061"/>
      <c r="N46" s="1553" t="s">
        <v>1243</v>
      </c>
      <c r="T46" s="531"/>
    </row>
    <row r="47" spans="1:47" ht="5.0999999999999996" customHeight="1">
      <c r="A47" s="532"/>
      <c r="T47" s="531"/>
    </row>
    <row r="48" spans="1:47" ht="30" customHeight="1">
      <c r="A48" s="532"/>
      <c r="C48" s="2998" t="s">
        <v>1291</v>
      </c>
      <c r="D48" s="2998"/>
      <c r="E48" s="2998"/>
      <c r="F48" s="2998"/>
      <c r="G48" s="2998"/>
      <c r="H48" s="2998"/>
      <c r="I48" s="2998"/>
      <c r="J48" s="2998"/>
      <c r="K48" s="2998"/>
      <c r="L48" s="2998"/>
      <c r="M48" s="2998"/>
      <c r="N48" s="2998"/>
      <c r="O48" s="2998"/>
      <c r="P48" s="2998"/>
      <c r="Q48" s="2998"/>
      <c r="R48" s="2998"/>
      <c r="S48" s="2998"/>
      <c r="T48" s="531"/>
    </row>
    <row r="49" spans="1:29" ht="5.0999999999999996" customHeight="1" thickBot="1">
      <c r="A49" s="532"/>
      <c r="T49" s="531"/>
    </row>
    <row r="50" spans="1:29" ht="18" customHeight="1" thickBot="1">
      <c r="A50" s="543" t="s">
        <v>493</v>
      </c>
      <c r="B50" s="542"/>
      <c r="C50" s="541" t="s">
        <v>1292</v>
      </c>
      <c r="D50" s="540"/>
      <c r="E50" s="540"/>
      <c r="F50" s="540"/>
      <c r="G50" s="540"/>
      <c r="H50" s="540"/>
      <c r="I50" s="540"/>
      <c r="J50" s="540"/>
      <c r="K50" s="540"/>
      <c r="L50" s="540"/>
      <c r="M50" s="540"/>
      <c r="N50" s="540"/>
      <c r="O50" s="540"/>
      <c r="P50" s="540"/>
      <c r="Q50" s="540"/>
      <c r="R50" s="540"/>
      <c r="S50" s="540"/>
      <c r="T50" s="539"/>
      <c r="V50" s="2487" t="s">
        <v>1197</v>
      </c>
      <c r="W50" s="2487"/>
      <c r="X50" s="2487"/>
      <c r="Y50" s="2487"/>
      <c r="Z50" s="2487"/>
      <c r="AA50" s="2487"/>
      <c r="AB50" s="2487"/>
    </row>
    <row r="51" spans="1:29" ht="5.0999999999999996" customHeight="1">
      <c r="A51" s="532"/>
      <c r="T51" s="531"/>
    </row>
    <row r="52" spans="1:29" ht="18" customHeight="1">
      <c r="A52" s="532"/>
      <c r="B52" s="529" t="s">
        <v>1011</v>
      </c>
      <c r="C52" s="528" t="s">
        <v>165</v>
      </c>
      <c r="G52" s="3153" t="str">
        <f>IF(G20="Rock"," ",IF('Design Details &amp; Summary'!AA77=0,"",IF('Design Details &amp; Summary'!AA77=2,'Design Details &amp; Summary'!O83,"")))</f>
        <v/>
      </c>
      <c r="H52" s="3154"/>
      <c r="I52" s="3154"/>
      <c r="J52" s="3154"/>
      <c r="K52" s="3154"/>
      <c r="L52" s="3154"/>
      <c r="M52" s="3155"/>
      <c r="O52" s="3030" t="s">
        <v>1247</v>
      </c>
      <c r="P52" s="3030"/>
      <c r="Q52" s="3030"/>
      <c r="R52" s="3030"/>
      <c r="S52" s="1905"/>
      <c r="T52" s="531"/>
      <c r="W52" s="3014" t="s">
        <v>122</v>
      </c>
      <c r="X52" s="3015"/>
      <c r="Y52" s="3015"/>
      <c r="Z52" s="1521">
        <v>8</v>
      </c>
    </row>
    <row r="53" spans="1:29" ht="5.0999999999999996" customHeight="1">
      <c r="A53" s="532"/>
      <c r="O53" s="3030"/>
      <c r="P53" s="3030"/>
      <c r="Q53" s="3030"/>
      <c r="R53" s="3030"/>
      <c r="S53" s="1905"/>
      <c r="T53" s="531"/>
      <c r="W53" s="1519"/>
      <c r="Z53" s="1517"/>
    </row>
    <row r="54" spans="1:29" ht="18" customHeight="1">
      <c r="A54" s="532"/>
      <c r="B54" s="529" t="s">
        <v>1019</v>
      </c>
      <c r="C54" s="528" t="s">
        <v>1101</v>
      </c>
      <c r="G54" s="530"/>
      <c r="H54" s="530"/>
      <c r="I54" s="527"/>
      <c r="J54" s="527"/>
      <c r="K54" s="527"/>
      <c r="L54" s="3001">
        <f>G31</f>
        <v>0</v>
      </c>
      <c r="M54" s="3001"/>
      <c r="N54" s="528" t="s">
        <v>609</v>
      </c>
      <c r="O54" s="3030"/>
      <c r="P54" s="3030"/>
      <c r="Q54" s="3030"/>
      <c r="R54" s="3030"/>
      <c r="S54" s="1905"/>
      <c r="T54" s="531"/>
      <c r="W54" s="2486" t="s">
        <v>1293</v>
      </c>
      <c r="X54" s="2487"/>
      <c r="Y54" s="2487"/>
      <c r="Z54" s="1517">
        <v>6</v>
      </c>
    </row>
    <row r="55" spans="1:29" ht="5.0999999999999996" customHeight="1">
      <c r="A55" s="532"/>
      <c r="O55" s="3030"/>
      <c r="P55" s="3030"/>
      <c r="Q55" s="3030"/>
      <c r="R55" s="3030"/>
      <c r="S55" s="1905"/>
      <c r="T55" s="531"/>
      <c r="W55" s="1519"/>
      <c r="Z55" s="1517"/>
    </row>
    <row r="56" spans="1:29" ht="18" customHeight="1">
      <c r="A56" s="532"/>
      <c r="B56" s="529" t="s">
        <v>1168</v>
      </c>
      <c r="C56" s="528" t="s">
        <v>1102</v>
      </c>
      <c r="F56" s="528" t="s">
        <v>1294</v>
      </c>
      <c r="G56" s="530"/>
      <c r="H56" s="3128" t="str">
        <f>M33</f>
        <v/>
      </c>
      <c r="I56" s="3128"/>
      <c r="J56" s="527"/>
      <c r="K56" s="527"/>
      <c r="L56" s="3151"/>
      <c r="M56" s="3151"/>
      <c r="N56" s="528" t="s">
        <v>609</v>
      </c>
      <c r="O56" s="3030"/>
      <c r="P56" s="3030"/>
      <c r="Q56" s="3030"/>
      <c r="R56" s="3030"/>
      <c r="S56" s="1905"/>
      <c r="T56" s="531"/>
      <c r="W56" s="2486" t="s">
        <v>1295</v>
      </c>
      <c r="X56" s="2487"/>
      <c r="Y56" s="2487"/>
      <c r="Z56" s="1517">
        <v>12</v>
      </c>
    </row>
    <row r="57" spans="1:29" ht="5.0999999999999996" customHeight="1">
      <c r="A57" s="532"/>
      <c r="T57" s="531"/>
      <c r="W57" s="1519"/>
      <c r="Z57" s="1517"/>
    </row>
    <row r="58" spans="1:29" ht="19.350000000000001" customHeight="1">
      <c r="A58" s="532"/>
      <c r="B58" s="529" t="s">
        <v>1296</v>
      </c>
      <c r="C58" s="528" t="s">
        <v>1297</v>
      </c>
      <c r="L58" s="3152"/>
      <c r="M58" s="3152"/>
      <c r="N58" s="528" t="s">
        <v>629</v>
      </c>
      <c r="T58" s="531"/>
      <c r="W58" s="3051" t="s">
        <v>260</v>
      </c>
      <c r="X58" s="3052"/>
      <c r="Y58" s="3052"/>
      <c r="Z58" s="1522">
        <v>6</v>
      </c>
    </row>
    <row r="59" spans="1:29" ht="6" customHeight="1" thickBot="1">
      <c r="A59" s="668"/>
      <c r="B59" s="546"/>
      <c r="C59" s="669"/>
      <c r="D59" s="669"/>
      <c r="E59" s="669"/>
      <c r="F59" s="669"/>
      <c r="G59" s="669"/>
      <c r="H59" s="669"/>
      <c r="I59" s="669"/>
      <c r="J59" s="669"/>
      <c r="K59" s="669"/>
      <c r="L59" s="544"/>
      <c r="M59" s="544"/>
      <c r="N59" s="669"/>
      <c r="O59" s="669"/>
      <c r="P59" s="669"/>
      <c r="Q59" s="669"/>
      <c r="R59" s="669"/>
      <c r="S59" s="669"/>
      <c r="T59" s="670"/>
    </row>
    <row r="60" spans="1:29" ht="18" customHeight="1" thickBot="1">
      <c r="A60" s="1197" t="s">
        <v>498</v>
      </c>
      <c r="B60" s="1198"/>
      <c r="C60" s="1198" t="s">
        <v>1251</v>
      </c>
      <c r="D60" s="1350"/>
      <c r="E60" s="1350"/>
      <c r="F60" s="1350"/>
      <c r="G60" s="1350"/>
      <c r="H60" s="1350"/>
      <c r="I60" s="1350"/>
      <c r="J60" s="1350"/>
      <c r="K60" s="1350"/>
      <c r="L60" s="1350"/>
      <c r="M60" s="1350"/>
      <c r="N60" s="1351"/>
      <c r="O60" s="1351"/>
      <c r="P60" s="1350"/>
      <c r="Q60" s="3035" t="s">
        <v>1164</v>
      </c>
      <c r="R60" s="3035"/>
      <c r="S60" s="3038" t="str">
        <f>IF(ISBLANK('Design Details &amp; Summary'!S3)," ",'Design Details &amp; Summary'!S3)</f>
        <v xml:space="preserve"> </v>
      </c>
      <c r="T60" s="3129"/>
      <c r="U60" s="527"/>
      <c r="X60" s="1523"/>
      <c r="Y60" s="1523"/>
      <c r="Z60" s="1523"/>
      <c r="AA60" s="1523"/>
      <c r="AB60" s="1523"/>
      <c r="AC60" s="1523"/>
    </row>
    <row r="61" spans="1:29" ht="3.6" customHeight="1">
      <c r="A61" s="532"/>
      <c r="G61" s="530"/>
      <c r="H61" s="530"/>
      <c r="I61" s="527"/>
      <c r="J61" s="527"/>
      <c r="K61" s="527"/>
      <c r="L61" s="1973"/>
      <c r="M61" s="1973"/>
      <c r="T61" s="531"/>
      <c r="X61" s="1523"/>
      <c r="Y61" s="1523"/>
      <c r="Z61" s="1523"/>
      <c r="AA61" s="1523"/>
      <c r="AB61" s="1523"/>
      <c r="AC61" s="1523"/>
    </row>
    <row r="62" spans="1:29" ht="18" customHeight="1">
      <c r="A62" s="532"/>
      <c r="C62" s="672" t="s">
        <v>1298</v>
      </c>
      <c r="D62" s="1268"/>
      <c r="E62" s="1268"/>
      <c r="F62" s="527"/>
      <c r="G62" s="3137"/>
      <c r="H62" s="3137"/>
      <c r="I62" s="527"/>
      <c r="J62" s="2487"/>
      <c r="K62" s="2487"/>
      <c r="L62" s="1981"/>
      <c r="M62" s="1973"/>
      <c r="T62" s="531"/>
      <c r="X62" s="1523"/>
      <c r="Y62" s="3146"/>
      <c r="Z62" s="3146"/>
      <c r="AA62" s="3146"/>
      <c r="AB62" s="1523"/>
      <c r="AC62" s="1523"/>
    </row>
    <row r="63" spans="1:29" ht="21" customHeight="1">
      <c r="A63" s="532"/>
      <c r="N63" s="1"/>
      <c r="O63" s="3118"/>
      <c r="P63" s="3118"/>
      <c r="Q63" s="3118"/>
      <c r="R63" s="3118"/>
      <c r="S63" s="3118"/>
      <c r="T63" s="3119"/>
      <c r="X63" s="1523"/>
      <c r="Y63" s="1523"/>
    </row>
    <row r="64" spans="1:29" ht="6.75" customHeight="1">
      <c r="A64" s="532"/>
      <c r="S64" s="527"/>
      <c r="T64" s="531"/>
    </row>
    <row r="65" spans="1:31" ht="21" customHeight="1">
      <c r="A65" s="532"/>
      <c r="B65" s="528"/>
      <c r="M65" s="2998" t="s">
        <v>1254</v>
      </c>
      <c r="N65" s="2998"/>
      <c r="O65" s="2998"/>
      <c r="P65" s="3029"/>
      <c r="Q65" s="3029"/>
      <c r="R65" s="3029"/>
      <c r="S65" s="1260"/>
      <c r="T65" s="531"/>
    </row>
    <row r="66" spans="1:31" ht="11.1" customHeight="1">
      <c r="A66" s="532"/>
      <c r="B66" s="528"/>
      <c r="M66" s="2998"/>
      <c r="N66" s="2998"/>
      <c r="O66" s="2998"/>
      <c r="S66" s="527"/>
      <c r="T66" s="531"/>
    </row>
    <row r="67" spans="1:31" ht="21" customHeight="1">
      <c r="A67" s="532"/>
      <c r="B67" s="528"/>
      <c r="P67" s="3120" t="s">
        <v>1255</v>
      </c>
      <c r="Q67" s="3120"/>
      <c r="R67" s="3120"/>
      <c r="S67" s="3120"/>
      <c r="T67" s="3121"/>
    </row>
    <row r="68" spans="1:31" ht="18" customHeight="1">
      <c r="A68" s="532"/>
      <c r="T68" s="531"/>
    </row>
    <row r="69" spans="1:31" ht="21" customHeight="1">
      <c r="A69" s="532"/>
      <c r="M69" s="2844" t="str">
        <f>IF(ISBLANK(G18)," ",IF(G20="Rock",(G41),(IF(G20="REGISTERED PRODUCT:",L58," "))))</f>
        <v xml:space="preserve"> </v>
      </c>
      <c r="N69" s="2848"/>
      <c r="O69" s="3111" t="s">
        <v>1257</v>
      </c>
      <c r="P69" s="3111"/>
      <c r="Q69" s="3111"/>
      <c r="S69" s="1380" t="str">
        <f>IF(ISBLANK(G18)," ",S71+M69/12)</f>
        <v xml:space="preserve"> </v>
      </c>
      <c r="T69" s="531" t="s">
        <v>609</v>
      </c>
    </row>
    <row r="70" spans="1:31" ht="18" customHeight="1">
      <c r="A70" s="532"/>
      <c r="M70" s="654"/>
      <c r="N70" s="654"/>
      <c r="O70" s="3111"/>
      <c r="P70" s="3111"/>
      <c r="Q70" s="3111"/>
      <c r="S70" s="1554"/>
      <c r="T70" s="531"/>
    </row>
    <row r="71" spans="1:31" ht="21" customHeight="1">
      <c r="A71" s="532"/>
      <c r="M71" s="3065" t="str">
        <f>IF(ISBLANK(G18)," ",P6)</f>
        <v xml:space="preserve"> </v>
      </c>
      <c r="N71" s="3066"/>
      <c r="O71" s="528" t="s">
        <v>1299</v>
      </c>
      <c r="S71" s="1380" t="str">
        <f>IF(ISBLANK(G18)," ",'Design Details &amp; Summary'!K98+(H6/12)-(P6/12))</f>
        <v xml:space="preserve"> </v>
      </c>
      <c r="T71" s="531" t="s">
        <v>609</v>
      </c>
    </row>
    <row r="72" spans="1:31" ht="21.75" customHeight="1">
      <c r="A72" s="532"/>
      <c r="M72" s="654"/>
      <c r="N72" s="654"/>
      <c r="S72" s="1554"/>
      <c r="T72" s="531"/>
    </row>
    <row r="73" spans="1:31" ht="21" customHeight="1">
      <c r="A73" s="532"/>
      <c r="G73" s="2958" t="str">
        <f>IF(G20="Rock",G31,(IF(G20="REGISTERED PRODUCT:",L54," ")))</f>
        <v xml:space="preserve"> </v>
      </c>
      <c r="H73" s="2959"/>
      <c r="I73" s="528" t="s">
        <v>1300</v>
      </c>
      <c r="M73" s="3025" t="str">
        <f>IF(ISBLANK(G18)," ",'Design Details &amp; Summary'!G96)</f>
        <v xml:space="preserve"> </v>
      </c>
      <c r="N73" s="3026"/>
      <c r="O73" s="528" t="s">
        <v>1261</v>
      </c>
      <c r="P73" s="548"/>
      <c r="Q73" s="548"/>
      <c r="S73" s="1380" t="str">
        <f>IF(ISBLANK(G18)," ",('Design Details &amp; Summary'!K96)+S75)</f>
        <v xml:space="preserve"> </v>
      </c>
      <c r="T73" s="531" t="s">
        <v>609</v>
      </c>
      <c r="X73" s="3134"/>
      <c r="Y73" s="3134"/>
      <c r="AA73" s="548"/>
      <c r="AB73" s="548"/>
      <c r="AD73" s="3134"/>
      <c r="AE73" s="3134"/>
    </row>
    <row r="74" spans="1:31" ht="6.75" customHeight="1">
      <c r="A74" s="532"/>
      <c r="G74" s="527"/>
      <c r="H74" s="527"/>
      <c r="M74" s="1260"/>
      <c r="N74" s="1260"/>
      <c r="S74" s="1554"/>
      <c r="T74" s="531"/>
      <c r="X74" s="1515"/>
      <c r="Y74" s="1515"/>
      <c r="AA74" s="548"/>
      <c r="AB74" s="548"/>
      <c r="AD74" s="1515"/>
      <c r="AE74" s="1515"/>
    </row>
    <row r="75" spans="1:31" ht="21" customHeight="1">
      <c r="A75" s="532"/>
      <c r="G75" s="527"/>
      <c r="H75" s="527"/>
      <c r="M75" s="3065" t="str">
        <f>IF(ISBLANK(G18)," ",'Design Details &amp; Summary'!G94)</f>
        <v xml:space="preserve"> </v>
      </c>
      <c r="N75" s="3066"/>
      <c r="O75" s="528" t="s">
        <v>1262</v>
      </c>
      <c r="S75" s="1380" t="str">
        <f>IF(ISBLANK(G18)," ",'Design Details &amp; Summary'!M94)</f>
        <v xml:space="preserve"> </v>
      </c>
      <c r="T75" s="531" t="s">
        <v>609</v>
      </c>
      <c r="X75" s="1515"/>
      <c r="Y75" s="1515"/>
      <c r="AA75" s="548"/>
      <c r="AB75" s="548"/>
      <c r="AD75" s="1515"/>
      <c r="AE75" s="1515"/>
    </row>
    <row r="76" spans="1:31" ht="6.75" customHeight="1">
      <c r="A76" s="532"/>
      <c r="M76" s="527"/>
      <c r="N76" s="527"/>
      <c r="T76" s="531"/>
      <c r="AA76" s="548"/>
      <c r="AB76" s="548"/>
    </row>
    <row r="77" spans="1:31" ht="18" customHeight="1">
      <c r="A77" s="532"/>
      <c r="C77" s="672" t="s">
        <v>1301</v>
      </c>
      <c r="T77" s="531"/>
    </row>
    <row r="78" spans="1:31" ht="18" customHeight="1">
      <c r="A78" s="532"/>
      <c r="C78" s="1203"/>
      <c r="D78" s="3137"/>
      <c r="E78" s="3137"/>
      <c r="H78" s="533"/>
      <c r="I78" s="3047"/>
      <c r="J78" s="3047"/>
      <c r="K78" s="3010"/>
      <c r="L78" s="3139"/>
      <c r="M78" s="1982"/>
      <c r="Q78" s="3064" t="s">
        <v>1302</v>
      </c>
      <c r="R78" s="3064"/>
      <c r="S78" s="3064"/>
      <c r="T78" s="531"/>
    </row>
    <row r="79" spans="1:31" ht="18" customHeight="1">
      <c r="A79" s="532"/>
      <c r="B79" s="3130" t="s">
        <v>1303</v>
      </c>
      <c r="C79" s="3130"/>
      <c r="D79" s="3130"/>
      <c r="E79" s="3130"/>
      <c r="F79" s="3130"/>
      <c r="G79" s="530"/>
      <c r="H79" s="530"/>
      <c r="I79" s="527"/>
      <c r="J79" s="527"/>
      <c r="K79" s="527"/>
      <c r="L79" s="1973"/>
      <c r="M79" s="1973"/>
      <c r="Q79" s="3064"/>
      <c r="R79" s="3064"/>
      <c r="S79" s="3064"/>
      <c r="T79" s="531"/>
    </row>
    <row r="80" spans="1:31" ht="18" customHeight="1">
      <c r="A80" s="532"/>
      <c r="B80" s="3130"/>
      <c r="C80" s="3130"/>
      <c r="D80" s="3130"/>
      <c r="E80" s="3130"/>
      <c r="F80" s="3130"/>
      <c r="G80" s="530"/>
      <c r="H80" s="530"/>
      <c r="I80" s="527"/>
      <c r="J80" s="527"/>
      <c r="K80" s="527"/>
      <c r="L80" s="1973"/>
      <c r="M80" s="1973"/>
      <c r="T80" s="531"/>
    </row>
    <row r="81" spans="1:27" ht="18" customHeight="1">
      <c r="A81" s="532"/>
      <c r="B81" s="3130"/>
      <c r="C81" s="3130"/>
      <c r="D81" s="3130"/>
      <c r="E81" s="3130"/>
      <c r="F81" s="3130"/>
      <c r="G81" s="530"/>
      <c r="H81" s="530"/>
      <c r="I81" s="527"/>
      <c r="J81" s="527"/>
      <c r="K81" s="527"/>
      <c r="L81" s="1973"/>
      <c r="M81" s="1973"/>
      <c r="Q81" s="3065" t="str">
        <f>IF(G20="Rock",G31,(IF(G20="REGISTERED PRODUCT:",L54," ")))</f>
        <v xml:space="preserve"> </v>
      </c>
      <c r="R81" s="3066"/>
      <c r="S81" s="528" t="s">
        <v>1304</v>
      </c>
      <c r="T81" s="531"/>
    </row>
    <row r="82" spans="1:27" ht="18" customHeight="1">
      <c r="A82" s="532"/>
      <c r="C82" s="528" t="s">
        <v>977</v>
      </c>
      <c r="G82" s="530"/>
      <c r="H82" s="530"/>
      <c r="I82" s="527"/>
      <c r="J82" s="527"/>
      <c r="K82" s="527"/>
      <c r="L82" s="1973"/>
      <c r="M82" s="1973"/>
      <c r="T82" s="531"/>
    </row>
    <row r="83" spans="1:27" ht="18" customHeight="1">
      <c r="A83" s="532"/>
      <c r="G83" s="530"/>
      <c r="H83" s="530"/>
      <c r="I83" s="527"/>
      <c r="J83" s="527"/>
      <c r="K83" s="527"/>
      <c r="L83" s="1973"/>
      <c r="M83" s="1973"/>
      <c r="T83" s="531"/>
    </row>
    <row r="84" spans="1:27" ht="18" customHeight="1">
      <c r="A84" s="532"/>
      <c r="G84" s="530"/>
      <c r="H84" s="530"/>
      <c r="I84" s="527"/>
      <c r="J84" s="527"/>
      <c r="K84" s="527"/>
      <c r="L84" s="1973"/>
      <c r="M84" s="1973"/>
      <c r="T84" s="531"/>
    </row>
    <row r="85" spans="1:27" ht="11.1" customHeight="1">
      <c r="A85" s="532"/>
      <c r="G85" s="530"/>
      <c r="H85" s="530"/>
      <c r="I85" s="527"/>
      <c r="J85" s="527"/>
      <c r="K85" s="527"/>
      <c r="L85" s="1973"/>
      <c r="M85" s="1973"/>
      <c r="Q85" s="3029" t="s">
        <v>1305</v>
      </c>
      <c r="R85" s="3029"/>
      <c r="S85" s="3029"/>
      <c r="T85" s="531"/>
    </row>
    <row r="86" spans="1:27" ht="18" customHeight="1">
      <c r="A86" s="532"/>
      <c r="J86" s="3065" t="str">
        <f>IF(G20="Rock",M33,(IF(G20="REGISTERED PRODUCT:",L56," ")))</f>
        <v xml:space="preserve"> </v>
      </c>
      <c r="K86" s="3066"/>
      <c r="L86" s="528" t="s">
        <v>1306</v>
      </c>
      <c r="M86" s="1973"/>
      <c r="R86" s="3062" t="str">
        <f>IF('Design Details &amp; Summary'!AA77=2,(J29)," ")</f>
        <v xml:space="preserve"> </v>
      </c>
      <c r="S86" s="3063"/>
      <c r="T86" s="531"/>
      <c r="Y86" s="3137"/>
      <c r="Z86" s="2487"/>
      <c r="AA86" s="2487"/>
    </row>
    <row r="87" spans="1:27" ht="18" customHeight="1">
      <c r="A87" s="532"/>
      <c r="J87" s="527"/>
      <c r="K87" s="527"/>
      <c r="M87" s="1973"/>
      <c r="R87" s="527"/>
      <c r="S87" s="527"/>
      <c r="T87" s="531"/>
    </row>
    <row r="88" spans="1:27" ht="18" customHeight="1">
      <c r="A88" s="532"/>
      <c r="B88" s="528"/>
      <c r="I88" s="527"/>
      <c r="J88" s="527"/>
      <c r="K88" s="527"/>
      <c r="T88" s="531"/>
    </row>
    <row r="89" spans="1:27" ht="18" customHeight="1">
      <c r="A89" s="532"/>
      <c r="B89" s="528"/>
      <c r="C89" s="3131" t="s">
        <v>1049</v>
      </c>
      <c r="D89" s="3131"/>
      <c r="E89" s="3131"/>
      <c r="F89" s="2958" t="str">
        <f>IF(G20="Rock",G20,(IF(G20="REGISTERED PRODUCT:",N20," ")))</f>
        <v xml:space="preserve"> </v>
      </c>
      <c r="G89" s="3028"/>
      <c r="H89" s="3028"/>
      <c r="I89" s="2959"/>
      <c r="K89" s="3132" t="s">
        <v>1307</v>
      </c>
      <c r="L89" s="3132"/>
      <c r="M89" s="3132"/>
      <c r="N89" s="3133"/>
      <c r="O89" s="3058" t="str">
        <f>IF('Design Details &amp; Summary'!AA77=2,'Pres. Dist. STA'!I35,"")</f>
        <v/>
      </c>
      <c r="P89" s="2959"/>
      <c r="T89" s="531"/>
      <c r="Y89" s="3138"/>
      <c r="Z89" s="3138"/>
      <c r="AA89" s="3138"/>
    </row>
    <row r="90" spans="1:27" ht="6" customHeight="1">
      <c r="A90" s="532"/>
      <c r="B90" s="527"/>
      <c r="C90" s="527"/>
      <c r="D90" s="527"/>
      <c r="E90" s="527"/>
      <c r="F90" s="1203"/>
      <c r="G90" s="1203"/>
      <c r="H90" s="1203"/>
      <c r="I90" s="1203"/>
      <c r="J90" s="1984"/>
      <c r="K90" s="1984"/>
      <c r="L90" s="1984"/>
      <c r="M90" s="1984"/>
      <c r="N90" s="1554"/>
      <c r="O90" s="527"/>
      <c r="T90" s="531"/>
    </row>
    <row r="91" spans="1:27" ht="18" customHeight="1">
      <c r="A91" s="532"/>
      <c r="B91" s="2487" t="s">
        <v>1308</v>
      </c>
      <c r="C91" s="2487"/>
      <c r="D91" s="2487"/>
      <c r="E91" s="2487"/>
      <c r="F91" s="1205" t="str">
        <f>IF('Design Details &amp; Summary'!AA77=2,'Pres. Dist. STA'!I31,"")</f>
        <v/>
      </c>
      <c r="G91" s="528" t="s">
        <v>1309</v>
      </c>
      <c r="H91" s="1203"/>
      <c r="K91" s="3135" t="s">
        <v>1310</v>
      </c>
      <c r="L91" s="3135"/>
      <c r="M91" s="3135"/>
      <c r="N91" s="3136"/>
      <c r="O91" s="1205" t="str">
        <f>IF('Design Details &amp; Summary'!AA77=2,('Pres. Dist. STA'!I21)*12,"")</f>
        <v/>
      </c>
      <c r="P91" s="528" t="s">
        <v>1309</v>
      </c>
      <c r="T91" s="531"/>
    </row>
    <row r="92" spans="1:27" ht="6" customHeight="1">
      <c r="A92" s="532"/>
      <c r="T92" s="531"/>
    </row>
    <row r="93" spans="1:27" ht="9" customHeight="1">
      <c r="A93" s="532"/>
      <c r="B93" s="528"/>
      <c r="T93" s="531"/>
    </row>
    <row r="94" spans="1:27" ht="6" customHeight="1">
      <c r="A94" s="532"/>
      <c r="F94" s="527"/>
      <c r="T94" s="531"/>
    </row>
    <row r="95" spans="1:27" ht="12" customHeight="1">
      <c r="A95" s="532"/>
      <c r="B95" s="529" t="s">
        <v>719</v>
      </c>
      <c r="T95" s="531"/>
    </row>
    <row r="96" spans="1:27" ht="42.75" customHeight="1">
      <c r="A96" s="532"/>
      <c r="B96" s="3127"/>
      <c r="C96" s="3127"/>
      <c r="D96" s="3127"/>
      <c r="E96" s="3127"/>
      <c r="F96" s="3127"/>
      <c r="G96" s="3127"/>
      <c r="H96" s="3127"/>
      <c r="I96" s="3127"/>
      <c r="J96" s="3127"/>
      <c r="K96" s="3127"/>
      <c r="L96" s="3127"/>
      <c r="M96" s="3127"/>
      <c r="N96" s="3127"/>
      <c r="O96" s="3127"/>
      <c r="P96" s="3127"/>
      <c r="Q96" s="3127"/>
      <c r="R96" s="3127"/>
      <c r="S96" s="3127"/>
      <c r="T96" s="531"/>
    </row>
    <row r="97" spans="1:20" ht="42.75" customHeight="1">
      <c r="A97" s="532"/>
      <c r="B97" s="3127"/>
      <c r="C97" s="3127"/>
      <c r="D97" s="3127"/>
      <c r="E97" s="3127"/>
      <c r="F97" s="3127"/>
      <c r="G97" s="3127"/>
      <c r="H97" s="3127"/>
      <c r="I97" s="3127"/>
      <c r="J97" s="3127"/>
      <c r="K97" s="3127"/>
      <c r="L97" s="3127"/>
      <c r="M97" s="3127"/>
      <c r="N97" s="3127"/>
      <c r="O97" s="3127"/>
      <c r="P97" s="3127"/>
      <c r="Q97" s="3127"/>
      <c r="R97" s="3127"/>
      <c r="S97" s="3127"/>
      <c r="T97" s="531"/>
    </row>
    <row r="98" spans="1:20" ht="42.75" customHeight="1">
      <c r="A98" s="532"/>
      <c r="B98" s="3127"/>
      <c r="C98" s="3127"/>
      <c r="D98" s="3127"/>
      <c r="E98" s="3127"/>
      <c r="F98" s="3127"/>
      <c r="G98" s="3127"/>
      <c r="H98" s="3127"/>
      <c r="I98" s="3127"/>
      <c r="J98" s="3127"/>
      <c r="K98" s="3127"/>
      <c r="L98" s="3127"/>
      <c r="M98" s="3127"/>
      <c r="N98" s="3127"/>
      <c r="O98" s="3127"/>
      <c r="P98" s="3127"/>
      <c r="Q98" s="3127"/>
      <c r="R98" s="3127"/>
      <c r="S98" s="3127"/>
      <c r="T98" s="531"/>
    </row>
    <row r="99" spans="1:20" ht="42.75" customHeight="1">
      <c r="A99" s="532"/>
      <c r="B99" s="3127"/>
      <c r="C99" s="3127"/>
      <c r="D99" s="3127"/>
      <c r="E99" s="3127"/>
      <c r="F99" s="3127"/>
      <c r="G99" s="3127"/>
      <c r="H99" s="3127"/>
      <c r="I99" s="3127"/>
      <c r="J99" s="3127"/>
      <c r="K99" s="3127"/>
      <c r="L99" s="3127"/>
      <c r="M99" s="3127"/>
      <c r="N99" s="3127"/>
      <c r="O99" s="3127"/>
      <c r="P99" s="3127"/>
      <c r="Q99" s="3127"/>
      <c r="R99" s="3127"/>
      <c r="S99" s="3127"/>
      <c r="T99" s="531"/>
    </row>
    <row r="100" spans="1:20" ht="6" customHeight="1" thickBot="1">
      <c r="A100" s="668"/>
      <c r="B100" s="546"/>
      <c r="C100" s="669"/>
      <c r="D100" s="669"/>
      <c r="E100" s="669"/>
      <c r="F100" s="669"/>
      <c r="G100" s="669"/>
      <c r="H100" s="669"/>
      <c r="I100" s="669"/>
      <c r="J100" s="669"/>
      <c r="K100" s="669"/>
      <c r="L100" s="669"/>
      <c r="M100" s="669"/>
      <c r="N100" s="669"/>
      <c r="O100" s="669"/>
      <c r="P100" s="669"/>
      <c r="Q100" s="669"/>
      <c r="R100" s="669"/>
      <c r="S100" s="669"/>
      <c r="T100" s="670"/>
    </row>
  </sheetData>
  <sheetProtection sheet="1" objects="1" scenarios="1"/>
  <customSheetViews>
    <customSheetView guid="{D1431318-1DB8-4C45-813B-5A8065DFC797}" showPageBreaks="1" showGridLines="0" zeroValues="0" printArea="1" view="pageBreakPreview">
      <selection activeCell="P6" sqref="P6:Q6"/>
      <rowBreaks count="1" manualBreakCount="1">
        <brk id="63" max="18" man="1"/>
      </rowBreaks>
      <pageMargins left="0" right="0" top="0" bottom="0" header="0" footer="0"/>
      <printOptions horizontalCentered="1"/>
      <pageSetup scale="86" fitToHeight="2" orientation="portrait" blackAndWhite="1" r:id="rId1"/>
      <headerFooter alignWithMargins="0"/>
    </customSheetView>
  </customSheetViews>
  <mergeCells count="98">
    <mergeCell ref="C15:J16"/>
    <mergeCell ref="L15:M15"/>
    <mergeCell ref="F37:G37"/>
    <mergeCell ref="J37:K37"/>
    <mergeCell ref="O37:P37"/>
    <mergeCell ref="J29:K29"/>
    <mergeCell ref="G20:J20"/>
    <mergeCell ref="N20:R20"/>
    <mergeCell ref="J33:K33"/>
    <mergeCell ref="M33:N33"/>
    <mergeCell ref="G31:H31"/>
    <mergeCell ref="F33:G33"/>
    <mergeCell ref="K18:L18"/>
    <mergeCell ref="K20:M20"/>
    <mergeCell ref="G18:J18"/>
    <mergeCell ref="L23:S23"/>
    <mergeCell ref="G62:H62"/>
    <mergeCell ref="J62:K62"/>
    <mergeCell ref="G41:H41"/>
    <mergeCell ref="N43:O43"/>
    <mergeCell ref="L46:M46"/>
    <mergeCell ref="J43:K43"/>
    <mergeCell ref="L56:M56"/>
    <mergeCell ref="L58:M58"/>
    <mergeCell ref="G52:M52"/>
    <mergeCell ref="C42:P42"/>
    <mergeCell ref="N41:S41"/>
    <mergeCell ref="G29:H29"/>
    <mergeCell ref="W56:Y56"/>
    <mergeCell ref="L54:M54"/>
    <mergeCell ref="W58:Y58"/>
    <mergeCell ref="C48:S48"/>
    <mergeCell ref="J31:S31"/>
    <mergeCell ref="K40:N40"/>
    <mergeCell ref="P67:T67"/>
    <mergeCell ref="C29:D29"/>
    <mergeCell ref="G43:H43"/>
    <mergeCell ref="J41:K41"/>
    <mergeCell ref="W52:Y52"/>
    <mergeCell ref="W54:Y54"/>
    <mergeCell ref="I46:K46"/>
    <mergeCell ref="G46:H46"/>
    <mergeCell ref="D43:E43"/>
    <mergeCell ref="L43:M43"/>
    <mergeCell ref="E29:F29"/>
    <mergeCell ref="H33:I33"/>
    <mergeCell ref="O63:T63"/>
    <mergeCell ref="M65:O66"/>
    <mergeCell ref="V50:AB50"/>
    <mergeCell ref="Y62:AA62"/>
    <mergeCell ref="B91:E91"/>
    <mergeCell ref="D78:E78"/>
    <mergeCell ref="Y89:AA89"/>
    <mergeCell ref="M73:N73"/>
    <mergeCell ref="Q81:R81"/>
    <mergeCell ref="Q78:S79"/>
    <mergeCell ref="X73:Y73"/>
    <mergeCell ref="I78:J78"/>
    <mergeCell ref="K78:L78"/>
    <mergeCell ref="G73:H73"/>
    <mergeCell ref="Y86:AA86"/>
    <mergeCell ref="AD73:AE73"/>
    <mergeCell ref="M75:N75"/>
    <mergeCell ref="K91:N91"/>
    <mergeCell ref="O69:Q70"/>
    <mergeCell ref="M71:N71"/>
    <mergeCell ref="J11:K11"/>
    <mergeCell ref="B96:S99"/>
    <mergeCell ref="R86:S86"/>
    <mergeCell ref="Q85:S85"/>
    <mergeCell ref="H56:I56"/>
    <mergeCell ref="Q60:R60"/>
    <mergeCell ref="S60:T60"/>
    <mergeCell ref="B79:F81"/>
    <mergeCell ref="J86:K86"/>
    <mergeCell ref="F89:I89"/>
    <mergeCell ref="C89:E89"/>
    <mergeCell ref="K89:N89"/>
    <mergeCell ref="O52:R56"/>
    <mergeCell ref="O89:P89"/>
    <mergeCell ref="M69:N69"/>
    <mergeCell ref="P65:R65"/>
    <mergeCell ref="P6:Q6"/>
    <mergeCell ref="G1:M1"/>
    <mergeCell ref="G27:H27"/>
    <mergeCell ref="J27:R27"/>
    <mergeCell ref="K6:O6"/>
    <mergeCell ref="J2:K2"/>
    <mergeCell ref="Q2:T2"/>
    <mergeCell ref="H4:I4"/>
    <mergeCell ref="H6:I6"/>
    <mergeCell ref="M18:T18"/>
    <mergeCell ref="H8:I8"/>
    <mergeCell ref="C10:Q10"/>
    <mergeCell ref="C11:D11"/>
    <mergeCell ref="F11:G11"/>
    <mergeCell ref="H11:I11"/>
    <mergeCell ref="H2:I2"/>
  </mergeCells>
  <conditionalFormatting sqref="C23">
    <cfRule type="cellIs" dxfId="2" priority="1" stopIfTrue="1" operator="lessThanOrEqual">
      <formula>6</formula>
    </cfRule>
  </conditionalFormatting>
  <conditionalFormatting sqref="H6">
    <cfRule type="cellIs" dxfId="1" priority="5" stopIfTrue="1" operator="lessThanOrEqual">
      <formula>6</formula>
    </cfRule>
  </conditionalFormatting>
  <conditionalFormatting sqref="P22">
    <cfRule type="cellIs" dxfId="0" priority="2" stopIfTrue="1" operator="lessThanOrEqual">
      <formula>6</formula>
    </cfRule>
  </conditionalFormatting>
  <dataValidations xWindow="294" yWindow="385" count="8">
    <dataValidation type="decimal" allowBlank="1" showInputMessage="1" showErrorMessage="1" prompt="6&quot; minimum" sqref="G40" xr:uid="{00000000-0002-0000-1100-000000000000}">
      <formula1>6</formula1>
      <formula2>12</formula2>
    </dataValidation>
    <dataValidation type="list" allowBlank="1" showInputMessage="1" showErrorMessage="1" prompt="0.33 ft for pressure, 0.5 ft for gravity" sqref="G43:H43" xr:uid="{00000000-0002-0000-1100-000001000000}">
      <formula1>"0.33, 0.5"</formula1>
    </dataValidation>
    <dataValidation type="decimal" allowBlank="1" showInputMessage="1" showErrorMessage="1" error="Invalid Entry" prompt="Maximum width = 25 ft. (pressurized)                                            Maximum width = 12 ft. (gravity)" sqref="G31:H31 L54:L55 M55" xr:uid="{00000000-0002-0000-1100-000002000000}">
      <formula1>3</formula1>
      <formula2>25</formula2>
    </dataValidation>
    <dataValidation type="list" allowBlank="1" showInputMessage="1" showErrorMessage="1" sqref="G27:H27" xr:uid="{00000000-0002-0000-1100-000003000000}">
      <formula1>"1.0,1.5"</formula1>
    </dataValidation>
    <dataValidation type="list" allowBlank="1" showInputMessage="1" sqref="L23" xr:uid="{00000000-0002-0000-1100-000004000000}">
      <formula1>Sandy_Soil_Options</formula1>
    </dataValidation>
    <dataValidation type="decimal" showInputMessage="1" showErrorMessage="1" error="Length below minimum" sqref="L56:M56" xr:uid="{00000000-0002-0000-1100-000005000000}">
      <formula1>M33</formula1>
      <formula2>100</formula2>
    </dataValidation>
    <dataValidation allowBlank="1" showErrorMessage="1" sqref="S20" xr:uid="{00000000-0002-0000-1100-000006000000}"/>
    <dataValidation allowBlank="1" showInputMessage="1" showErrorMessage="1" promptTitle="Registered Distribution Media" prompt="Type of Registered Distribution Media" sqref="N20:R20" xr:uid="{00000000-0002-0000-1100-000007000000}"/>
  </dataValidations>
  <printOptions horizontalCentered="1"/>
  <pageMargins left="0.4" right="0.4" top="0.4" bottom="0.4" header="0.4" footer="0.5"/>
  <pageSetup scale="83" fitToHeight="2" orientation="portrait" blackAndWhite="1" r:id="rId2"/>
  <headerFooter alignWithMargins="0"/>
  <rowBreaks count="1" manualBreakCount="1">
    <brk id="59" max="19" man="1"/>
  </rowBreaks>
  <drawing r:id="rId3"/>
  <extLst>
    <ext xmlns:x14="http://schemas.microsoft.com/office/spreadsheetml/2009/9/main" uri="{CCE6A557-97BC-4b89-ADB6-D9C93CAAB3DF}">
      <x14:dataValidations xmlns:xm="http://schemas.microsoft.com/office/excel/2006/main" xWindow="294" yWindow="385" count="3">
        <x14:dataValidation type="list" allowBlank="1" showInputMessage="1" showErrorMessage="1" prompt="Bed Distribution" xr:uid="{00000000-0002-0000-1100-000009000000}">
          <x14:formula1>
            <xm:f>'Drop-Down Lists'!$BN$2:$BN$3</xm:f>
          </x14:formula1>
          <xm:sqref>G18:J18</xm:sqref>
        </x14:dataValidation>
        <x14:dataValidation type="list" allowBlank="1" xr:uid="{00000000-0002-0000-1100-00000A000000}">
          <x14:formula1>
            <xm:f>'Drop-Down Lists'!$BL$2:$BL$5</xm:f>
          </x14:formula1>
          <xm:sqref>G52:M52</xm:sqref>
        </x14:dataValidation>
        <x14:dataValidation type="list" allowBlank="1" showInputMessage="1" prompt="Inches of rock below the distribution pipe (6 inches minimum)." xr:uid="{00000000-0002-0000-1100-000008000000}">
          <x14:formula1>
            <xm:f>'Drop-Down Lists'!$BC$7:$BC$13</xm:f>
          </x14:formula1>
          <xm:sqref>G41:H41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tabColor theme="9" tint="0.39997558519241921"/>
  </sheetPr>
  <dimension ref="A1:AU208"/>
  <sheetViews>
    <sheetView showGridLines="0" view="pageBreakPreview" zoomScaleNormal="100" zoomScaleSheetLayoutView="100" workbookViewId="0">
      <selection activeCell="M6" sqref="M6"/>
    </sheetView>
  </sheetViews>
  <sheetFormatPr defaultColWidth="4.42578125" defaultRowHeight="14.1" customHeight="1"/>
  <cols>
    <col min="1" max="1" width="2.42578125" style="8" customWidth="1"/>
    <col min="2" max="2" width="2.42578125" style="1" customWidth="1"/>
    <col min="3" max="14" width="7.42578125" style="1" customWidth="1"/>
    <col min="15" max="17" width="7.42578125" style="480" customWidth="1"/>
    <col min="18" max="33" width="5.42578125" style="1" customWidth="1"/>
    <col min="34" max="35" width="5.42578125" style="63" customWidth="1"/>
    <col min="36" max="40" width="5.42578125" style="1" customWidth="1"/>
    <col min="41" max="41" width="4.42578125" style="1"/>
    <col min="42" max="42" width="4.42578125" style="1" bestFit="1" customWidth="1"/>
    <col min="43" max="44" width="5.140625" style="1" bestFit="1" customWidth="1"/>
    <col min="45" max="45" width="6.42578125" style="1" customWidth="1"/>
    <col min="46" max="16384" width="4.42578125" style="1"/>
  </cols>
  <sheetData>
    <row r="1" spans="1:47" ht="54.95" customHeight="1" thickBot="1">
      <c r="B1" s="555"/>
      <c r="C1" s="555"/>
      <c r="D1" s="555"/>
      <c r="E1" s="3176" t="s">
        <v>1311</v>
      </c>
      <c r="F1" s="3176"/>
      <c r="G1" s="3176"/>
      <c r="H1" s="3176"/>
      <c r="I1" s="3176"/>
      <c r="J1" s="3176"/>
      <c r="K1" s="767"/>
      <c r="L1" s="767"/>
      <c r="M1" s="767"/>
      <c r="N1" s="555"/>
      <c r="O1" s="570"/>
      <c r="P1" s="570"/>
      <c r="Q1" s="570"/>
      <c r="R1" s="556"/>
      <c r="S1" s="556"/>
      <c r="T1" s="556"/>
      <c r="U1" s="556"/>
      <c r="V1" s="22"/>
      <c r="W1" s="557"/>
      <c r="AJ1" s="1426"/>
      <c r="AK1" s="37"/>
      <c r="AL1" s="37"/>
      <c r="AM1" s="37"/>
      <c r="AN1" s="37"/>
      <c r="AO1" s="37"/>
      <c r="AP1" s="37"/>
      <c r="AQ1" s="37"/>
      <c r="AR1" s="37"/>
      <c r="AS1" s="37"/>
      <c r="AT1" s="37"/>
      <c r="AU1" s="1427"/>
    </row>
    <row r="2" spans="1:47" ht="16.350000000000001" customHeight="1" thickBot="1">
      <c r="A2" s="558" t="s">
        <v>475</v>
      </c>
      <c r="B2" s="445"/>
      <c r="C2" s="1366" t="s">
        <v>1312</v>
      </c>
      <c r="D2" s="1366"/>
      <c r="E2" s="1366"/>
      <c r="F2" s="1366"/>
      <c r="G2" s="1366"/>
      <c r="H2" s="1366"/>
      <c r="I2" s="3177" t="s">
        <v>1164</v>
      </c>
      <c r="J2" s="3177"/>
      <c r="K2" s="3178" t="str">
        <f>IF(ISBLANK('Design Details &amp; Summary'!S3)," ",'Design Details &amp; Summary'!S3)</f>
        <v xml:space="preserve"> </v>
      </c>
      <c r="L2" s="3178"/>
      <c r="M2" s="1366"/>
      <c r="N2" s="761" t="str">
        <f>'Drop-Down Lists'!A2</f>
        <v>v 05.01.2026</v>
      </c>
      <c r="O2" s="568"/>
      <c r="P2" s="568"/>
      <c r="R2" s="8"/>
      <c r="AJ2" s="47"/>
      <c r="AQ2" s="63">
        <v>0</v>
      </c>
      <c r="AR2" s="1428">
        <v>4</v>
      </c>
      <c r="AS2" s="21">
        <v>4</v>
      </c>
      <c r="AU2" s="1429"/>
    </row>
    <row r="3" spans="1:47" ht="6" customHeight="1">
      <c r="A3" s="559"/>
      <c r="N3" s="2"/>
      <c r="AH3" s="1"/>
      <c r="AI3" s="1"/>
      <c r="AJ3" s="47"/>
      <c r="AQ3" s="64">
        <v>1</v>
      </c>
      <c r="AR3" s="1428">
        <v>3.85</v>
      </c>
      <c r="AS3" s="21">
        <v>4.0999999999999996</v>
      </c>
      <c r="AU3" s="1429"/>
    </row>
    <row r="4" spans="1:47" ht="18" customHeight="1">
      <c r="A4" s="516"/>
      <c r="B4" s="8" t="s">
        <v>1011</v>
      </c>
      <c r="C4" s="8" t="s">
        <v>582</v>
      </c>
      <c r="D4" s="8"/>
      <c r="E4" s="8"/>
      <c r="F4" s="3165" t="str">
        <f>IF('Design Details &amp; Summary'!AA77=0,"",IF('Design Details &amp; Summary'!AA77=3,'Design Details &amp; Summary'!I11,""))</f>
        <v/>
      </c>
      <c r="G4" s="3166"/>
      <c r="H4" s="8" t="s">
        <v>583</v>
      </c>
      <c r="I4" s="24" t="s">
        <v>1168</v>
      </c>
      <c r="J4" s="8" t="s">
        <v>1313</v>
      </c>
      <c r="M4" s="567" t="str">
        <f>IF('Design Details &amp; Summary'!AA77=0,"",IF('Design Details &amp; Summary'!AA77=3,'Design Details &amp; Summary'!G108,""))</f>
        <v/>
      </c>
      <c r="N4" s="518" t="s">
        <v>624</v>
      </c>
      <c r="AH4" s="1"/>
      <c r="AI4" s="1"/>
      <c r="AJ4" s="47"/>
      <c r="AQ4" s="64">
        <v>2</v>
      </c>
      <c r="AR4" s="1428">
        <v>3.7</v>
      </c>
      <c r="AS4" s="21">
        <v>4.17</v>
      </c>
      <c r="AU4" s="1429"/>
    </row>
    <row r="5" spans="1:47" ht="3.95" customHeight="1">
      <c r="A5" s="517"/>
      <c r="B5" s="7"/>
      <c r="C5" s="8"/>
      <c r="D5" s="8"/>
      <c r="E5" s="8"/>
      <c r="H5" s="60"/>
      <c r="I5" s="24"/>
      <c r="N5" s="2"/>
      <c r="AH5" s="1"/>
      <c r="AI5" s="1"/>
      <c r="AJ5" s="47"/>
      <c r="AQ5" s="64">
        <v>3</v>
      </c>
      <c r="AR5" s="1428">
        <v>3.57</v>
      </c>
      <c r="AS5" s="21">
        <v>4.3499999999999996</v>
      </c>
      <c r="AU5" s="1429"/>
    </row>
    <row r="6" spans="1:47" ht="18" customHeight="1">
      <c r="A6" s="516"/>
      <c r="B6" s="8" t="s">
        <v>1019</v>
      </c>
      <c r="C6" s="8" t="s">
        <v>1314</v>
      </c>
      <c r="D6" s="10"/>
      <c r="E6" s="10"/>
      <c r="F6" s="3169" t="str">
        <f>IF('Design Details &amp; Summary'!AA77=0,"",IF('Design Details &amp; Summary'!AA77=3,'Design Details &amp; Summary'!G104,""))</f>
        <v/>
      </c>
      <c r="G6" s="3170"/>
      <c r="H6" s="8" t="s">
        <v>1170</v>
      </c>
      <c r="I6" s="24" t="s">
        <v>1172</v>
      </c>
      <c r="J6" s="8" t="s">
        <v>1171</v>
      </c>
      <c r="M6" s="2156"/>
      <c r="N6" s="518" t="s">
        <v>1315</v>
      </c>
      <c r="AH6" s="1"/>
      <c r="AI6" s="1"/>
      <c r="AJ6" s="47"/>
      <c r="AQ6" s="64">
        <v>6</v>
      </c>
      <c r="AR6" s="1428">
        <v>3.23</v>
      </c>
      <c r="AS6" s="21">
        <v>5</v>
      </c>
      <c r="AU6" s="1429"/>
    </row>
    <row r="7" spans="1:47" ht="15" customHeight="1">
      <c r="A7" s="516"/>
      <c r="B7" s="8" t="s">
        <v>1177</v>
      </c>
      <c r="C7" s="8" t="s">
        <v>1316</v>
      </c>
      <c r="D7" s="10"/>
      <c r="E7" s="10"/>
      <c r="F7" s="10"/>
      <c r="G7" s="10"/>
      <c r="H7" s="10"/>
      <c r="I7" s="10"/>
      <c r="J7" s="10"/>
      <c r="K7" s="10"/>
      <c r="L7" s="1986" t="s">
        <v>1317</v>
      </c>
      <c r="M7" s="26"/>
      <c r="N7" s="762"/>
      <c r="AE7" s="1531"/>
      <c r="AH7" s="1"/>
      <c r="AI7" s="1"/>
      <c r="AJ7" s="47"/>
      <c r="AQ7" s="64">
        <v>11</v>
      </c>
      <c r="AR7" s="1428">
        <v>2.78</v>
      </c>
      <c r="AS7" s="21">
        <v>6.67</v>
      </c>
      <c r="AU7" s="1429"/>
    </row>
    <row r="8" spans="1:47" ht="18" customHeight="1">
      <c r="A8" s="559"/>
      <c r="C8" s="3165" t="str">
        <f>IF(ISBLANK(M6),"",M6)</f>
        <v/>
      </c>
      <c r="D8" s="3166"/>
      <c r="E8" s="2926" t="s">
        <v>1318</v>
      </c>
      <c r="F8" s="2928"/>
      <c r="G8" s="3169" t="str">
        <f>IF(ISBLANK(M6),"",F6)</f>
        <v/>
      </c>
      <c r="H8" s="3170"/>
      <c r="I8" s="2926" t="s">
        <v>1319</v>
      </c>
      <c r="J8" s="2928"/>
      <c r="K8" s="3174" t="str">
        <f>IF('Design Details &amp; Summary'!AA77=0,"",IF('Design Details &amp; Summary'!AA77=3,(C8/G8)))</f>
        <v/>
      </c>
      <c r="L8" s="3175"/>
      <c r="M8" s="8" t="s">
        <v>609</v>
      </c>
      <c r="N8" s="2"/>
      <c r="AH8" s="1"/>
      <c r="AI8" s="1"/>
      <c r="AJ8" s="47"/>
      <c r="AL8" s="64">
        <v>13</v>
      </c>
      <c r="AM8" s="1430">
        <v>2.62</v>
      </c>
      <c r="AN8" s="17">
        <v>8.2899999999999991</v>
      </c>
      <c r="AU8" s="1429"/>
    </row>
    <row r="9" spans="1:47" ht="15" customHeight="1">
      <c r="A9" s="516"/>
      <c r="B9" s="71" t="s">
        <v>1179</v>
      </c>
      <c r="C9" s="8" t="s">
        <v>1320</v>
      </c>
      <c r="D9" s="8"/>
      <c r="E9" s="8"/>
      <c r="F9" s="8"/>
      <c r="G9" s="8"/>
      <c r="H9" s="8"/>
      <c r="I9" s="8"/>
      <c r="J9" s="8"/>
      <c r="K9" s="8"/>
      <c r="L9" s="8"/>
      <c r="N9" s="2"/>
      <c r="Q9" s="525"/>
      <c r="AH9" s="1"/>
      <c r="AI9" s="1"/>
      <c r="AJ9" s="47"/>
      <c r="AQ9" s="64">
        <v>15</v>
      </c>
      <c r="AR9" s="1430">
        <v>2.48</v>
      </c>
      <c r="AS9" s="17">
        <v>9.5649999999999995</v>
      </c>
      <c r="AU9" s="1429"/>
    </row>
    <row r="10" spans="1:47" ht="18" customHeight="1">
      <c r="A10" s="559"/>
      <c r="C10" s="3165" t="str">
        <f>IF(ISBLANK(M6),"",F4)</f>
        <v/>
      </c>
      <c r="D10" s="3166"/>
      <c r="E10" s="2926" t="s">
        <v>1321</v>
      </c>
      <c r="F10" s="2928"/>
      <c r="G10" s="3179" t="str">
        <f>IF(ISBLANK(M6),"",M6)</f>
        <v/>
      </c>
      <c r="H10" s="3171"/>
      <c r="I10" s="3180" t="s">
        <v>1319</v>
      </c>
      <c r="J10" s="3180"/>
      <c r="K10" s="3174" t="str">
        <f>IF('Design Details &amp; Summary'!AA77=0,"",IF('Design Details &amp; Summary'!AA77=3,(C10/G10)))</f>
        <v/>
      </c>
      <c r="L10" s="3175"/>
      <c r="M10" s="8" t="s">
        <v>609</v>
      </c>
      <c r="N10" s="2"/>
      <c r="AH10" s="1"/>
      <c r="AI10" s="1"/>
      <c r="AJ10" s="47"/>
      <c r="AL10" s="64">
        <v>16</v>
      </c>
      <c r="AM10" s="1430">
        <v>2.41</v>
      </c>
      <c r="AN10" s="17">
        <v>10.24</v>
      </c>
      <c r="AU10" s="1429"/>
    </row>
    <row r="11" spans="1:47" ht="15" customHeight="1">
      <c r="A11" s="559"/>
      <c r="B11" s="8" t="s">
        <v>1181</v>
      </c>
      <c r="C11" s="3" t="s">
        <v>1322</v>
      </c>
      <c r="D11" s="3"/>
      <c r="E11" s="3"/>
      <c r="F11" s="3"/>
      <c r="G11" s="3"/>
      <c r="H11" s="3"/>
      <c r="I11" s="3"/>
      <c r="J11" s="3"/>
      <c r="K11" s="3"/>
      <c r="L11" s="3"/>
      <c r="M11" s="3"/>
      <c r="N11" s="683"/>
      <c r="O11" s="571"/>
      <c r="P11" s="568"/>
      <c r="Q11" s="571"/>
      <c r="AH11" s="1"/>
      <c r="AI11" s="1"/>
      <c r="AJ11" s="47"/>
      <c r="AQ11" s="64">
        <v>18</v>
      </c>
      <c r="AR11" s="1430">
        <v>2.29</v>
      </c>
      <c r="AS11" s="17">
        <v>11.664999999999999</v>
      </c>
      <c r="AU11" s="1429"/>
    </row>
    <row r="12" spans="1:47" ht="18" customHeight="1">
      <c r="A12" s="559"/>
      <c r="B12" s="3"/>
      <c r="C12" s="3165" t="str">
        <f>IF(ISBLANK(M6),"",F4)</f>
        <v/>
      </c>
      <c r="D12" s="3166"/>
      <c r="E12" s="8" t="s">
        <v>1323</v>
      </c>
      <c r="F12" s="3169" t="str">
        <f>IF(ISBLANK(M6),"",F6)</f>
        <v/>
      </c>
      <c r="G12" s="3170"/>
      <c r="H12" s="2927" t="s">
        <v>1324</v>
      </c>
      <c r="I12" s="3168"/>
      <c r="K12" s="3165" t="str">
        <f>IF('Design Details &amp; Summary'!AA77=0,"",IF('Design Details &amp; Summary'!AA77=3,(C12/F12)))</f>
        <v/>
      </c>
      <c r="L12" s="3166"/>
      <c r="M12" s="8" t="s">
        <v>1089</v>
      </c>
      <c r="N12" s="2"/>
      <c r="AH12" s="1"/>
      <c r="AI12" s="1"/>
      <c r="AJ12" s="47"/>
      <c r="AL12" s="64">
        <v>19</v>
      </c>
      <c r="AM12" s="1430">
        <v>2.23</v>
      </c>
      <c r="AN12" s="17">
        <v>12.414999999999999</v>
      </c>
      <c r="AU12" s="1429"/>
    </row>
    <row r="13" spans="1:47" ht="3.95" customHeight="1">
      <c r="A13" s="559"/>
      <c r="B13" s="3"/>
      <c r="C13" s="60"/>
      <c r="D13" s="60"/>
      <c r="E13" s="8"/>
      <c r="F13" s="17"/>
      <c r="G13" s="17"/>
      <c r="H13" s="8"/>
      <c r="I13" s="1987"/>
      <c r="K13" s="60"/>
      <c r="L13" s="60"/>
      <c r="M13" s="8"/>
      <c r="N13" s="2"/>
      <c r="O13" s="1"/>
      <c r="P13" s="1"/>
      <c r="Q13" s="1"/>
      <c r="AH13" s="1"/>
      <c r="AI13" s="1"/>
      <c r="AJ13" s="47"/>
      <c r="AL13" s="64"/>
      <c r="AM13" s="1430"/>
      <c r="AN13" s="17"/>
      <c r="AU13" s="1429"/>
    </row>
    <row r="14" spans="1:47" ht="18" customHeight="1">
      <c r="A14" s="1988"/>
      <c r="B14" s="1828" t="s">
        <v>1176</v>
      </c>
      <c r="C14" s="1829"/>
      <c r="D14" s="1830"/>
      <c r="E14" s="1830"/>
      <c r="F14" s="1831"/>
      <c r="G14" s="1831"/>
      <c r="H14" s="1832"/>
      <c r="I14" s="1832"/>
      <c r="J14" s="1831"/>
      <c r="K14" s="1829"/>
      <c r="L14" s="1833"/>
      <c r="M14" s="1834"/>
      <c r="N14" s="1989"/>
      <c r="O14" s="1"/>
      <c r="P14" s="1"/>
      <c r="Q14" s="1"/>
      <c r="AH14" s="1"/>
      <c r="AI14" s="1"/>
      <c r="AJ14" s="47"/>
      <c r="AL14" s="64"/>
      <c r="AM14" s="1430"/>
      <c r="AN14" s="17"/>
      <c r="AU14" s="1429"/>
    </row>
    <row r="15" spans="1:47" ht="18" customHeight="1">
      <c r="A15" s="559"/>
      <c r="B15" s="1990" t="s">
        <v>1184</v>
      </c>
      <c r="C15" s="3064" t="s">
        <v>1178</v>
      </c>
      <c r="D15" s="3064"/>
      <c r="E15" s="3064"/>
      <c r="F15" s="3064"/>
      <c r="G15" s="3064"/>
      <c r="H15" s="1559"/>
      <c r="I15" s="1559"/>
      <c r="J15" s="1559"/>
      <c r="K15" s="3184"/>
      <c r="L15" s="3184"/>
      <c r="M15" s="8" t="s">
        <v>1089</v>
      </c>
      <c r="N15" s="2"/>
      <c r="O15" s="1"/>
      <c r="P15" s="1"/>
      <c r="Q15" s="1"/>
      <c r="AH15" s="1"/>
      <c r="AI15" s="1"/>
      <c r="AJ15" s="47"/>
      <c r="AL15" s="64"/>
      <c r="AM15" s="1430"/>
      <c r="AN15" s="17"/>
      <c r="AU15" s="1429"/>
    </row>
    <row r="16" spans="1:47" ht="15" customHeight="1">
      <c r="A16" s="1991"/>
      <c r="B16" s="1843"/>
      <c r="C16" s="3101"/>
      <c r="D16" s="3101"/>
      <c r="E16" s="3101"/>
      <c r="F16" s="3101"/>
      <c r="G16" s="3101"/>
      <c r="H16" s="1827"/>
      <c r="I16" s="1827"/>
      <c r="J16" s="1827"/>
      <c r="K16" s="1844"/>
      <c r="L16" s="1844"/>
      <c r="M16" s="1844"/>
      <c r="N16" s="1992"/>
      <c r="O16" s="1539"/>
      <c r="P16" s="1539"/>
      <c r="Q16" s="1"/>
      <c r="AH16" s="1"/>
      <c r="AI16" s="1"/>
      <c r="AJ16" s="47"/>
      <c r="AL16" s="64"/>
      <c r="AM16" s="1430"/>
      <c r="AN16" s="17"/>
      <c r="AU16" s="1429"/>
    </row>
    <row r="17" spans="1:47" ht="3.95" customHeight="1">
      <c r="A17" s="559"/>
      <c r="C17" s="60"/>
      <c r="D17" s="60"/>
      <c r="E17" s="8"/>
      <c r="F17" s="8"/>
      <c r="G17" s="4"/>
      <c r="H17" s="4"/>
      <c r="I17" s="3"/>
      <c r="J17" s="3"/>
      <c r="K17" s="60"/>
      <c r="L17" s="60"/>
      <c r="M17" s="8"/>
      <c r="N17" s="2"/>
      <c r="O17" s="1"/>
      <c r="P17" s="1"/>
      <c r="Q17" s="1"/>
      <c r="AH17" s="1"/>
      <c r="AI17" s="1"/>
      <c r="AQ17" s="64"/>
      <c r="AR17" s="1430"/>
      <c r="AS17" s="17"/>
    </row>
    <row r="18" spans="1:47" s="8" customFormat="1" ht="18" customHeight="1">
      <c r="A18" s="559"/>
      <c r="B18" s="8" t="s">
        <v>1186</v>
      </c>
      <c r="C18" s="8" t="s">
        <v>1325</v>
      </c>
      <c r="D18" s="34"/>
      <c r="E18" s="34"/>
      <c r="J18" s="34"/>
      <c r="K18" s="3181" t="str">
        <f>IF('Design Details &amp; Summary'!AA77=0,"",IF('Design Details &amp; Summary'!AA77=3,MAX(K12,K15),""))</f>
        <v/>
      </c>
      <c r="L18" s="3181"/>
      <c r="M18" s="8" t="s">
        <v>1089</v>
      </c>
      <c r="N18" s="518"/>
      <c r="O18" s="568"/>
      <c r="P18" s="1550"/>
      <c r="Q18" s="568"/>
      <c r="AJ18" s="1516"/>
      <c r="AQ18" s="1534"/>
      <c r="AR18" s="1535"/>
      <c r="AS18" s="1536"/>
      <c r="AU18" s="40"/>
    </row>
    <row r="19" spans="1:47" ht="3.95" customHeight="1">
      <c r="A19" s="559"/>
      <c r="D19" s="60"/>
      <c r="E19" s="60"/>
      <c r="F19" s="4"/>
      <c r="G19" s="4"/>
      <c r="H19" s="4"/>
      <c r="I19" s="3"/>
      <c r="J19" s="60"/>
      <c r="K19" s="60"/>
      <c r="L19" s="4"/>
      <c r="M19" s="8"/>
      <c r="N19" s="2"/>
      <c r="AH19" s="1"/>
      <c r="AI19" s="1"/>
      <c r="AJ19" s="47"/>
      <c r="AQ19" s="64"/>
      <c r="AR19" s="1430"/>
      <c r="AS19" s="17"/>
      <c r="AU19" s="1429"/>
    </row>
    <row r="20" spans="1:47" s="8" customFormat="1" ht="18" customHeight="1">
      <c r="A20" s="559"/>
      <c r="B20" s="8" t="s">
        <v>1224</v>
      </c>
      <c r="C20" s="2927" t="s">
        <v>1326</v>
      </c>
      <c r="D20" s="2927"/>
      <c r="E20" s="2927"/>
      <c r="F20" s="2927"/>
      <c r="G20" s="2927"/>
      <c r="H20" s="2927"/>
      <c r="I20" s="2927"/>
      <c r="J20" s="2927"/>
      <c r="K20" s="2927"/>
      <c r="L20" s="3182" t="str">
        <f>IF('Design Details &amp; Summary'!AA77=0,"",IF('Design Details &amp; Summary'!AA77=3,(K18/K8)," "))</f>
        <v/>
      </c>
      <c r="M20" s="3183"/>
      <c r="N20" s="518" t="s">
        <v>609</v>
      </c>
      <c r="O20" s="568"/>
      <c r="P20" s="568"/>
      <c r="Q20" s="568"/>
      <c r="AJ20" s="1516"/>
      <c r="AQ20" s="1534"/>
      <c r="AR20" s="1535"/>
      <c r="AS20" s="1536"/>
      <c r="AU20" s="40"/>
    </row>
    <row r="21" spans="1:47" s="8" customFormat="1" ht="3.95" customHeight="1">
      <c r="A21" s="559"/>
      <c r="D21" s="34"/>
      <c r="E21" s="34"/>
      <c r="J21" s="34"/>
      <c r="K21" s="34"/>
      <c r="L21" s="34"/>
      <c r="N21" s="518"/>
      <c r="AQ21" s="1534"/>
      <c r="AR21" s="1535"/>
      <c r="AS21" s="1536"/>
    </row>
    <row r="22" spans="1:47" ht="6" customHeight="1">
      <c r="A22" s="559"/>
      <c r="C22" s="60"/>
      <c r="D22" s="60"/>
      <c r="E22" s="8"/>
      <c r="F22" s="8"/>
      <c r="G22" s="17"/>
      <c r="H22" s="17"/>
      <c r="I22" s="3"/>
      <c r="J22" s="3"/>
      <c r="K22" s="19"/>
      <c r="L22" s="19"/>
      <c r="M22" s="8"/>
      <c r="N22" s="2"/>
      <c r="AH22" s="1"/>
      <c r="AI22" s="1"/>
      <c r="AJ22" s="47"/>
      <c r="AL22" s="64"/>
      <c r="AM22" s="1430"/>
      <c r="AN22" s="17"/>
      <c r="AU22" s="1429"/>
    </row>
    <row r="23" spans="1:47" ht="18" customHeight="1">
      <c r="A23" s="559"/>
      <c r="D23" s="721" t="s">
        <v>1327</v>
      </c>
      <c r="E23" s="3185" t="s">
        <v>1328</v>
      </c>
      <c r="F23" s="3185"/>
      <c r="G23" s="3185"/>
      <c r="H23" s="3185"/>
      <c r="I23" s="3185"/>
      <c r="J23" s="3185"/>
      <c r="K23" s="3186"/>
      <c r="L23" s="3161"/>
      <c r="M23" s="3162"/>
      <c r="N23" s="2" t="s">
        <v>609</v>
      </c>
      <c r="AH23" s="1"/>
      <c r="AI23" s="1"/>
      <c r="AJ23" s="47"/>
      <c r="AL23" s="64"/>
      <c r="AM23" s="1430"/>
      <c r="AN23" s="17"/>
      <c r="AU23" s="1429"/>
    </row>
    <row r="24" spans="1:47" ht="6" customHeight="1">
      <c r="A24" s="559"/>
      <c r="C24" s="60"/>
      <c r="D24" s="60"/>
      <c r="E24" s="8"/>
      <c r="F24" s="8"/>
      <c r="G24" s="17"/>
      <c r="H24" s="17"/>
      <c r="I24" s="3"/>
      <c r="J24" s="3"/>
      <c r="K24" s="19"/>
      <c r="L24" s="19"/>
      <c r="M24" s="8"/>
      <c r="N24" s="2"/>
      <c r="AH24" s="1"/>
      <c r="AI24" s="1"/>
      <c r="AJ24" s="47"/>
      <c r="AL24" s="64"/>
      <c r="AM24" s="1430"/>
      <c r="AN24" s="17"/>
      <c r="AU24" s="1429"/>
    </row>
    <row r="25" spans="1:47" ht="18" customHeight="1">
      <c r="A25" s="516"/>
      <c r="B25" s="71" t="s">
        <v>1329</v>
      </c>
      <c r="C25" s="528" t="s">
        <v>1330</v>
      </c>
      <c r="D25" s="528"/>
      <c r="E25" s="528"/>
      <c r="G25" s="2957" t="str">
        <f>IF('Design Details &amp; Summary'!AA77=0,"",IF('Design Details &amp; Summary'!AA77=3,'Design Details &amp; Summary'!O81,""))</f>
        <v/>
      </c>
      <c r="H25" s="2957"/>
      <c r="I25" s="2957"/>
      <c r="J25" s="528"/>
      <c r="K25" s="2957" t="str">
        <f>IF(G25="Rock"," ",IF('Design Details &amp; Summary'!AA77=0,"",IF('Design Details &amp; Summary'!AA77=3,'Design Details &amp; Summary'!O83,"")))</f>
        <v/>
      </c>
      <c r="L25" s="2957"/>
      <c r="M25" s="2957"/>
      <c r="N25" s="2"/>
      <c r="Q25" s="525"/>
      <c r="AH25" s="1"/>
      <c r="AI25" s="1"/>
      <c r="AJ25" s="47"/>
      <c r="AQ25" s="64">
        <v>15</v>
      </c>
      <c r="AR25" s="1430">
        <v>2.48</v>
      </c>
      <c r="AS25" s="17">
        <v>9.5649999999999995</v>
      </c>
      <c r="AU25" s="1429"/>
    </row>
    <row r="26" spans="1:47" ht="6" customHeight="1">
      <c r="A26" s="559"/>
      <c r="D26" s="60"/>
      <c r="E26" s="60"/>
      <c r="F26" s="4"/>
      <c r="G26" s="4"/>
      <c r="H26" s="4"/>
      <c r="I26" s="3"/>
      <c r="J26" s="60"/>
      <c r="K26" s="60"/>
      <c r="L26" s="4"/>
      <c r="M26" s="8"/>
      <c r="N26" s="2"/>
      <c r="AH26" s="1"/>
      <c r="AI26" s="1"/>
      <c r="AJ26" s="47"/>
      <c r="AQ26" s="64">
        <v>17</v>
      </c>
      <c r="AR26" s="1430">
        <v>2.35</v>
      </c>
      <c r="AS26" s="17">
        <v>10.94</v>
      </c>
      <c r="AU26" s="1429"/>
    </row>
    <row r="27" spans="1:47" ht="6" customHeight="1" thickBot="1">
      <c r="A27" s="559"/>
      <c r="D27" s="60"/>
      <c r="E27" s="60"/>
      <c r="F27" s="4"/>
      <c r="G27" s="4"/>
      <c r="H27" s="4"/>
      <c r="I27" s="3"/>
      <c r="J27" s="60"/>
      <c r="K27" s="60"/>
      <c r="L27" s="4"/>
      <c r="M27" s="8"/>
      <c r="N27" s="2"/>
      <c r="AH27" s="1"/>
      <c r="AI27" s="1"/>
      <c r="AJ27" s="47"/>
      <c r="AQ27" s="64"/>
      <c r="AR27" s="1430"/>
      <c r="AS27" s="17"/>
      <c r="AU27" s="1429"/>
    </row>
    <row r="28" spans="1:47" ht="16.350000000000001" customHeight="1" thickBot="1">
      <c r="A28" s="558" t="s">
        <v>481</v>
      </c>
      <c r="B28" s="445"/>
      <c r="C28" s="1366" t="s">
        <v>1331</v>
      </c>
      <c r="D28" s="1366"/>
      <c r="E28" s="1366"/>
      <c r="F28" s="1366"/>
      <c r="G28" s="1366"/>
      <c r="H28" s="1366"/>
      <c r="I28" s="1366"/>
      <c r="J28" s="1366"/>
      <c r="K28" s="1366"/>
      <c r="L28" s="1366"/>
      <c r="M28" s="1366"/>
      <c r="N28" s="763"/>
      <c r="O28" s="568"/>
      <c r="P28" s="568"/>
      <c r="Q28" s="568"/>
      <c r="AH28" s="1"/>
      <c r="AI28" s="1"/>
      <c r="AJ28" s="47"/>
      <c r="AQ28" s="64">
        <v>21</v>
      </c>
      <c r="AR28" s="1430">
        <v>2.13</v>
      </c>
      <c r="AS28" s="17">
        <v>13.99</v>
      </c>
      <c r="AU28" s="1429"/>
    </row>
    <row r="29" spans="1:47" ht="16.350000000000001" customHeight="1">
      <c r="A29" s="559"/>
      <c r="B29" s="8" t="s">
        <v>1011</v>
      </c>
      <c r="C29" s="8" t="s">
        <v>1332</v>
      </c>
      <c r="N29" s="518"/>
      <c r="O29" s="568"/>
      <c r="P29" s="568"/>
      <c r="Q29" s="568"/>
      <c r="AH29" s="1"/>
      <c r="AI29" s="1"/>
      <c r="AJ29" s="47"/>
      <c r="AQ29" s="64"/>
      <c r="AR29" s="1430"/>
      <c r="AS29" s="17"/>
      <c r="AU29" s="1429"/>
    </row>
    <row r="30" spans="1:47" ht="15" customHeight="1">
      <c r="A30" s="516"/>
      <c r="C30" s="55" t="s">
        <v>1333</v>
      </c>
      <c r="D30" s="1" t="s">
        <v>2656</v>
      </c>
      <c r="L30" s="853"/>
      <c r="N30" s="2"/>
      <c r="AH30" s="1"/>
      <c r="AI30" s="1"/>
      <c r="AJ30" s="47"/>
      <c r="AQ30" s="64">
        <v>23</v>
      </c>
      <c r="AR30" s="1430">
        <v>2.0299999999999998</v>
      </c>
      <c r="AS30" s="17">
        <v>15.664999999999999</v>
      </c>
      <c r="AU30" s="1429"/>
    </row>
    <row r="31" spans="1:47" ht="15" customHeight="1">
      <c r="A31" s="516"/>
      <c r="C31" s="55" t="s">
        <v>1334</v>
      </c>
      <c r="D31" s="1" t="s">
        <v>1335</v>
      </c>
      <c r="N31" s="2"/>
      <c r="AH31" s="1"/>
      <c r="AI31" s="1"/>
      <c r="AJ31" s="47"/>
      <c r="AQ31" s="64"/>
      <c r="AR31" s="1430"/>
      <c r="AS31" s="17"/>
      <c r="AU31" s="1429"/>
    </row>
    <row r="32" spans="1:47" ht="18" customHeight="1">
      <c r="A32" s="559"/>
      <c r="B32" s="9"/>
      <c r="C32" s="2156"/>
      <c r="D32" s="3" t="s">
        <v>629</v>
      </c>
      <c r="E32" s="2923" t="str">
        <f>IF(ISBLANK(C32)," ",(C32/12))</f>
        <v xml:space="preserve"> </v>
      </c>
      <c r="F32" s="2924"/>
      <c r="G32" s="3" t="s">
        <v>1336</v>
      </c>
      <c r="H32" s="3229"/>
      <c r="I32" s="3230"/>
      <c r="J32" s="2865" t="s">
        <v>1337</v>
      </c>
      <c r="K32" s="2867"/>
      <c r="L32" s="3174" t="str">
        <f>IF(ISBLANK(C32)," ",(IF(G25="rock",(E32+H32+1),E32+1)))</f>
        <v xml:space="preserve"> </v>
      </c>
      <c r="M32" s="3175"/>
      <c r="N32" s="2" t="s">
        <v>609</v>
      </c>
      <c r="O32" s="1"/>
      <c r="P32" s="1"/>
      <c r="Q32" s="1"/>
      <c r="AH32" s="1"/>
      <c r="AI32" s="1"/>
      <c r="AJ32" s="47"/>
      <c r="AK32" s="64">
        <v>24</v>
      </c>
      <c r="AL32" s="1430">
        <v>1.98</v>
      </c>
      <c r="AM32" s="17">
        <v>16.54</v>
      </c>
      <c r="AU32" s="1429"/>
    </row>
    <row r="33" spans="1:47" ht="20.100000000000001" customHeight="1">
      <c r="A33" s="559"/>
      <c r="B33" s="3231" t="s">
        <v>1338</v>
      </c>
      <c r="C33" s="3231"/>
      <c r="D33" s="3231"/>
      <c r="E33" s="2302" t="s">
        <v>1339</v>
      </c>
      <c r="F33" s="2302"/>
      <c r="G33" s="2995" t="s">
        <v>2657</v>
      </c>
      <c r="H33" s="2995"/>
      <c r="I33" s="2995"/>
      <c r="J33" s="3226" t="s">
        <v>2658</v>
      </c>
      <c r="K33" s="3226"/>
      <c r="L33" s="3226"/>
      <c r="M33" s="3226"/>
      <c r="N33" s="2303"/>
      <c r="O33" s="1"/>
      <c r="P33" s="1"/>
      <c r="Q33" s="1"/>
      <c r="AH33" s="1"/>
      <c r="AI33" s="1"/>
      <c r="AJ33" s="47"/>
      <c r="AP33" s="64"/>
      <c r="AQ33" s="1430"/>
      <c r="AR33" s="17"/>
      <c r="AU33" s="1429"/>
    </row>
    <row r="34" spans="1:47" ht="15" customHeight="1">
      <c r="A34" s="516"/>
      <c r="B34" s="71" t="s">
        <v>1019</v>
      </c>
      <c r="C34" s="3" t="s">
        <v>1340</v>
      </c>
      <c r="N34" s="2"/>
      <c r="AH34" s="1"/>
      <c r="AI34" s="1"/>
      <c r="AJ34" s="1431"/>
      <c r="AK34" s="25"/>
      <c r="AL34" s="25"/>
      <c r="AM34" s="25"/>
      <c r="AN34" s="25"/>
      <c r="AO34" s="25"/>
      <c r="AP34" s="25"/>
      <c r="AQ34" s="25"/>
      <c r="AR34" s="25"/>
      <c r="AS34" s="25"/>
      <c r="AT34" s="25"/>
      <c r="AU34" s="1432"/>
    </row>
    <row r="35" spans="1:47" ht="18" customHeight="1">
      <c r="A35" s="559"/>
      <c r="C35" s="9" t="s">
        <v>475</v>
      </c>
      <c r="D35" s="8" t="s">
        <v>1341</v>
      </c>
      <c r="L35" s="3224"/>
      <c r="M35" s="3225"/>
      <c r="N35" s="2"/>
      <c r="AH35" s="1"/>
      <c r="AI35" s="1"/>
    </row>
    <row r="36" spans="1:47" ht="15" customHeight="1">
      <c r="A36" s="516"/>
      <c r="B36" s="71"/>
      <c r="C36" s="9" t="s">
        <v>481</v>
      </c>
      <c r="D36" s="8" t="s">
        <v>1342</v>
      </c>
      <c r="N36" s="2"/>
      <c r="AH36" s="1"/>
      <c r="AI36" s="1"/>
    </row>
    <row r="37" spans="1:47" ht="18" customHeight="1">
      <c r="A37" s="559"/>
      <c r="C37" s="4"/>
      <c r="D37" s="3169" t="str">
        <f>IF(ISBLANK(L35),"",L35)</f>
        <v/>
      </c>
      <c r="E37" s="3170"/>
      <c r="F37" s="4" t="s">
        <v>1343</v>
      </c>
      <c r="G37" s="3169" t="str">
        <f>IF(ISBLANK(D32),"",L32)</f>
        <v xml:space="preserve"> </v>
      </c>
      <c r="H37" s="3170"/>
      <c r="I37" s="4" t="s">
        <v>1230</v>
      </c>
      <c r="J37" s="3169" t="str">
        <f>IF(ISBLANK(L35),"",D37*G37)</f>
        <v/>
      </c>
      <c r="K37" s="3170"/>
      <c r="L37" s="8" t="s">
        <v>609</v>
      </c>
      <c r="N37" s="2"/>
      <c r="AH37" s="1"/>
      <c r="AI37" s="1"/>
    </row>
    <row r="38" spans="1:47" ht="15" customHeight="1">
      <c r="A38" s="559"/>
      <c r="C38" s="9" t="s">
        <v>487</v>
      </c>
      <c r="D38" s="8" t="s">
        <v>1344</v>
      </c>
      <c r="E38" s="8"/>
      <c r="F38" s="8"/>
      <c r="G38" s="8"/>
      <c r="H38" s="17"/>
      <c r="I38" s="17"/>
      <c r="J38" s="4"/>
      <c r="K38" s="19"/>
      <c r="L38" s="19"/>
      <c r="M38" s="4"/>
      <c r="N38" s="764"/>
      <c r="O38" s="477"/>
      <c r="AH38" s="1"/>
      <c r="AI38" s="1"/>
    </row>
    <row r="39" spans="1:47" ht="18" customHeight="1">
      <c r="A39" s="559"/>
      <c r="C39" s="4"/>
      <c r="D39" s="2868" t="s">
        <v>1345</v>
      </c>
      <c r="E39" s="2868"/>
      <c r="F39" s="4" t="s">
        <v>1343</v>
      </c>
      <c r="G39" s="3213" t="str">
        <f>K8</f>
        <v/>
      </c>
      <c r="H39" s="3214"/>
      <c r="I39" s="3211" t="s">
        <v>1346</v>
      </c>
      <c r="J39" s="3212"/>
      <c r="K39" s="3212"/>
      <c r="L39" s="3169" t="str">
        <f>IF(ISBLANK(C32),"",IF(M4&lt;=1,(0.5*G39)+5," "))</f>
        <v/>
      </c>
      <c r="M39" s="3170"/>
      <c r="N39" s="2" t="s">
        <v>609</v>
      </c>
      <c r="O39" s="477"/>
      <c r="R39" s="3167"/>
      <c r="S39" s="3167"/>
      <c r="T39" s="3167"/>
      <c r="U39" s="3167"/>
      <c r="V39" s="3167"/>
      <c r="W39" s="3167"/>
      <c r="X39" s="3167"/>
      <c r="Y39" s="3167"/>
      <c r="Z39" s="3167"/>
      <c r="AA39" s="3167"/>
      <c r="AB39" s="3167"/>
      <c r="AC39" s="3167"/>
      <c r="AH39" s="1"/>
      <c r="AI39" s="1"/>
    </row>
    <row r="40" spans="1:47" ht="3.95" customHeight="1">
      <c r="A40" s="559"/>
      <c r="N40" s="2"/>
      <c r="R40" s="3167"/>
      <c r="S40" s="3167"/>
      <c r="T40" s="3167"/>
      <c r="U40" s="3167"/>
      <c r="V40" s="3167"/>
      <c r="W40" s="3167"/>
      <c r="X40" s="3167"/>
      <c r="Y40" s="3167"/>
      <c r="Z40" s="3167"/>
      <c r="AA40" s="3167"/>
      <c r="AB40" s="3167"/>
      <c r="AC40" s="3167"/>
      <c r="AH40" s="1"/>
      <c r="AI40" s="1"/>
    </row>
    <row r="41" spans="1:47" ht="18" customHeight="1">
      <c r="A41" s="559"/>
      <c r="C41" s="9" t="s">
        <v>493</v>
      </c>
      <c r="D41" s="8" t="s">
        <v>1347</v>
      </c>
      <c r="K41" s="2923" t="str">
        <f>IF(M4&gt;=1, J37, L39)</f>
        <v/>
      </c>
      <c r="L41" s="2924"/>
      <c r="M41" s="1" t="s">
        <v>609</v>
      </c>
      <c r="N41" s="2"/>
      <c r="R41" s="3167"/>
      <c r="S41" s="3167"/>
      <c r="T41" s="3167"/>
      <c r="U41" s="3167"/>
      <c r="V41" s="3167"/>
      <c r="W41" s="3167"/>
      <c r="X41" s="3167"/>
      <c r="Y41" s="3167"/>
      <c r="Z41" s="3167"/>
      <c r="AA41" s="3167"/>
      <c r="AB41" s="3167"/>
      <c r="AC41" s="3167"/>
      <c r="AH41" s="1"/>
      <c r="AI41" s="1"/>
    </row>
    <row r="42" spans="1:47" ht="15" customHeight="1">
      <c r="A42" s="559"/>
      <c r="B42" s="1" t="s">
        <v>1168</v>
      </c>
      <c r="C42" s="1" t="s">
        <v>1348</v>
      </c>
      <c r="N42" s="2"/>
      <c r="AH42" s="1"/>
      <c r="AI42" s="1"/>
    </row>
    <row r="43" spans="1:47" ht="18" customHeight="1">
      <c r="A43" s="559"/>
      <c r="C43" s="9" t="s">
        <v>475</v>
      </c>
      <c r="D43" s="8" t="s">
        <v>1349</v>
      </c>
      <c r="K43" s="3224"/>
      <c r="L43" s="3225"/>
      <c r="N43" s="2"/>
      <c r="AH43" s="1"/>
      <c r="AI43" s="1"/>
    </row>
    <row r="44" spans="1:47" ht="18" customHeight="1">
      <c r="A44" s="559"/>
      <c r="C44" s="9" t="s">
        <v>481</v>
      </c>
      <c r="D44" s="1" t="s">
        <v>1350</v>
      </c>
      <c r="N44" s="2"/>
      <c r="AH44" s="1"/>
      <c r="AI44" s="1"/>
    </row>
    <row r="45" spans="1:47" ht="18" customHeight="1">
      <c r="A45" s="559"/>
      <c r="C45" s="9"/>
      <c r="D45" s="3198" t="str">
        <f>IF(ISBLANK(K43),"",K43)</f>
        <v/>
      </c>
      <c r="E45" s="3218"/>
      <c r="F45" s="4" t="s">
        <v>1343</v>
      </c>
      <c r="G45" s="3227" t="str">
        <f>IF(ISBLANK(D32)," ",L32)</f>
        <v xml:space="preserve"> </v>
      </c>
      <c r="H45" s="3218"/>
      <c r="I45" s="8" t="s">
        <v>1351</v>
      </c>
      <c r="J45" s="3169" t="str">
        <f>IF(ISBLANK(K43),"",D45*G45)</f>
        <v/>
      </c>
      <c r="K45" s="3170"/>
      <c r="L45" s="1" t="s">
        <v>609</v>
      </c>
      <c r="M45" s="1993"/>
      <c r="N45" s="765"/>
      <c r="O45" s="569"/>
      <c r="P45" s="569"/>
      <c r="AH45" s="1"/>
      <c r="AI45" s="1"/>
    </row>
    <row r="46" spans="1:47" ht="18" customHeight="1">
      <c r="A46" s="517"/>
      <c r="C46" s="9" t="s">
        <v>487</v>
      </c>
      <c r="D46" s="1" t="s">
        <v>1352</v>
      </c>
      <c r="E46" s="8"/>
      <c r="F46" s="8"/>
      <c r="G46" s="8"/>
      <c r="H46" s="4" t="s">
        <v>1240</v>
      </c>
      <c r="N46" s="2"/>
      <c r="Q46" s="572"/>
      <c r="R46" s="15"/>
      <c r="AH46" s="1"/>
      <c r="AI46" s="1"/>
    </row>
    <row r="47" spans="1:47" ht="18" customHeight="1">
      <c r="A47" s="517"/>
      <c r="C47" s="9"/>
      <c r="D47" s="3169" t="str">
        <f>K8</f>
        <v/>
      </c>
      <c r="E47" s="3171"/>
      <c r="F47" s="17" t="s">
        <v>1238</v>
      </c>
      <c r="G47" s="2868">
        <v>5</v>
      </c>
      <c r="H47" s="2868"/>
      <c r="I47" s="19" t="s">
        <v>1240</v>
      </c>
      <c r="J47" s="3169" t="str">
        <f>IF(ISBLANK(K43),"",D47+G47)</f>
        <v/>
      </c>
      <c r="K47" s="3170"/>
      <c r="L47" s="1" t="s">
        <v>609</v>
      </c>
      <c r="M47" s="4"/>
      <c r="N47" s="764"/>
      <c r="O47" s="569"/>
      <c r="Q47" s="572"/>
      <c r="R47" s="15"/>
      <c r="AH47" s="1"/>
      <c r="AI47" s="1"/>
    </row>
    <row r="48" spans="1:47" ht="3.95" customHeight="1">
      <c r="A48" s="517"/>
      <c r="C48" s="4"/>
      <c r="E48" s="8"/>
      <c r="F48" s="8"/>
      <c r="G48" s="8"/>
      <c r="J48" s="8"/>
      <c r="K48" s="8"/>
      <c r="N48" s="2"/>
      <c r="O48" s="572"/>
      <c r="P48" s="572"/>
      <c r="Q48" s="572"/>
      <c r="R48" s="15"/>
      <c r="AH48" s="1"/>
      <c r="AI48" s="1"/>
    </row>
    <row r="49" spans="1:36" ht="18" customHeight="1">
      <c r="A49" s="517"/>
      <c r="C49" s="9" t="s">
        <v>493</v>
      </c>
      <c r="D49" s="1" t="s">
        <v>1353</v>
      </c>
      <c r="E49" s="8"/>
      <c r="F49" s="8"/>
      <c r="G49" s="8"/>
      <c r="J49" s="8"/>
      <c r="K49" s="8"/>
      <c r="L49" s="3169" t="str">
        <f>IF(ISBLANK(K43),"",MAX(J45,J47))</f>
        <v/>
      </c>
      <c r="M49" s="3170"/>
      <c r="N49" s="2" t="s">
        <v>609</v>
      </c>
      <c r="Q49" s="572"/>
      <c r="R49" s="15"/>
      <c r="AH49" s="1"/>
      <c r="AI49" s="1"/>
    </row>
    <row r="50" spans="1:36" ht="6" customHeight="1">
      <c r="A50" s="517"/>
      <c r="C50" s="4"/>
      <c r="E50" s="8"/>
      <c r="F50" s="8"/>
      <c r="G50" s="8"/>
      <c r="J50" s="8"/>
      <c r="K50" s="8"/>
      <c r="N50" s="2"/>
      <c r="O50" s="572"/>
      <c r="P50" s="572"/>
      <c r="Q50" s="572"/>
      <c r="R50" s="15"/>
      <c r="AH50" s="1"/>
      <c r="AI50" s="1"/>
    </row>
    <row r="51" spans="1:36" ht="15" customHeight="1">
      <c r="A51" s="517"/>
      <c r="C51" s="9" t="s">
        <v>498</v>
      </c>
      <c r="D51" s="1" t="s">
        <v>1354</v>
      </c>
      <c r="E51" s="8"/>
      <c r="F51" s="8"/>
      <c r="G51" s="8"/>
      <c r="J51" s="8"/>
      <c r="K51" s="8"/>
      <c r="N51" s="2"/>
      <c r="O51" s="572"/>
      <c r="P51" s="572"/>
      <c r="Q51" s="572"/>
      <c r="R51" s="15"/>
      <c r="AH51" s="1"/>
      <c r="AI51" s="1"/>
    </row>
    <row r="52" spans="1:36" ht="18" customHeight="1">
      <c r="A52" s="517"/>
      <c r="C52" s="4"/>
      <c r="D52" s="2868" t="s">
        <v>1355</v>
      </c>
      <c r="E52" s="2868"/>
      <c r="F52" s="3169" t="str">
        <f>K8</f>
        <v/>
      </c>
      <c r="G52" s="3171"/>
      <c r="H52" s="17" t="s">
        <v>1356</v>
      </c>
      <c r="I52" s="2868" t="s">
        <v>1357</v>
      </c>
      <c r="J52" s="2868"/>
      <c r="K52" s="3169" t="str">
        <f>IF(ISBLANK(K43),"",(0.5*F52)+5)</f>
        <v/>
      </c>
      <c r="L52" s="3170"/>
      <c r="M52" s="1" t="s">
        <v>609</v>
      </c>
      <c r="N52" s="2"/>
      <c r="P52" s="572"/>
      <c r="Q52" s="572"/>
      <c r="AH52" s="1"/>
      <c r="AI52" s="1"/>
    </row>
    <row r="53" spans="1:36" ht="3.95" customHeight="1">
      <c r="A53" s="517"/>
      <c r="C53" s="4"/>
      <c r="E53" s="8"/>
      <c r="F53" s="8"/>
      <c r="G53" s="8"/>
      <c r="J53" s="8"/>
      <c r="K53" s="1536"/>
      <c r="L53" s="74"/>
      <c r="N53" s="2"/>
      <c r="O53" s="572"/>
      <c r="P53" s="572"/>
      <c r="Q53" s="572"/>
      <c r="R53" s="15"/>
      <c r="AH53" s="1"/>
      <c r="AI53" s="1"/>
    </row>
    <row r="54" spans="1:36" ht="18" customHeight="1">
      <c r="A54" s="517"/>
      <c r="C54" s="9" t="s">
        <v>504</v>
      </c>
      <c r="D54" s="1" t="s">
        <v>1358</v>
      </c>
      <c r="E54" s="8"/>
      <c r="F54" s="8"/>
      <c r="G54" s="8"/>
      <c r="J54" s="8"/>
      <c r="K54" s="2923" t="str">
        <f>IF(M4&gt;=1, L49, K52)</f>
        <v/>
      </c>
      <c r="L54" s="2924"/>
      <c r="M54" s="1" t="s">
        <v>609</v>
      </c>
      <c r="N54" s="2"/>
      <c r="O54" s="572"/>
      <c r="P54" s="572"/>
      <c r="Q54" s="572"/>
      <c r="R54" s="15"/>
      <c r="AH54" s="1"/>
      <c r="AI54" s="1"/>
    </row>
    <row r="55" spans="1:36" ht="3.95" customHeight="1" thickBot="1">
      <c r="A55" s="560"/>
      <c r="B55" s="11"/>
      <c r="C55" s="756"/>
      <c r="D55" s="754"/>
      <c r="E55" s="754"/>
      <c r="F55" s="754"/>
      <c r="G55" s="754"/>
      <c r="H55" s="11"/>
      <c r="I55" s="11"/>
      <c r="J55" s="754"/>
      <c r="K55" s="754"/>
      <c r="L55" s="756"/>
      <c r="M55" s="756"/>
      <c r="N55" s="766"/>
      <c r="R55" s="15"/>
      <c r="AH55" s="1"/>
      <c r="AI55" s="1"/>
    </row>
    <row r="56" spans="1:36" s="3" customFormat="1" ht="3.95" customHeight="1">
      <c r="A56" s="747"/>
      <c r="B56" s="748"/>
      <c r="C56" s="749"/>
      <c r="D56" s="749"/>
      <c r="E56" s="749"/>
      <c r="F56" s="749"/>
      <c r="G56" s="749"/>
      <c r="H56" s="749"/>
      <c r="I56" s="749"/>
      <c r="J56" s="750"/>
      <c r="K56" s="749"/>
      <c r="L56" s="751"/>
      <c r="M56" s="752"/>
      <c r="N56" s="753"/>
      <c r="AA56" s="1"/>
      <c r="AB56" s="1"/>
      <c r="AC56" s="1"/>
      <c r="AD56" s="1"/>
      <c r="AE56" s="1"/>
    </row>
    <row r="57" spans="1:36" ht="18.75" customHeight="1">
      <c r="A57" s="559"/>
      <c r="B57" s="71" t="s">
        <v>1172</v>
      </c>
      <c r="C57" s="8" t="s">
        <v>1359</v>
      </c>
      <c r="E57" s="8"/>
      <c r="F57" s="8"/>
      <c r="G57" s="8"/>
      <c r="H57" s="3172"/>
      <c r="I57" s="3173"/>
      <c r="J57" s="8"/>
      <c r="N57" s="2"/>
      <c r="P57" s="573"/>
      <c r="Q57" s="573"/>
      <c r="AH57" s="1"/>
      <c r="AI57" s="1"/>
    </row>
    <row r="58" spans="1:36" ht="18" customHeight="1">
      <c r="A58" s="516"/>
      <c r="B58" s="71" t="s">
        <v>1177</v>
      </c>
      <c r="C58" s="8" t="s">
        <v>1360</v>
      </c>
      <c r="E58" s="8"/>
      <c r="F58" s="8"/>
      <c r="G58" s="8"/>
      <c r="H58" s="8"/>
      <c r="I58" s="8"/>
      <c r="J58" s="8"/>
      <c r="K58" s="1383" t="s">
        <v>1361</v>
      </c>
      <c r="N58" s="2"/>
      <c r="AH58" s="1"/>
      <c r="AI58" s="1"/>
    </row>
    <row r="59" spans="1:36" ht="20.100000000000001" customHeight="1">
      <c r="A59" s="559"/>
      <c r="C59" s="1954"/>
      <c r="D59" s="1906"/>
      <c r="E59" s="3174" t="str">
        <f>IF(ISBLANK(H57),"",H57)</f>
        <v/>
      </c>
      <c r="F59" s="3175"/>
      <c r="G59" s="4" t="s">
        <v>1343</v>
      </c>
      <c r="H59" s="3169" t="str">
        <f>IF(ISBLANK(H57),"",L32)</f>
        <v/>
      </c>
      <c r="I59" s="3170"/>
      <c r="J59" s="8" t="s">
        <v>1362</v>
      </c>
      <c r="K59" s="3169" t="str">
        <f>IF(ISBLANK(H57),"",E59*H59)</f>
        <v/>
      </c>
      <c r="L59" s="3170"/>
      <c r="M59" s="8" t="s">
        <v>609</v>
      </c>
      <c r="N59" s="2"/>
      <c r="O59" s="574"/>
      <c r="P59" s="575"/>
      <c r="Q59" s="575"/>
      <c r="AH59" s="1"/>
      <c r="AI59" s="1"/>
    </row>
    <row r="60" spans="1:36" ht="15" customHeight="1">
      <c r="A60" s="516"/>
      <c r="B60" s="71" t="s">
        <v>1179</v>
      </c>
      <c r="C60" s="8" t="s">
        <v>1363</v>
      </c>
      <c r="D60" s="8"/>
      <c r="E60" s="8"/>
      <c r="F60" s="8"/>
      <c r="G60" s="8"/>
      <c r="H60" s="8"/>
      <c r="I60" s="8"/>
      <c r="J60" s="8"/>
      <c r="K60" s="8"/>
      <c r="L60" s="8"/>
      <c r="M60" s="8"/>
      <c r="N60" s="518"/>
      <c r="P60" s="568"/>
      <c r="Q60" s="568"/>
      <c r="R60" s="8"/>
      <c r="AH60" s="1"/>
      <c r="AI60" s="1"/>
    </row>
    <row r="61" spans="1:36" ht="20.100000000000001" customHeight="1">
      <c r="A61" s="559"/>
      <c r="B61" s="9"/>
      <c r="C61" s="3169" t="str">
        <f>IF(ISBLANK(L35),"",K41)</f>
        <v/>
      </c>
      <c r="D61" s="3170"/>
      <c r="E61" s="1536" t="s">
        <v>1336</v>
      </c>
      <c r="F61" s="3169" t="str">
        <f>IF(ISBLANK(K43),"",K54)</f>
        <v/>
      </c>
      <c r="G61" s="3170"/>
      <c r="H61" s="1536" t="s">
        <v>1351</v>
      </c>
      <c r="I61" s="3169" t="str">
        <f>(IF(ISBLANK(K43),"",C61+F61))</f>
        <v/>
      </c>
      <c r="J61" s="3170"/>
      <c r="K61" s="8" t="s">
        <v>609</v>
      </c>
      <c r="N61" s="2"/>
      <c r="AH61" s="1"/>
      <c r="AI61" s="1"/>
    </row>
    <row r="62" spans="1:36" ht="15" customHeight="1">
      <c r="A62" s="516"/>
      <c r="B62" s="71" t="s">
        <v>1181</v>
      </c>
      <c r="C62" s="8" t="s">
        <v>1364</v>
      </c>
      <c r="D62" s="8"/>
      <c r="E62" s="8"/>
      <c r="F62" s="8"/>
      <c r="G62" s="8"/>
      <c r="H62" s="8"/>
      <c r="I62" s="8"/>
      <c r="J62" s="8"/>
      <c r="K62" s="8"/>
      <c r="L62" s="8"/>
      <c r="M62" s="8"/>
      <c r="N62" s="768"/>
      <c r="O62" s="568"/>
      <c r="P62" s="568"/>
      <c r="Q62" s="568"/>
      <c r="R62" s="8"/>
      <c r="AH62" s="1"/>
      <c r="AI62" s="1"/>
    </row>
    <row r="63" spans="1:36" ht="20.100000000000001" customHeight="1">
      <c r="A63" s="559"/>
      <c r="B63" s="9"/>
      <c r="C63" s="3169" t="str">
        <f>K59</f>
        <v/>
      </c>
      <c r="D63" s="3170"/>
      <c r="E63" s="1536" t="s">
        <v>1238</v>
      </c>
      <c r="F63" s="3169" t="str">
        <f>IF(ISBLANK(L35)," ",(MAX(L20,K10)))</f>
        <v xml:space="preserve"> </v>
      </c>
      <c r="G63" s="3170"/>
      <c r="H63" s="1536" t="s">
        <v>1238</v>
      </c>
      <c r="I63" s="3169" t="str">
        <f>K59</f>
        <v/>
      </c>
      <c r="J63" s="3170"/>
      <c r="K63" s="1536" t="s">
        <v>1351</v>
      </c>
      <c r="L63" s="3169" t="str">
        <f>IF(ISBLANK(L35),"",C63+F63+I63)</f>
        <v/>
      </c>
      <c r="M63" s="3170"/>
      <c r="N63" s="518" t="s">
        <v>609</v>
      </c>
      <c r="AH63" s="1"/>
      <c r="AI63" s="1"/>
    </row>
    <row r="64" spans="1:36" s="3" customFormat="1" ht="6" customHeight="1">
      <c r="A64" s="517"/>
      <c r="B64" s="18"/>
      <c r="C64" s="1"/>
      <c r="D64" s="1"/>
      <c r="E64" s="1"/>
      <c r="F64" s="1"/>
      <c r="G64" s="1"/>
      <c r="H64" s="1"/>
      <c r="I64" s="1"/>
      <c r="J64" s="1"/>
      <c r="K64" s="1"/>
      <c r="L64" s="1"/>
      <c r="M64" s="1"/>
      <c r="N64" s="2"/>
      <c r="O64" s="480"/>
      <c r="P64" s="480"/>
      <c r="Q64" s="480"/>
      <c r="AF64" s="1"/>
      <c r="AG64" s="1"/>
      <c r="AH64" s="1"/>
      <c r="AI64" s="1"/>
      <c r="AJ64" s="1"/>
    </row>
    <row r="65" spans="1:36" s="3" customFormat="1" ht="6" customHeight="1">
      <c r="A65" s="517"/>
      <c r="B65" s="529"/>
      <c r="C65" s="528"/>
      <c r="D65" s="528"/>
      <c r="E65" s="528"/>
      <c r="F65" s="528"/>
      <c r="G65" s="528"/>
      <c r="H65" s="528"/>
      <c r="I65" s="528"/>
      <c r="J65" s="528"/>
      <c r="K65" s="528"/>
      <c r="L65" s="528"/>
      <c r="M65" s="1372"/>
      <c r="N65" s="1373"/>
      <c r="O65" s="1372"/>
      <c r="P65" s="1372"/>
      <c r="Q65" s="1372"/>
      <c r="R65" s="528"/>
      <c r="AA65" s="1"/>
      <c r="AB65" s="1"/>
      <c r="AC65" s="1"/>
      <c r="AD65" s="1"/>
      <c r="AE65" s="1"/>
    </row>
    <row r="66" spans="1:36" s="3" customFormat="1" ht="19.5" customHeight="1">
      <c r="A66" s="517"/>
      <c r="B66" s="3217" t="s">
        <v>1247</v>
      </c>
      <c r="C66" s="3217"/>
      <c r="D66" s="3217"/>
      <c r="E66" s="3217"/>
      <c r="F66" s="3217"/>
      <c r="G66" s="3217"/>
      <c r="H66" s="3217"/>
      <c r="I66" s="3217"/>
      <c r="J66" s="3217"/>
      <c r="K66" s="3217"/>
      <c r="L66" s="3217"/>
      <c r="M66" s="3217"/>
      <c r="N66" s="2"/>
      <c r="O66" s="480"/>
      <c r="P66" s="480"/>
      <c r="Q66" s="480"/>
      <c r="T66" s="537"/>
      <c r="U66" s="537"/>
      <c r="V66" s="537"/>
      <c r="W66" s="537"/>
      <c r="X66" s="537"/>
      <c r="AF66" s="1"/>
      <c r="AG66" s="1"/>
      <c r="AH66" s="1"/>
      <c r="AI66" s="1"/>
      <c r="AJ66" s="1"/>
    </row>
    <row r="67" spans="1:36" s="3" customFormat="1" ht="6" customHeight="1" thickBot="1">
      <c r="A67" s="560"/>
      <c r="B67" s="11"/>
      <c r="C67" s="11"/>
      <c r="D67" s="11"/>
      <c r="E67" s="11"/>
      <c r="F67" s="11"/>
      <c r="G67" s="11"/>
      <c r="H67" s="11"/>
      <c r="I67" s="11"/>
      <c r="J67" s="11"/>
      <c r="K67" s="11"/>
      <c r="L67" s="11"/>
      <c r="M67" s="11"/>
      <c r="N67" s="766"/>
      <c r="O67" s="480"/>
      <c r="P67" s="480"/>
      <c r="Q67" s="480"/>
      <c r="T67" s="537"/>
      <c r="U67" s="537"/>
      <c r="V67" s="537"/>
      <c r="W67" s="537"/>
      <c r="X67" s="537"/>
      <c r="AF67" s="1"/>
      <c r="AG67" s="1"/>
      <c r="AH67" s="1"/>
      <c r="AI67" s="1"/>
      <c r="AJ67" s="1"/>
    </row>
    <row r="68" spans="1:36" ht="16.350000000000001" customHeight="1" thickBot="1">
      <c r="A68" s="558" t="s">
        <v>487</v>
      </c>
      <c r="B68" s="445"/>
      <c r="C68" s="455" t="s">
        <v>1365</v>
      </c>
      <c r="D68" s="455"/>
      <c r="E68" s="455"/>
      <c r="F68" s="455" t="s">
        <v>1366</v>
      </c>
      <c r="G68" s="455"/>
      <c r="H68" s="455"/>
      <c r="I68" s="455"/>
      <c r="J68" s="3177" t="s">
        <v>1164</v>
      </c>
      <c r="K68" s="3177"/>
      <c r="L68" s="3178" t="str">
        <f>IF(ISBLANK('Design Details &amp; Summary'!S3)," ",'Design Details &amp; Summary'!S3)</f>
        <v xml:space="preserve"> </v>
      </c>
      <c r="M68" s="3178"/>
      <c r="N68" s="561"/>
      <c r="O68" s="576"/>
      <c r="P68" s="576"/>
      <c r="Q68" s="576"/>
      <c r="T68" s="537"/>
      <c r="U68" s="537"/>
      <c r="V68" s="537"/>
      <c r="W68" s="537"/>
      <c r="X68" s="537"/>
      <c r="AH68" s="1"/>
      <c r="AI68" s="1"/>
    </row>
    <row r="69" spans="1:36" ht="15" customHeight="1">
      <c r="A69" s="517"/>
      <c r="N69" s="2"/>
      <c r="AH69" s="1"/>
      <c r="AI69" s="1"/>
    </row>
    <row r="70" spans="1:36" s="3" customFormat="1" ht="15" customHeight="1">
      <c r="A70" s="517"/>
      <c r="B70" s="1"/>
      <c r="C70" s="1"/>
      <c r="D70" s="1"/>
      <c r="E70" s="1"/>
      <c r="F70" s="1"/>
      <c r="G70" s="1"/>
      <c r="H70" s="1"/>
      <c r="I70" s="1"/>
      <c r="J70" s="1"/>
      <c r="K70" s="1"/>
      <c r="L70" s="1"/>
      <c r="M70" s="1"/>
      <c r="N70" s="2"/>
      <c r="O70" s="480"/>
      <c r="P70" s="480"/>
      <c r="Q70" s="480"/>
      <c r="AF70" s="1"/>
      <c r="AG70" s="1"/>
      <c r="AH70" s="1"/>
      <c r="AI70" s="1"/>
      <c r="AJ70" s="1"/>
    </row>
    <row r="71" spans="1:36" ht="15" customHeight="1">
      <c r="A71" s="517"/>
      <c r="N71" s="2"/>
      <c r="AH71" s="1"/>
      <c r="AI71" s="1"/>
    </row>
    <row r="72" spans="1:36" ht="15" customHeight="1">
      <c r="A72" s="517"/>
      <c r="N72" s="2"/>
      <c r="AH72" s="1"/>
      <c r="AI72" s="1"/>
    </row>
    <row r="73" spans="1:36" ht="15" customHeight="1">
      <c r="A73" s="517"/>
      <c r="N73" s="2"/>
      <c r="S73" s="3"/>
    </row>
    <row r="74" spans="1:36" ht="15" customHeight="1">
      <c r="A74" s="517"/>
      <c r="N74" s="2"/>
      <c r="R74" s="19"/>
    </row>
    <row r="75" spans="1:36" ht="15" customHeight="1">
      <c r="A75" s="517"/>
      <c r="N75" s="2"/>
      <c r="R75" s="19"/>
      <c r="S75" s="3"/>
    </row>
    <row r="76" spans="1:36" ht="15" customHeight="1">
      <c r="A76" s="517"/>
      <c r="N76" s="2"/>
    </row>
    <row r="77" spans="1:36" ht="15" customHeight="1">
      <c r="A77" s="517"/>
      <c r="N77" s="2"/>
      <c r="S77" s="3163"/>
      <c r="T77" s="3163"/>
      <c r="U77" s="3163"/>
      <c r="V77" s="3163"/>
      <c r="W77" s="3163"/>
      <c r="X77" s="3163"/>
      <c r="Y77" s="3163"/>
      <c r="Z77" s="3163"/>
      <c r="AA77" s="3163"/>
      <c r="AB77" s="3163"/>
      <c r="AC77" s="3163"/>
      <c r="AD77" s="3163"/>
    </row>
    <row r="78" spans="1:36" ht="15" customHeight="1">
      <c r="A78" s="517"/>
      <c r="N78" s="2"/>
      <c r="S78" s="3163"/>
      <c r="T78" s="3163"/>
      <c r="U78" s="3163"/>
      <c r="V78" s="3163"/>
      <c r="W78" s="3163"/>
      <c r="X78" s="3163"/>
      <c r="Y78" s="3163"/>
      <c r="Z78" s="3163"/>
      <c r="AA78" s="3163"/>
      <c r="AB78" s="3163"/>
      <c r="AC78" s="3163"/>
      <c r="AD78" s="3163"/>
    </row>
    <row r="79" spans="1:36" ht="15" customHeight="1">
      <c r="A79" s="517"/>
      <c r="N79" s="2"/>
    </row>
    <row r="80" spans="1:36" ht="15" customHeight="1">
      <c r="A80" s="517"/>
      <c r="N80" s="2"/>
      <c r="T80" s="60"/>
      <c r="U80" s="60"/>
      <c r="V80" s="9"/>
      <c r="W80" s="17"/>
      <c r="X80" s="17"/>
      <c r="Y80" s="4"/>
      <c r="Z80" s="60"/>
      <c r="AA80" s="60"/>
      <c r="AB80" s="4"/>
    </row>
    <row r="81" spans="1:35" ht="15" customHeight="1">
      <c r="A81" s="517"/>
      <c r="N81" s="2"/>
      <c r="S81" s="46"/>
      <c r="T81" s="4"/>
      <c r="U81" s="4"/>
      <c r="V81" s="4"/>
      <c r="W81" s="4"/>
      <c r="X81" s="4"/>
      <c r="Y81" s="4"/>
      <c r="Z81" s="4"/>
      <c r="AA81" s="4"/>
      <c r="AB81" s="4"/>
      <c r="AC81" s="4"/>
      <c r="AD81" s="4"/>
    </row>
    <row r="82" spans="1:35" ht="15" customHeight="1">
      <c r="A82" s="517"/>
      <c r="N82" s="2"/>
      <c r="S82" s="3"/>
    </row>
    <row r="83" spans="1:35" ht="15" customHeight="1">
      <c r="A83" s="517"/>
      <c r="N83" s="2"/>
    </row>
    <row r="84" spans="1:35" ht="15" customHeight="1">
      <c r="A84" s="517"/>
      <c r="N84" s="2"/>
      <c r="R84" s="71"/>
      <c r="S84" s="71"/>
      <c r="T84" s="71"/>
      <c r="U84" s="71"/>
      <c r="V84" s="71"/>
      <c r="W84" s="71"/>
      <c r="X84" s="71"/>
      <c r="Y84" s="71"/>
    </row>
    <row r="85" spans="1:35" ht="15" customHeight="1">
      <c r="A85" s="517"/>
      <c r="N85" s="2"/>
      <c r="S85" s="6"/>
      <c r="T85" s="6"/>
      <c r="U85" s="6"/>
      <c r="V85" s="2897"/>
      <c r="W85" s="2897"/>
    </row>
    <row r="86" spans="1:35" ht="15" customHeight="1">
      <c r="A86" s="517"/>
      <c r="N86" s="2"/>
      <c r="S86" s="8"/>
      <c r="T86" s="5"/>
      <c r="U86" s="3"/>
      <c r="V86" s="3"/>
      <c r="W86" s="3"/>
      <c r="X86" s="3"/>
      <c r="Y86" s="3"/>
      <c r="Z86" s="3"/>
      <c r="AA86" s="3"/>
      <c r="AB86" s="3"/>
      <c r="AC86" s="3"/>
      <c r="AD86" s="3"/>
      <c r="AH86" s="1"/>
      <c r="AI86" s="18"/>
    </row>
    <row r="87" spans="1:35" ht="15" customHeight="1">
      <c r="A87" s="517"/>
      <c r="N87" s="2"/>
      <c r="S87" s="8"/>
      <c r="U87" s="3164"/>
      <c r="V87" s="2868"/>
      <c r="W87" s="8"/>
      <c r="X87" s="2868"/>
      <c r="Y87" s="2868"/>
      <c r="Z87" s="8"/>
      <c r="AD87" s="4"/>
      <c r="AE87" s="3208"/>
      <c r="AF87" s="3208"/>
      <c r="AG87" s="8"/>
      <c r="AH87" s="1"/>
      <c r="AI87" s="18"/>
    </row>
    <row r="88" spans="1:35" ht="15" customHeight="1">
      <c r="A88" s="517"/>
      <c r="N88" s="2"/>
      <c r="S88" s="18"/>
      <c r="AH88" s="1"/>
      <c r="AI88" s="18"/>
    </row>
    <row r="89" spans="1:35" ht="15" customHeight="1">
      <c r="A89" s="517"/>
      <c r="N89" s="2"/>
      <c r="S89" s="8"/>
      <c r="T89" s="34"/>
      <c r="U89" s="4"/>
      <c r="V89" s="4"/>
      <c r="W89" s="4"/>
      <c r="X89" s="4"/>
      <c r="Y89" s="4"/>
      <c r="Z89" s="4"/>
      <c r="AA89" s="4"/>
      <c r="AB89" s="4"/>
      <c r="AC89" s="4"/>
      <c r="AD89" s="4"/>
      <c r="AE89" s="4"/>
      <c r="AH89" s="1"/>
      <c r="AI89" s="18"/>
    </row>
    <row r="90" spans="1:35" ht="15" customHeight="1">
      <c r="A90" s="517"/>
      <c r="N90" s="2"/>
      <c r="S90" s="8"/>
      <c r="T90" s="34"/>
      <c r="U90" s="4"/>
      <c r="V90" s="4"/>
      <c r="W90" s="4"/>
      <c r="X90" s="4"/>
      <c r="Y90" s="4"/>
      <c r="Z90" s="4"/>
      <c r="AA90" s="4"/>
      <c r="AB90" s="4"/>
      <c r="AC90" s="4"/>
      <c r="AD90" s="4"/>
      <c r="AE90" s="4"/>
      <c r="AH90" s="1"/>
      <c r="AI90" s="18"/>
    </row>
    <row r="91" spans="1:35" ht="15" customHeight="1">
      <c r="A91" s="517"/>
      <c r="N91" s="2"/>
      <c r="S91" s="8"/>
      <c r="T91" s="34"/>
      <c r="U91" s="4"/>
      <c r="V91" s="4"/>
      <c r="W91" s="4"/>
      <c r="X91" s="4"/>
      <c r="Y91" s="4"/>
      <c r="Z91" s="4"/>
      <c r="AA91" s="4"/>
      <c r="AB91" s="4"/>
      <c r="AC91" s="4"/>
      <c r="AD91" s="4"/>
      <c r="AE91" s="4"/>
      <c r="AH91" s="1"/>
      <c r="AI91" s="18"/>
    </row>
    <row r="92" spans="1:35" ht="15" customHeight="1">
      <c r="A92" s="517"/>
      <c r="N92" s="2"/>
      <c r="AB92" s="4"/>
      <c r="AC92" s="4"/>
      <c r="AD92" s="4"/>
      <c r="AE92" s="4"/>
      <c r="AH92" s="1"/>
      <c r="AI92" s="18"/>
    </row>
    <row r="93" spans="1:35" ht="6" customHeight="1">
      <c r="A93" s="517"/>
      <c r="J93" s="520"/>
      <c r="K93" s="520"/>
      <c r="N93" s="2"/>
      <c r="AB93" s="4"/>
      <c r="AC93" s="4"/>
      <c r="AD93" s="4"/>
      <c r="AE93" s="4"/>
      <c r="AH93" s="1"/>
      <c r="AI93" s="18"/>
    </row>
    <row r="94" spans="1:35" ht="29.25" customHeight="1">
      <c r="A94" s="517"/>
      <c r="C94" s="3167" t="s">
        <v>1367</v>
      </c>
      <c r="D94" s="3167"/>
      <c r="E94" s="3167"/>
      <c r="F94" s="3167"/>
      <c r="G94" s="3167"/>
      <c r="H94" s="3167"/>
      <c r="I94" s="3167"/>
      <c r="J94" s="3167"/>
      <c r="K94" s="3167"/>
      <c r="L94" s="3167"/>
      <c r="M94" s="3167"/>
      <c r="N94" s="2"/>
      <c r="AB94" s="4"/>
      <c r="AC94" s="4"/>
      <c r="AD94" s="4"/>
      <c r="AE94" s="4"/>
      <c r="AH94" s="1"/>
      <c r="AI94" s="18"/>
    </row>
    <row r="95" spans="1:35" ht="19.5" customHeight="1">
      <c r="A95" s="517"/>
      <c r="C95" s="1906"/>
      <c r="D95" s="1906"/>
      <c r="E95" s="1906"/>
      <c r="F95" s="1906"/>
      <c r="G95" s="1906"/>
      <c r="H95" s="528"/>
      <c r="I95" s="3120" t="s">
        <v>1255</v>
      </c>
      <c r="J95" s="3120"/>
      <c r="K95" s="3120"/>
      <c r="L95" s="3120"/>
      <c r="M95" s="3120"/>
      <c r="N95" s="2"/>
      <c r="AB95" s="4"/>
      <c r="AC95" s="4"/>
      <c r="AD95" s="4"/>
      <c r="AE95" s="4"/>
      <c r="AH95" s="1"/>
      <c r="AI95" s="18"/>
    </row>
    <row r="96" spans="1:35" ht="15">
      <c r="A96" s="517"/>
      <c r="H96" s="3118"/>
      <c r="I96" s="3118"/>
      <c r="J96" s="3118"/>
      <c r="K96" s="3118"/>
      <c r="L96" s="3118"/>
      <c r="M96" s="3118"/>
      <c r="N96" s="2"/>
      <c r="AB96" s="4"/>
      <c r="AC96" s="4"/>
      <c r="AD96" s="4"/>
      <c r="AE96" s="4"/>
      <c r="AH96" s="1"/>
      <c r="AI96" s="18"/>
    </row>
    <row r="97" spans="1:35" s="394" customFormat="1" ht="19.5" customHeight="1">
      <c r="A97" s="413"/>
      <c r="C97" s="528" t="s">
        <v>1368</v>
      </c>
      <c r="F97" s="2157" t="str">
        <f>IF('Design Details &amp; Summary'!AA77=0,"",IF('Design Details &amp; Summary'!AA77=3,'Design Details &amp; Summary'!G96,""))</f>
        <v/>
      </c>
      <c r="G97" s="394" t="s">
        <v>1309</v>
      </c>
      <c r="I97" s="3057" t="s">
        <v>1369</v>
      </c>
      <c r="J97" s="3057"/>
      <c r="K97" s="3057"/>
      <c r="L97" s="3210" t="str">
        <f>IF(ISBLANK(C32)," ",'Design Details &amp; Summary'!M94)</f>
        <v xml:space="preserve"> </v>
      </c>
      <c r="M97" s="3210"/>
      <c r="N97" s="2" t="s">
        <v>609</v>
      </c>
      <c r="Q97" s="1530" t="str">
        <f>IF(ISBLANK(C32)," ",(IF(G25="Rock",((G46*12)+M68),(IF(K25="Chamber",S68+(4/12),(IF(K25="Chamber Low Profile",S68+(2/12),(IF(K25="Chamber High Capacity",S68+(2/12),(IF(K25="EzFlow",S68+(6/12)," ")))))))))))</f>
        <v xml:space="preserve"> </v>
      </c>
    </row>
    <row r="98" spans="1:35" ht="6" customHeight="1">
      <c r="A98" s="517"/>
      <c r="L98" s="74"/>
      <c r="M98" s="74"/>
      <c r="N98" s="2"/>
      <c r="R98" s="3192"/>
      <c r="S98" s="3192"/>
      <c r="T98" s="3192"/>
      <c r="U98" s="3192"/>
      <c r="V98" s="3192"/>
      <c r="AB98" s="4"/>
      <c r="AC98" s="4"/>
      <c r="AD98" s="4"/>
      <c r="AE98" s="4"/>
      <c r="AH98" s="1"/>
      <c r="AI98" s="18"/>
    </row>
    <row r="99" spans="1:35" ht="19.5" customHeight="1">
      <c r="A99" s="517"/>
      <c r="B99" s="3223" t="s">
        <v>1049</v>
      </c>
      <c r="C99" s="3223"/>
      <c r="D99" s="3223"/>
      <c r="E99" s="2834" t="str">
        <f>IF(ISBLANK(G25)," ",(IF(G25="Rock",(G25),(K25))))</f>
        <v/>
      </c>
      <c r="F99" s="2834"/>
      <c r="G99" s="2834"/>
      <c r="H99" s="3057" t="s">
        <v>1370</v>
      </c>
      <c r="I99" s="3057"/>
      <c r="J99" s="3057"/>
      <c r="K99" s="3209"/>
      <c r="L99" s="3210" t="str">
        <f>IF(ISBLANK(C32)," ",('Design Details &amp; Summary'!K96)+L97)</f>
        <v xml:space="preserve"> </v>
      </c>
      <c r="M99" s="3210"/>
      <c r="N99" s="2" t="s">
        <v>609</v>
      </c>
      <c r="V99" s="1509"/>
      <c r="AB99" s="4"/>
      <c r="AC99" s="4"/>
      <c r="AD99" s="4"/>
      <c r="AE99" s="4"/>
      <c r="AH99" s="1"/>
      <c r="AI99" s="18"/>
    </row>
    <row r="100" spans="1:35" ht="6" customHeight="1">
      <c r="A100" s="517"/>
      <c r="L100" s="74"/>
      <c r="M100" s="74"/>
      <c r="N100" s="2"/>
      <c r="O100" s="1"/>
      <c r="P100" s="1"/>
      <c r="Q100" s="1"/>
      <c r="R100" s="6"/>
      <c r="S100" s="6"/>
      <c r="T100" s="6"/>
      <c r="U100" s="6"/>
      <c r="V100" s="6"/>
      <c r="AB100" s="4"/>
      <c r="AC100" s="4"/>
      <c r="AD100" s="4"/>
      <c r="AE100" s="4"/>
      <c r="AH100" s="1"/>
      <c r="AI100" s="18"/>
    </row>
    <row r="101" spans="1:35" ht="21" customHeight="1">
      <c r="A101" s="517"/>
      <c r="B101" s="3193" t="s">
        <v>1371</v>
      </c>
      <c r="C101" s="3193"/>
      <c r="D101" s="3193"/>
      <c r="E101" s="3221" t="str">
        <f>IF(ISBLANK(C32),"",C32)</f>
        <v/>
      </c>
      <c r="F101" s="3221"/>
      <c r="G101" s="528" t="s">
        <v>1309</v>
      </c>
      <c r="H101" s="3057" t="s">
        <v>1372</v>
      </c>
      <c r="I101" s="3057"/>
      <c r="J101" s="3057"/>
      <c r="K101" s="3057"/>
      <c r="L101" s="3210" t="str">
        <f>IF(ISBLANK(C32)," ",'Design Details &amp; Summary'!K98)</f>
        <v xml:space="preserve"> </v>
      </c>
      <c r="M101" s="3210"/>
      <c r="N101" s="2" t="s">
        <v>609</v>
      </c>
      <c r="O101" s="1"/>
      <c r="P101" s="1"/>
      <c r="Q101" s="1"/>
      <c r="R101" s="721"/>
      <c r="S101" s="721"/>
      <c r="T101" s="6"/>
      <c r="U101" s="6"/>
      <c r="V101" s="6"/>
      <c r="AB101" s="4"/>
      <c r="AC101" s="4"/>
      <c r="AD101" s="4"/>
      <c r="AE101" s="4"/>
      <c r="AH101" s="1"/>
      <c r="AI101" s="18"/>
    </row>
    <row r="102" spans="1:35" ht="6" customHeight="1">
      <c r="A102" s="517"/>
      <c r="B102" s="3193"/>
      <c r="C102" s="3193"/>
      <c r="D102" s="3193"/>
      <c r="L102" s="23"/>
      <c r="M102" s="23"/>
      <c r="N102" s="2"/>
      <c r="O102" s="1"/>
      <c r="P102" s="1"/>
      <c r="Q102" s="1"/>
      <c r="R102" s="6"/>
      <c r="S102" s="6"/>
      <c r="T102" s="6"/>
      <c r="U102" s="6"/>
      <c r="V102" s="6"/>
      <c r="AB102" s="4"/>
      <c r="AC102" s="4"/>
      <c r="AD102" s="4"/>
      <c r="AE102" s="4"/>
      <c r="AH102" s="1"/>
      <c r="AI102" s="18"/>
    </row>
    <row r="103" spans="1:35" ht="6" customHeight="1">
      <c r="A103" s="517"/>
      <c r="B103" s="1995"/>
      <c r="C103" s="1995"/>
      <c r="D103" s="1995"/>
      <c r="L103" s="23"/>
      <c r="M103" s="23"/>
      <c r="N103" s="2"/>
      <c r="O103" s="1"/>
      <c r="P103" s="1"/>
      <c r="Q103" s="1"/>
      <c r="R103" s="6"/>
      <c r="S103" s="6"/>
      <c r="T103" s="6"/>
      <c r="U103" s="6"/>
      <c r="V103" s="6"/>
      <c r="AB103" s="4"/>
      <c r="AC103" s="4"/>
      <c r="AD103" s="4"/>
      <c r="AE103" s="4"/>
      <c r="AH103" s="1"/>
      <c r="AI103" s="18"/>
    </row>
    <row r="104" spans="1:35" ht="19.5" customHeight="1">
      <c r="A104" s="517"/>
      <c r="C104" s="3132" t="s">
        <v>1307</v>
      </c>
      <c r="D104" s="3132"/>
      <c r="E104" s="3133"/>
      <c r="F104" s="3228" t="str">
        <f>IF('Design Details &amp; Summary'!AA77=3,'Pres. Dist. STA'!I35,"")</f>
        <v/>
      </c>
      <c r="G104" s="2957"/>
      <c r="H104" s="1996"/>
      <c r="I104" s="3132" t="s">
        <v>1373</v>
      </c>
      <c r="J104" s="3132"/>
      <c r="K104" s="3133"/>
      <c r="L104" s="1380" t="str">
        <f>IF('Design Details &amp; Summary'!AA77=3,'Pres. Dist. STA'!I33,"")</f>
        <v/>
      </c>
      <c r="M104" s="1203" t="s">
        <v>1309</v>
      </c>
      <c r="N104" s="2"/>
      <c r="AB104" s="4"/>
      <c r="AC104" s="4"/>
      <c r="AD104" s="4"/>
      <c r="AE104" s="4"/>
      <c r="AH104" s="1"/>
      <c r="AI104" s="18"/>
    </row>
    <row r="105" spans="1:35" ht="6" customHeight="1">
      <c r="A105" s="517"/>
      <c r="C105" s="653"/>
      <c r="D105" s="653"/>
      <c r="E105" s="653"/>
      <c r="F105" s="1554"/>
      <c r="G105" s="527"/>
      <c r="H105" s="721"/>
      <c r="I105" s="721"/>
      <c r="J105" s="721"/>
      <c r="K105" s="721"/>
      <c r="L105" s="20"/>
      <c r="M105" s="20"/>
      <c r="N105" s="2"/>
      <c r="AB105" s="4"/>
      <c r="AC105" s="4"/>
      <c r="AD105" s="4"/>
      <c r="AE105" s="4"/>
      <c r="AH105" s="1"/>
      <c r="AI105" s="18"/>
    </row>
    <row r="106" spans="1:35" ht="19.5" customHeight="1">
      <c r="A106" s="517"/>
      <c r="C106" s="3132" t="s">
        <v>1308</v>
      </c>
      <c r="D106" s="3132"/>
      <c r="E106" s="3133"/>
      <c r="F106" s="1380" t="str">
        <f>IF('Design Details &amp; Summary'!AA77=3,'Pres. Dist. STA'!I31,"")</f>
        <v/>
      </c>
      <c r="G106" s="1203" t="s">
        <v>1309</v>
      </c>
      <c r="I106" s="3190" t="s">
        <v>1310</v>
      </c>
      <c r="J106" s="3190"/>
      <c r="K106" s="3191"/>
      <c r="L106" s="1206" t="str">
        <f>IF('Design Details &amp; Summary'!AA77=3,('Pres. Dist. STA'!I21)*12,"")</f>
        <v/>
      </c>
      <c r="M106" s="1909" t="s">
        <v>1309</v>
      </c>
      <c r="N106" s="2"/>
      <c r="Q106" s="1"/>
      <c r="AB106" s="4"/>
      <c r="AC106" s="4"/>
      <c r="AD106" s="4"/>
      <c r="AE106" s="4"/>
      <c r="AH106" s="1"/>
      <c r="AI106" s="18"/>
    </row>
    <row r="107" spans="1:35" ht="6" customHeight="1">
      <c r="A107" s="517"/>
      <c r="C107" s="653"/>
      <c r="D107" s="653"/>
      <c r="E107" s="653"/>
      <c r="F107" s="1554"/>
      <c r="G107" s="527"/>
      <c r="I107" s="548"/>
      <c r="J107" s="548"/>
      <c r="K107" s="1093"/>
      <c r="L107" s="548"/>
      <c r="M107" s="528"/>
      <c r="N107" s="2"/>
      <c r="O107" s="1"/>
      <c r="P107" s="1"/>
      <c r="Q107" s="1"/>
      <c r="AB107" s="4"/>
      <c r="AC107" s="4"/>
      <c r="AD107" s="4"/>
      <c r="AE107" s="4"/>
      <c r="AH107" s="1"/>
      <c r="AI107" s="18"/>
    </row>
    <row r="108" spans="1:35" ht="18" customHeight="1">
      <c r="A108" s="517"/>
      <c r="C108" s="3222" t="s">
        <v>1374</v>
      </c>
      <c r="D108" s="3222"/>
      <c r="E108" s="3222"/>
      <c r="F108" s="3222"/>
      <c r="G108" s="3222"/>
      <c r="H108" s="3222"/>
      <c r="I108" s="3222"/>
      <c r="J108" s="3222"/>
      <c r="K108" s="3222"/>
      <c r="L108" s="3222"/>
      <c r="M108" s="3222"/>
      <c r="N108" s="2"/>
      <c r="AB108" s="4"/>
      <c r="AC108" s="4"/>
      <c r="AD108" s="4"/>
      <c r="AE108" s="4"/>
      <c r="AH108" s="1"/>
      <c r="AI108" s="18"/>
    </row>
    <row r="109" spans="1:35" ht="6" customHeight="1" thickBot="1">
      <c r="A109" s="560"/>
      <c r="B109" s="11"/>
      <c r="C109" s="11"/>
      <c r="D109" s="11"/>
      <c r="E109" s="11"/>
      <c r="F109" s="11"/>
      <c r="G109" s="11"/>
      <c r="H109" s="11"/>
      <c r="I109" s="11"/>
      <c r="J109" s="11"/>
      <c r="K109" s="11"/>
      <c r="L109" s="11"/>
      <c r="M109" s="11"/>
      <c r="N109" s="766"/>
      <c r="AH109" s="1"/>
      <c r="AI109" s="18"/>
    </row>
    <row r="110" spans="1:35" ht="16.350000000000001" customHeight="1" thickBot="1">
      <c r="A110" s="558" t="s">
        <v>493</v>
      </c>
      <c r="B110" s="445"/>
      <c r="C110" s="562" t="s">
        <v>1375</v>
      </c>
      <c r="D110" s="562"/>
      <c r="E110" s="562"/>
      <c r="F110" s="562"/>
      <c r="G110" s="562"/>
      <c r="H110" s="562"/>
      <c r="I110" s="562"/>
      <c r="J110" s="3177" t="s">
        <v>1164</v>
      </c>
      <c r="K110" s="3177"/>
      <c r="L110" s="3178" t="str">
        <f>IF(ISBLANK('Design Details &amp; Summary'!S3)," ",'Design Details &amp; Summary'!S3)</f>
        <v xml:space="preserve"> </v>
      </c>
      <c r="M110" s="3178"/>
      <c r="N110" s="769"/>
    </row>
    <row r="111" spans="1:35" ht="6" customHeight="1">
      <c r="A111" s="559"/>
      <c r="B111" s="3"/>
      <c r="C111" s="3"/>
      <c r="N111" s="2"/>
      <c r="AH111" s="1"/>
      <c r="AI111" s="1"/>
    </row>
    <row r="112" spans="1:35" ht="14.45" customHeight="1">
      <c r="A112" s="559"/>
      <c r="B112" s="3"/>
      <c r="C112" s="5" t="s">
        <v>1376</v>
      </c>
      <c r="N112" s="2"/>
      <c r="AH112" s="1"/>
      <c r="AI112" s="1"/>
    </row>
    <row r="113" spans="1:35" ht="18" customHeight="1">
      <c r="A113" s="516"/>
      <c r="B113" s="71" t="s">
        <v>1011</v>
      </c>
      <c r="C113" s="5" t="s">
        <v>1377</v>
      </c>
      <c r="D113" s="3"/>
      <c r="E113" s="3"/>
      <c r="F113" s="3"/>
      <c r="G113" s="3"/>
      <c r="H113" s="3"/>
      <c r="I113" s="3"/>
      <c r="J113" s="3"/>
      <c r="K113" s="3"/>
      <c r="L113" s="3"/>
      <c r="M113" s="3"/>
      <c r="N113" s="683"/>
      <c r="O113" s="571"/>
      <c r="P113" s="571"/>
      <c r="Q113" s="571"/>
      <c r="AH113" s="1"/>
      <c r="AI113" s="1"/>
    </row>
    <row r="114" spans="1:35" ht="20.100000000000001" customHeight="1">
      <c r="A114" s="564"/>
      <c r="B114" s="43"/>
      <c r="C114" s="3174" t="str">
        <f>F63</f>
        <v xml:space="preserve"> </v>
      </c>
      <c r="D114" s="3175"/>
      <c r="E114" s="19" t="s">
        <v>1378</v>
      </c>
      <c r="F114" s="3196">
        <v>1</v>
      </c>
      <c r="G114" s="3197"/>
      <c r="H114" s="640" t="s">
        <v>1336</v>
      </c>
      <c r="I114" s="3174" t="str">
        <f>K8</f>
        <v/>
      </c>
      <c r="J114" s="3175"/>
      <c r="K114" s="8" t="s">
        <v>1379</v>
      </c>
      <c r="L114" s="3165" t="str">
        <f>IFERROR((C114*(F114+I114)),"")</f>
        <v/>
      </c>
      <c r="M114" s="3166"/>
      <c r="N114" s="518" t="s">
        <v>1089</v>
      </c>
      <c r="O114" s="571"/>
      <c r="AH114" s="1"/>
      <c r="AI114" s="1"/>
    </row>
    <row r="115" spans="1:35" ht="6" customHeight="1">
      <c r="A115" s="559"/>
      <c r="B115" s="3"/>
      <c r="C115" s="3"/>
      <c r="D115" s="3"/>
      <c r="E115" s="3"/>
      <c r="F115" s="3"/>
      <c r="G115" s="3"/>
      <c r="N115" s="2"/>
      <c r="P115" s="571"/>
      <c r="Q115" s="571"/>
      <c r="AH115" s="1"/>
      <c r="AI115" s="1"/>
    </row>
    <row r="116" spans="1:35" ht="18" customHeight="1">
      <c r="A116" s="517"/>
      <c r="B116" s="71" t="s">
        <v>1019</v>
      </c>
      <c r="C116" s="5" t="s">
        <v>1380</v>
      </c>
      <c r="D116" s="19"/>
      <c r="E116" s="19"/>
      <c r="F116" s="8"/>
      <c r="G116" s="19"/>
      <c r="H116" s="19"/>
      <c r="I116" s="8"/>
      <c r="J116" s="19"/>
      <c r="K116" s="19"/>
      <c r="L116" s="8"/>
      <c r="M116" s="8"/>
      <c r="N116" s="683"/>
      <c r="O116" s="571"/>
      <c r="P116" s="571"/>
      <c r="Q116" s="571"/>
      <c r="AH116" s="1"/>
      <c r="AI116" s="1"/>
    </row>
    <row r="117" spans="1:35" ht="20.100000000000001" customHeight="1">
      <c r="A117" s="559"/>
      <c r="B117" s="43"/>
      <c r="C117" s="3165" t="str">
        <f>L114</f>
        <v/>
      </c>
      <c r="D117" s="3166"/>
      <c r="E117" s="50" t="s">
        <v>1381</v>
      </c>
      <c r="F117" s="3198">
        <f>IF(ISBLANK(F114)," ",(C32/12)+0.25)</f>
        <v>0.25</v>
      </c>
      <c r="G117" s="3199"/>
      <c r="H117" s="1516" t="s">
        <v>1382</v>
      </c>
      <c r="I117" s="3174" t="str">
        <f>IFERROR(((C117*F117)/2),"")</f>
        <v/>
      </c>
      <c r="J117" s="3175"/>
      <c r="K117" s="8" t="s">
        <v>1241</v>
      </c>
      <c r="N117" s="518"/>
      <c r="AH117" s="1"/>
      <c r="AI117" s="1"/>
    </row>
    <row r="118" spans="1:35" ht="6" customHeight="1">
      <c r="A118" s="559"/>
      <c r="B118" s="3"/>
      <c r="C118" s="3"/>
      <c r="D118" s="3"/>
      <c r="E118" s="3"/>
      <c r="F118" s="3"/>
      <c r="G118" s="4"/>
      <c r="N118" s="2"/>
      <c r="P118" s="577"/>
      <c r="Q118" s="577"/>
      <c r="AH118" s="1"/>
      <c r="AI118" s="1"/>
    </row>
    <row r="119" spans="1:35" ht="18" customHeight="1">
      <c r="A119" s="517"/>
      <c r="B119" s="71" t="s">
        <v>1168</v>
      </c>
      <c r="C119" s="5" t="s">
        <v>1383</v>
      </c>
      <c r="D119" s="19"/>
      <c r="E119" s="19"/>
      <c r="F119" s="3"/>
      <c r="G119" s="3"/>
      <c r="H119" s="3"/>
      <c r="I119" s="9"/>
      <c r="J119" s="3"/>
      <c r="K119" s="3"/>
      <c r="N119" s="2"/>
      <c r="AH119" s="1"/>
      <c r="AI119" s="1"/>
    </row>
    <row r="120" spans="1:35" ht="19.5" customHeight="1">
      <c r="A120" s="559"/>
      <c r="B120" s="3"/>
      <c r="C120" s="3174" t="str">
        <f>I117</f>
        <v/>
      </c>
      <c r="D120" s="3175"/>
      <c r="E120" s="640" t="s">
        <v>1384</v>
      </c>
      <c r="F120" s="2158">
        <v>27</v>
      </c>
      <c r="G120" s="19" t="s">
        <v>1240</v>
      </c>
      <c r="H120" s="3174" t="str">
        <f>IFERROR((C120/27),"")</f>
        <v/>
      </c>
      <c r="I120" s="3175"/>
      <c r="J120" s="640" t="s">
        <v>1243</v>
      </c>
      <c r="K120" s="19"/>
      <c r="L120" s="19"/>
      <c r="M120" s="3215"/>
      <c r="N120" s="3216"/>
      <c r="O120" s="571"/>
      <c r="P120" s="577"/>
      <c r="Q120" s="577"/>
      <c r="AH120" s="1"/>
      <c r="AI120" s="1"/>
    </row>
    <row r="121" spans="1:35" ht="6.75" customHeight="1">
      <c r="A121" s="559"/>
      <c r="B121" s="3"/>
      <c r="C121" s="1933"/>
      <c r="D121" s="1933"/>
      <c r="E121" s="1933"/>
      <c r="F121" s="1933"/>
      <c r="G121" s="1933"/>
      <c r="H121" s="23"/>
      <c r="I121" s="23"/>
      <c r="J121" s="23"/>
      <c r="K121" s="23"/>
      <c r="L121" s="23"/>
      <c r="M121" s="23"/>
      <c r="N121" s="2159"/>
      <c r="O121" s="571"/>
      <c r="P121" s="577"/>
      <c r="Q121" s="577"/>
      <c r="AH121" s="1"/>
      <c r="AI121" s="1"/>
    </row>
    <row r="122" spans="1:35" ht="19.5" customHeight="1">
      <c r="A122" s="559"/>
      <c r="B122" s="3" t="s">
        <v>1172</v>
      </c>
      <c r="C122" s="1933" t="s">
        <v>1385</v>
      </c>
      <c r="D122" s="1933"/>
      <c r="E122" s="1933"/>
      <c r="F122" s="1933"/>
      <c r="G122" s="1933"/>
      <c r="H122" s="3174" t="str">
        <f>H120</f>
        <v/>
      </c>
      <c r="I122" s="3175"/>
      <c r="J122" s="3219" t="s">
        <v>1386</v>
      </c>
      <c r="K122" s="3220"/>
      <c r="L122" s="3194" t="str">
        <f>IFERROR((H122*1.2),"")</f>
        <v/>
      </c>
      <c r="M122" s="3195"/>
      <c r="N122" s="2160" t="s">
        <v>1243</v>
      </c>
      <c r="Q122" s="577"/>
      <c r="AH122" s="1"/>
      <c r="AI122" s="1"/>
    </row>
    <row r="123" spans="1:35" ht="6" customHeight="1">
      <c r="A123" s="559"/>
      <c r="B123" s="3"/>
      <c r="C123" s="3"/>
      <c r="D123" s="3"/>
      <c r="E123" s="3"/>
      <c r="F123" s="3"/>
      <c r="G123" s="3"/>
      <c r="N123" s="2"/>
      <c r="O123" s="571"/>
      <c r="P123" s="577"/>
      <c r="Q123" s="577"/>
      <c r="AH123" s="1"/>
      <c r="AI123" s="1"/>
    </row>
    <row r="124" spans="1:35" ht="18" customHeight="1">
      <c r="A124" s="517"/>
      <c r="B124" s="71" t="s">
        <v>1177</v>
      </c>
      <c r="C124" s="5" t="s">
        <v>1387</v>
      </c>
      <c r="D124" s="19"/>
      <c r="E124" s="19"/>
      <c r="F124" s="9"/>
      <c r="G124" s="9"/>
      <c r="H124" s="9"/>
      <c r="I124" s="19"/>
      <c r="J124" s="19"/>
      <c r="K124" s="8"/>
      <c r="L124" s="8"/>
      <c r="M124" s="3"/>
      <c r="N124" s="683"/>
      <c r="O124" s="571"/>
      <c r="P124" s="571"/>
      <c r="Q124" s="571"/>
      <c r="AH124" s="1"/>
      <c r="AI124" s="1"/>
    </row>
    <row r="125" spans="1:35" ht="18" customHeight="1">
      <c r="A125" s="559"/>
      <c r="C125" s="5" t="s">
        <v>1388</v>
      </c>
      <c r="D125" s="3"/>
      <c r="E125" s="3"/>
      <c r="F125" s="3"/>
      <c r="G125" s="3"/>
      <c r="H125" s="3"/>
      <c r="I125" s="3"/>
      <c r="J125" s="3"/>
      <c r="K125" s="3"/>
      <c r="L125" s="3"/>
      <c r="M125" s="3"/>
      <c r="N125" s="683"/>
      <c r="O125" s="571"/>
      <c r="P125" s="571"/>
      <c r="Q125" s="568"/>
      <c r="AH125" s="1"/>
      <c r="AI125" s="1"/>
    </row>
    <row r="126" spans="1:35" ht="20.100000000000001" customHeight="1">
      <c r="A126" s="559"/>
      <c r="B126" s="3"/>
      <c r="C126" s="3174" t="str">
        <f>IF(ISBLANK(G25),"",I61)</f>
        <v/>
      </c>
      <c r="D126" s="3175"/>
      <c r="E126" s="640" t="s">
        <v>1389</v>
      </c>
      <c r="F126" s="3174" t="str">
        <f>IF(ISBLANK(G25),"",L63)</f>
        <v/>
      </c>
      <c r="G126" s="3175"/>
      <c r="H126" s="8" t="s">
        <v>1390</v>
      </c>
      <c r="I126" s="3" t="s">
        <v>1391</v>
      </c>
      <c r="J126" s="3174" t="str">
        <f>IF(ISBLANK(I117),"",I117)</f>
        <v/>
      </c>
      <c r="K126" s="3175"/>
      <c r="L126" s="4" t="s">
        <v>1392</v>
      </c>
      <c r="M126" s="3174" t="str">
        <f>IFERROR(((C126*F126*1.5/2)-J126),"")</f>
        <v/>
      </c>
      <c r="N126" s="3204"/>
      <c r="AH126" s="1"/>
      <c r="AI126" s="1"/>
    </row>
    <row r="127" spans="1:35" ht="6" customHeight="1">
      <c r="A127" s="559"/>
      <c r="B127" s="3"/>
      <c r="C127" s="3"/>
      <c r="D127" s="3"/>
      <c r="E127" s="3"/>
      <c r="F127" s="3"/>
      <c r="G127" s="1998"/>
      <c r="H127" s="1998"/>
      <c r="I127" s="4"/>
      <c r="J127" s="1998"/>
      <c r="K127" s="1998"/>
      <c r="L127" s="4"/>
      <c r="M127" s="1998"/>
      <c r="N127" s="770"/>
      <c r="O127" s="569"/>
      <c r="P127" s="569"/>
      <c r="Q127" s="568"/>
      <c r="AH127" s="1"/>
      <c r="AI127" s="1"/>
    </row>
    <row r="128" spans="1:35" ht="18" customHeight="1">
      <c r="A128" s="517"/>
      <c r="B128" s="71" t="s">
        <v>1179</v>
      </c>
      <c r="C128" s="5" t="s">
        <v>1393</v>
      </c>
      <c r="D128" s="3"/>
      <c r="E128" s="3"/>
      <c r="F128" s="3"/>
      <c r="G128" s="3"/>
      <c r="H128" s="3"/>
      <c r="I128" s="3"/>
      <c r="J128" s="3"/>
      <c r="K128" s="3"/>
      <c r="L128" s="3"/>
      <c r="M128" s="3"/>
      <c r="N128" s="683"/>
      <c r="O128" s="571"/>
      <c r="P128" s="571"/>
      <c r="Q128" s="571"/>
      <c r="AH128" s="1"/>
      <c r="AI128" s="1"/>
    </row>
    <row r="129" spans="1:35" ht="20.100000000000001" customHeight="1">
      <c r="A129" s="559"/>
      <c r="B129" s="43"/>
      <c r="C129" s="3174" t="str">
        <f>M126</f>
        <v/>
      </c>
      <c r="D129" s="3175"/>
      <c r="E129" s="4" t="s">
        <v>1394</v>
      </c>
      <c r="F129" s="60">
        <v>27</v>
      </c>
      <c r="G129" s="4" t="s">
        <v>1240</v>
      </c>
      <c r="H129" s="3174" t="str">
        <f>IFERROR((C129/27),"")</f>
        <v/>
      </c>
      <c r="I129" s="3175"/>
      <c r="J129" s="8" t="s">
        <v>1243</v>
      </c>
      <c r="N129" s="2"/>
      <c r="O129" s="569"/>
      <c r="P129" s="569"/>
      <c r="Q129" s="568"/>
      <c r="AH129" s="1"/>
      <c r="AI129" s="1"/>
    </row>
    <row r="130" spans="1:35" ht="6" customHeight="1">
      <c r="A130" s="559"/>
      <c r="B130" s="3"/>
      <c r="C130" s="3" t="s">
        <v>1395</v>
      </c>
      <c r="D130" s="3"/>
      <c r="E130" s="3"/>
      <c r="F130" s="1998"/>
      <c r="G130" s="1998"/>
      <c r="H130" s="4"/>
      <c r="I130" s="1998"/>
      <c r="J130" s="1998"/>
      <c r="K130" s="4"/>
      <c r="L130" s="3"/>
      <c r="M130" s="3"/>
      <c r="N130" s="683"/>
      <c r="O130" s="571"/>
      <c r="P130" s="571"/>
      <c r="Q130" s="568"/>
      <c r="AH130" s="1"/>
      <c r="AI130" s="1"/>
    </row>
    <row r="131" spans="1:35" ht="20.100000000000001" customHeight="1">
      <c r="A131" s="517"/>
      <c r="B131" s="71" t="s">
        <v>1181</v>
      </c>
      <c r="C131" s="3" t="s">
        <v>1385</v>
      </c>
      <c r="D131" s="3"/>
      <c r="E131" s="3"/>
      <c r="F131" s="3"/>
      <c r="G131" s="3174" t="str">
        <f>H129</f>
        <v/>
      </c>
      <c r="H131" s="3175"/>
      <c r="I131" s="4" t="s">
        <v>1396</v>
      </c>
      <c r="J131" s="19">
        <v>1.2</v>
      </c>
      <c r="K131" s="4" t="s">
        <v>1240</v>
      </c>
      <c r="L131" s="3194" t="str">
        <f>IFERROR((G131*1.2),"")</f>
        <v/>
      </c>
      <c r="M131" s="3195"/>
      <c r="N131" s="518" t="s">
        <v>1243</v>
      </c>
      <c r="O131" s="571"/>
      <c r="P131" s="571"/>
      <c r="AH131" s="1"/>
      <c r="AI131" s="1"/>
    </row>
    <row r="132" spans="1:35" ht="6" customHeight="1">
      <c r="A132" s="559"/>
      <c r="B132" s="3"/>
      <c r="C132" s="3"/>
      <c r="D132" s="3"/>
      <c r="E132" s="3"/>
      <c r="F132" s="3"/>
      <c r="G132" s="3"/>
      <c r="H132" s="3"/>
      <c r="I132" s="3"/>
      <c r="J132" s="3"/>
      <c r="K132" s="19"/>
      <c r="L132" s="19"/>
      <c r="M132" s="4"/>
      <c r="N132" s="764"/>
      <c r="O132" s="569"/>
      <c r="P132" s="569"/>
      <c r="Q132" s="568"/>
      <c r="AH132" s="1"/>
      <c r="AI132" s="1"/>
    </row>
    <row r="133" spans="1:35" ht="18" customHeight="1">
      <c r="A133" s="517"/>
      <c r="B133" s="71" t="s">
        <v>1184</v>
      </c>
      <c r="C133" s="3" t="s">
        <v>1397</v>
      </c>
      <c r="D133" s="3"/>
      <c r="E133" s="3"/>
      <c r="F133" s="3"/>
      <c r="G133" s="3"/>
      <c r="H133" s="3"/>
      <c r="I133" s="3"/>
      <c r="J133" s="3"/>
      <c r="K133" s="19"/>
      <c r="L133" s="19"/>
      <c r="M133" s="4"/>
      <c r="N133" s="764"/>
      <c r="O133" s="569"/>
      <c r="P133" s="569"/>
      <c r="Q133" s="568"/>
      <c r="AH133" s="1"/>
      <c r="AI133" s="1"/>
    </row>
    <row r="134" spans="1:35" ht="20.100000000000001" customHeight="1">
      <c r="A134" s="559"/>
      <c r="B134" s="3"/>
      <c r="C134" s="3174" t="str">
        <f>IF(ISBLANK(#REF!),"",I61)</f>
        <v/>
      </c>
      <c r="D134" s="3175"/>
      <c r="E134" s="19" t="s">
        <v>1389</v>
      </c>
      <c r="F134" s="3174" t="str">
        <f>IF(ISBLANK(#REF!),"",L63)</f>
        <v/>
      </c>
      <c r="G134" s="3175"/>
      <c r="H134" s="19" t="s">
        <v>1229</v>
      </c>
      <c r="I134" s="19">
        <v>0.5</v>
      </c>
      <c r="J134" s="19" t="s">
        <v>1240</v>
      </c>
      <c r="K134" s="3174" t="str">
        <f>IFERROR((C134*F134*0.5),"")</f>
        <v/>
      </c>
      <c r="L134" s="3175"/>
      <c r="M134" s="8" t="s">
        <v>1241</v>
      </c>
      <c r="N134" s="2"/>
      <c r="AH134" s="1"/>
      <c r="AI134" s="1"/>
    </row>
    <row r="135" spans="1:35" ht="6" customHeight="1">
      <c r="A135" s="559"/>
      <c r="B135" s="3"/>
      <c r="C135" s="3"/>
      <c r="D135" s="3"/>
      <c r="E135" s="3"/>
      <c r="F135" s="3"/>
      <c r="G135" s="3"/>
      <c r="H135" s="4"/>
      <c r="I135" s="4"/>
      <c r="J135" s="4"/>
      <c r="K135" s="4"/>
      <c r="L135" s="4"/>
      <c r="M135" s="4"/>
      <c r="N135" s="764"/>
      <c r="O135" s="477"/>
      <c r="P135" s="477"/>
      <c r="Q135" s="568"/>
      <c r="AH135" s="1"/>
      <c r="AI135" s="1"/>
    </row>
    <row r="136" spans="1:35" ht="18" customHeight="1">
      <c r="A136" s="517"/>
      <c r="B136" s="71" t="s">
        <v>1186</v>
      </c>
      <c r="C136" s="5" t="s">
        <v>1398</v>
      </c>
      <c r="D136" s="3"/>
      <c r="E136" s="3"/>
      <c r="F136" s="3"/>
      <c r="G136" s="3"/>
      <c r="H136" s="3"/>
      <c r="I136" s="3"/>
      <c r="J136" s="3"/>
      <c r="K136" s="3"/>
      <c r="L136" s="3"/>
      <c r="M136" s="3"/>
      <c r="N136" s="683"/>
      <c r="O136" s="569"/>
      <c r="P136" s="569"/>
      <c r="Q136" s="568"/>
      <c r="AH136" s="1"/>
      <c r="AI136" s="1"/>
    </row>
    <row r="137" spans="1:35" ht="20.100000000000001" customHeight="1">
      <c r="A137" s="559"/>
      <c r="B137" s="3"/>
      <c r="C137" s="3174" t="str">
        <f>IF(ISBLANK(#REF!),"",K134)</f>
        <v/>
      </c>
      <c r="D137" s="3175"/>
      <c r="E137" s="640" t="s">
        <v>1384</v>
      </c>
      <c r="F137" s="2158">
        <v>27</v>
      </c>
      <c r="G137" s="19" t="s">
        <v>1240</v>
      </c>
      <c r="H137" s="3174" t="str">
        <f>IFERROR((C137/27),"")</f>
        <v/>
      </c>
      <c r="I137" s="3175"/>
      <c r="J137" s="640" t="s">
        <v>1243</v>
      </c>
      <c r="K137" s="19"/>
      <c r="L137" s="19"/>
      <c r="M137" s="640"/>
      <c r="N137" s="2"/>
      <c r="AH137" s="1"/>
      <c r="AI137" s="1"/>
    </row>
    <row r="138" spans="1:35" ht="6" customHeight="1">
      <c r="A138" s="559"/>
      <c r="B138" s="3"/>
      <c r="C138" s="1933"/>
      <c r="D138" s="1933"/>
      <c r="E138" s="1933"/>
      <c r="F138" s="1933"/>
      <c r="G138" s="1933"/>
      <c r="H138" s="19"/>
      <c r="I138" s="19"/>
      <c r="J138" s="640"/>
      <c r="K138" s="2158"/>
      <c r="L138" s="19"/>
      <c r="M138" s="19"/>
      <c r="N138" s="764"/>
      <c r="O138" s="569"/>
      <c r="P138" s="569"/>
      <c r="Q138" s="568"/>
      <c r="AH138" s="1"/>
      <c r="AI138" s="1"/>
    </row>
    <row r="139" spans="1:35" ht="20.100000000000001" customHeight="1">
      <c r="A139" s="517"/>
      <c r="B139" s="71" t="s">
        <v>1224</v>
      </c>
      <c r="C139" s="1933" t="s">
        <v>1385</v>
      </c>
      <c r="D139" s="1933"/>
      <c r="E139" s="1933"/>
      <c r="F139" s="1933"/>
      <c r="G139" s="3174" t="str">
        <f>H137</f>
        <v/>
      </c>
      <c r="H139" s="3175"/>
      <c r="I139" s="640" t="s">
        <v>1399</v>
      </c>
      <c r="J139" s="19">
        <v>1.2</v>
      </c>
      <c r="K139" s="19" t="s">
        <v>1240</v>
      </c>
      <c r="L139" s="3194" t="str">
        <f>IFERROR((G139*1.2),"")</f>
        <v/>
      </c>
      <c r="M139" s="3195"/>
      <c r="N139" s="518" t="s">
        <v>1243</v>
      </c>
      <c r="AH139" s="1"/>
      <c r="AI139" s="1"/>
    </row>
    <row r="140" spans="1:35" ht="6" customHeight="1">
      <c r="A140" s="559"/>
      <c r="N140" s="2"/>
      <c r="AH140" s="1"/>
      <c r="AI140" s="1"/>
    </row>
    <row r="141" spans="1:35" ht="30" customHeight="1" thickBot="1">
      <c r="A141" s="3205" t="s">
        <v>1400</v>
      </c>
      <c r="B141" s="3206"/>
      <c r="C141" s="3206"/>
      <c r="D141" s="3206"/>
      <c r="E141" s="3206"/>
      <c r="F141" s="3206"/>
      <c r="G141" s="3206"/>
      <c r="H141" s="3206"/>
      <c r="I141" s="3206"/>
      <c r="J141" s="3206"/>
      <c r="K141" s="3206"/>
      <c r="L141" s="3206"/>
      <c r="M141" s="3206"/>
      <c r="N141" s="3207"/>
      <c r="AH141" s="1"/>
      <c r="AI141" s="1"/>
    </row>
    <row r="142" spans="1:35" ht="16.350000000000001" customHeight="1" thickBot="1">
      <c r="A142" s="558" t="s">
        <v>498</v>
      </c>
      <c r="B142" s="445"/>
      <c r="C142" s="455" t="s">
        <v>719</v>
      </c>
      <c r="D142" s="455"/>
      <c r="E142" s="455"/>
      <c r="F142" s="455"/>
      <c r="G142" s="455"/>
      <c r="H142" s="455"/>
      <c r="I142" s="455"/>
      <c r="J142" s="455"/>
      <c r="K142" s="455"/>
      <c r="L142" s="455"/>
      <c r="M142" s="455"/>
      <c r="N142" s="561"/>
      <c r="O142" s="576"/>
      <c r="P142" s="576"/>
      <c r="Q142" s="576"/>
      <c r="AH142" s="1"/>
      <c r="AI142" s="1"/>
    </row>
    <row r="143" spans="1:35" ht="6" customHeight="1">
      <c r="A143" s="559"/>
      <c r="C143" s="71"/>
      <c r="D143" s="71"/>
      <c r="E143" s="71"/>
      <c r="F143" s="71"/>
      <c r="G143" s="71"/>
      <c r="H143" s="71"/>
      <c r="I143" s="71"/>
      <c r="J143" s="71"/>
      <c r="K143" s="71"/>
      <c r="L143" s="71"/>
      <c r="M143" s="71"/>
      <c r="N143" s="771"/>
      <c r="O143" s="576"/>
      <c r="P143" s="576"/>
      <c r="Q143" s="576"/>
      <c r="AH143" s="1"/>
      <c r="AI143" s="1"/>
    </row>
    <row r="144" spans="1:35" ht="90" customHeight="1">
      <c r="A144" s="559"/>
      <c r="B144" s="3201"/>
      <c r="C144" s="3202"/>
      <c r="D144" s="3202"/>
      <c r="E144" s="3202"/>
      <c r="F144" s="3202"/>
      <c r="G144" s="3202"/>
      <c r="H144" s="3202"/>
      <c r="I144" s="3202"/>
      <c r="J144" s="3202"/>
      <c r="K144" s="3202"/>
      <c r="L144" s="3202"/>
      <c r="M144" s="3203"/>
      <c r="N144" s="1374"/>
      <c r="O144" s="575"/>
      <c r="P144" s="575"/>
      <c r="Q144" s="575"/>
      <c r="AH144" s="1"/>
      <c r="AI144" s="1"/>
    </row>
    <row r="145" spans="1:35" ht="6" customHeight="1" thickBot="1">
      <c r="A145" s="565"/>
      <c r="B145" s="11"/>
      <c r="C145" s="11"/>
      <c r="D145" s="11"/>
      <c r="E145" s="11"/>
      <c r="F145" s="11"/>
      <c r="G145" s="11"/>
      <c r="H145" s="11"/>
      <c r="I145" s="11"/>
      <c r="J145" s="11"/>
      <c r="K145" s="11"/>
      <c r="L145" s="11"/>
      <c r="M145" s="11"/>
      <c r="N145" s="766"/>
      <c r="AH145" s="1"/>
      <c r="AI145" s="1"/>
    </row>
    <row r="146" spans="1:35" ht="14.1" customHeight="1">
      <c r="C146" s="477"/>
      <c r="D146" s="477"/>
      <c r="E146" s="477"/>
      <c r="F146" s="477"/>
      <c r="G146" s="477"/>
      <c r="H146" s="477"/>
      <c r="I146" s="477"/>
      <c r="J146" s="477"/>
      <c r="K146" s="477"/>
      <c r="L146" s="477"/>
      <c r="M146" s="477"/>
      <c r="N146" s="477"/>
      <c r="AH146" s="1"/>
      <c r="AI146" s="1"/>
    </row>
    <row r="147" spans="1:35" ht="14.1" customHeight="1">
      <c r="C147" s="477"/>
      <c r="D147" s="477"/>
      <c r="E147" s="477"/>
      <c r="F147" s="477"/>
      <c r="G147" s="477"/>
      <c r="H147" s="477"/>
      <c r="I147" s="477"/>
      <c r="J147" s="477"/>
      <c r="K147" s="477"/>
      <c r="L147" s="477"/>
      <c r="M147" s="477"/>
      <c r="N147" s="477"/>
      <c r="AH147" s="1"/>
      <c r="AI147" s="1"/>
    </row>
    <row r="148" spans="1:35" ht="14.1" customHeight="1">
      <c r="C148" s="563"/>
      <c r="D148" s="563"/>
      <c r="E148" s="479"/>
      <c r="F148" s="479"/>
      <c r="G148" s="479"/>
      <c r="H148" s="479"/>
      <c r="I148" s="563"/>
      <c r="J148" s="563"/>
      <c r="K148" s="563"/>
      <c r="L148" s="563"/>
      <c r="M148" s="563"/>
      <c r="N148" s="563"/>
      <c r="X148" s="17"/>
      <c r="AH148" s="1"/>
      <c r="AI148" s="1"/>
    </row>
    <row r="149" spans="1:35" ht="14.1" customHeight="1">
      <c r="C149" s="563"/>
      <c r="D149" s="563"/>
      <c r="E149" s="479"/>
      <c r="F149" s="479"/>
      <c r="G149" s="479"/>
      <c r="H149" s="479"/>
      <c r="I149" s="563"/>
      <c r="J149" s="563"/>
      <c r="K149" s="563"/>
      <c r="L149" s="563"/>
      <c r="M149" s="563"/>
      <c r="N149" s="563"/>
      <c r="X149" s="73"/>
      <c r="AH149" s="1"/>
      <c r="AI149" s="1"/>
    </row>
    <row r="150" spans="1:35" ht="14.1" customHeight="1">
      <c r="C150" s="477"/>
      <c r="D150" s="477"/>
      <c r="E150" s="478"/>
      <c r="F150" s="478"/>
      <c r="G150" s="479"/>
      <c r="H150" s="479"/>
      <c r="I150" s="480"/>
      <c r="J150" s="480"/>
      <c r="K150" s="480"/>
      <c r="L150" s="480"/>
      <c r="M150" s="477"/>
      <c r="N150" s="477"/>
      <c r="P150" s="487"/>
      <c r="X150" s="17"/>
      <c r="AH150" s="1"/>
      <c r="AI150" s="1"/>
    </row>
    <row r="151" spans="1:35" ht="14.1" customHeight="1">
      <c r="C151" s="477"/>
      <c r="D151" s="477"/>
      <c r="E151" s="478"/>
      <c r="F151" s="478"/>
      <c r="G151" s="479"/>
      <c r="H151" s="479"/>
      <c r="I151" s="480"/>
      <c r="J151" s="480"/>
      <c r="K151" s="480"/>
      <c r="L151" s="480"/>
      <c r="M151" s="477"/>
      <c r="N151" s="477"/>
      <c r="P151" s="487"/>
      <c r="X151" s="73"/>
      <c r="AH151" s="1"/>
      <c r="AI151" s="1"/>
    </row>
    <row r="152" spans="1:35" ht="14.1" customHeight="1">
      <c r="C152" s="4"/>
      <c r="D152" s="4"/>
      <c r="E152" s="17"/>
      <c r="F152" s="17"/>
      <c r="G152" s="28"/>
      <c r="H152" s="28"/>
      <c r="M152" s="4"/>
      <c r="N152" s="4"/>
      <c r="P152" s="487"/>
      <c r="X152" s="17"/>
      <c r="AH152" s="1"/>
      <c r="AI152" s="1"/>
    </row>
    <row r="153" spans="1:35" ht="14.1" customHeight="1">
      <c r="C153" s="4"/>
      <c r="D153" s="4"/>
      <c r="E153" s="17"/>
      <c r="F153" s="17"/>
      <c r="G153" s="28"/>
      <c r="H153" s="28"/>
      <c r="M153" s="6"/>
      <c r="N153" s="6"/>
      <c r="P153" s="487"/>
      <c r="X153" s="73"/>
      <c r="AH153" s="1"/>
      <c r="AI153" s="1"/>
    </row>
    <row r="154" spans="1:35" ht="14.1" customHeight="1">
      <c r="C154" s="4"/>
      <c r="D154" s="4"/>
      <c r="E154" s="17"/>
      <c r="F154" s="17"/>
      <c r="G154" s="28"/>
      <c r="H154" s="28"/>
      <c r="M154" s="6"/>
      <c r="N154" s="6"/>
      <c r="P154" s="487"/>
      <c r="X154" s="17"/>
      <c r="AH154" s="1"/>
      <c r="AI154" s="1"/>
    </row>
    <row r="155" spans="1:35" ht="14.1" customHeight="1">
      <c r="C155" s="4"/>
      <c r="D155" s="4"/>
      <c r="E155" s="17"/>
      <c r="F155" s="17"/>
      <c r="G155" s="28"/>
      <c r="H155" s="28"/>
      <c r="M155" s="6"/>
      <c r="N155" s="6"/>
      <c r="P155" s="487"/>
      <c r="X155" s="73"/>
    </row>
    <row r="156" spans="1:35" ht="14.1" customHeight="1">
      <c r="C156" s="4"/>
      <c r="D156" s="4"/>
      <c r="E156" s="17"/>
      <c r="F156" s="17"/>
      <c r="G156" s="28"/>
      <c r="H156" s="28"/>
      <c r="M156" s="6"/>
      <c r="N156" s="6"/>
      <c r="P156" s="487"/>
      <c r="X156" s="17"/>
    </row>
    <row r="157" spans="1:35" ht="14.1" customHeight="1">
      <c r="C157" s="4"/>
      <c r="D157" s="4"/>
      <c r="E157" s="17"/>
      <c r="F157" s="17"/>
      <c r="G157" s="28"/>
      <c r="H157" s="28"/>
      <c r="M157" s="6"/>
      <c r="N157" s="6"/>
      <c r="X157" s="73"/>
    </row>
    <row r="158" spans="1:35" ht="14.1" customHeight="1">
      <c r="C158" s="4"/>
      <c r="D158" s="4"/>
      <c r="E158" s="17"/>
      <c r="F158" s="17"/>
      <c r="G158" s="4"/>
      <c r="H158" s="4"/>
      <c r="M158" s="4"/>
      <c r="N158" s="4"/>
      <c r="X158" s="17"/>
    </row>
    <row r="159" spans="1:35" ht="14.1" customHeight="1">
      <c r="C159" s="4"/>
      <c r="D159" s="4"/>
      <c r="E159" s="17"/>
      <c r="F159" s="17"/>
      <c r="G159" s="4"/>
      <c r="H159" s="4"/>
      <c r="M159" s="4"/>
      <c r="N159" s="4"/>
      <c r="X159" s="73"/>
    </row>
    <row r="160" spans="1:35" ht="14.1" customHeight="1">
      <c r="C160" s="4"/>
      <c r="D160" s="4"/>
      <c r="E160" s="17"/>
      <c r="F160" s="17"/>
      <c r="G160" s="4"/>
      <c r="H160" s="4"/>
      <c r="M160" s="4"/>
      <c r="N160" s="4"/>
      <c r="X160" s="17"/>
    </row>
    <row r="161" spans="3:24" ht="14.1" customHeight="1">
      <c r="C161" s="4"/>
      <c r="D161" s="4"/>
      <c r="E161" s="17"/>
      <c r="F161" s="17"/>
      <c r="G161" s="4"/>
      <c r="H161" s="4"/>
      <c r="M161" s="4"/>
      <c r="N161" s="4"/>
      <c r="X161" s="73"/>
    </row>
    <row r="162" spans="3:24" ht="14.1" customHeight="1">
      <c r="C162" s="4"/>
      <c r="D162" s="4"/>
      <c r="E162" s="17"/>
      <c r="F162" s="17"/>
      <c r="G162" s="4"/>
      <c r="H162" s="4"/>
      <c r="M162" s="4"/>
      <c r="N162" s="4"/>
      <c r="X162" s="17"/>
    </row>
    <row r="163" spans="3:24" ht="14.1" customHeight="1">
      <c r="C163" s="4"/>
      <c r="D163" s="4"/>
      <c r="E163" s="17"/>
      <c r="F163" s="17"/>
      <c r="G163" s="4"/>
      <c r="H163" s="4"/>
      <c r="M163" s="4"/>
      <c r="N163" s="4"/>
      <c r="X163" s="73"/>
    </row>
    <row r="164" spans="3:24" ht="14.1" customHeight="1">
      <c r="C164" s="4"/>
      <c r="D164" s="4"/>
      <c r="E164" s="17"/>
      <c r="F164" s="17"/>
      <c r="G164" s="4"/>
      <c r="H164" s="4"/>
      <c r="M164" s="4"/>
      <c r="N164" s="4"/>
      <c r="X164" s="17"/>
    </row>
    <row r="165" spans="3:24" ht="14.1" customHeight="1">
      <c r="C165" s="4"/>
      <c r="D165" s="4"/>
      <c r="E165" s="17"/>
      <c r="F165" s="17"/>
      <c r="G165" s="28"/>
      <c r="H165" s="28"/>
      <c r="M165" s="4"/>
      <c r="N165" s="4"/>
      <c r="X165" s="73"/>
    </row>
    <row r="166" spans="3:24" ht="14.1" customHeight="1">
      <c r="C166" s="4"/>
      <c r="D166" s="4"/>
      <c r="E166" s="17"/>
      <c r="F166" s="17"/>
      <c r="G166" s="28"/>
      <c r="H166" s="28"/>
      <c r="M166" s="4"/>
      <c r="N166" s="4"/>
      <c r="X166" s="17"/>
    </row>
    <row r="167" spans="3:24" ht="14.1" customHeight="1">
      <c r="C167" s="4"/>
      <c r="D167" s="4"/>
      <c r="E167" s="17"/>
      <c r="F167" s="17"/>
      <c r="G167" s="28"/>
      <c r="H167" s="28"/>
      <c r="M167" s="4"/>
      <c r="N167" s="4"/>
      <c r="X167" s="73"/>
    </row>
    <row r="168" spans="3:24" ht="14.1" customHeight="1">
      <c r="C168" s="4"/>
      <c r="D168" s="4"/>
      <c r="E168" s="17"/>
      <c r="F168" s="17"/>
      <c r="G168" s="28"/>
      <c r="H168" s="28"/>
      <c r="M168" s="4"/>
      <c r="N168" s="4"/>
      <c r="X168" s="17"/>
    </row>
    <row r="169" spans="3:24" ht="14.1" customHeight="1">
      <c r="C169" s="4"/>
      <c r="D169" s="4"/>
      <c r="E169" s="17"/>
      <c r="F169" s="17"/>
      <c r="G169" s="28"/>
      <c r="H169" s="28"/>
      <c r="M169" s="4"/>
      <c r="N169" s="4"/>
      <c r="X169" s="73"/>
    </row>
    <row r="170" spans="3:24" ht="14.1" customHeight="1">
      <c r="C170" s="4"/>
      <c r="D170" s="4"/>
      <c r="E170" s="17"/>
      <c r="F170" s="17"/>
      <c r="G170" s="28"/>
      <c r="H170" s="28"/>
      <c r="M170" s="4"/>
      <c r="N170" s="4"/>
      <c r="X170" s="17"/>
    </row>
    <row r="171" spans="3:24" ht="14.1" customHeight="1">
      <c r="C171" s="4"/>
      <c r="D171" s="4"/>
      <c r="E171" s="17"/>
      <c r="F171" s="17"/>
      <c r="G171" s="28"/>
      <c r="H171" s="28"/>
      <c r="M171" s="4"/>
      <c r="N171" s="4"/>
      <c r="X171" s="73"/>
    </row>
    <row r="172" spans="3:24" ht="14.1" customHeight="1">
      <c r="C172" s="28"/>
      <c r="D172" s="28"/>
      <c r="E172" s="17"/>
      <c r="F172" s="17"/>
      <c r="M172" s="4"/>
      <c r="N172" s="4"/>
      <c r="X172" s="17"/>
    </row>
    <row r="173" spans="3:24" ht="14.1" customHeight="1">
      <c r="C173" s="28"/>
      <c r="D173" s="28"/>
      <c r="E173" s="17"/>
      <c r="F173" s="17"/>
      <c r="M173" s="4"/>
      <c r="N173" s="4"/>
      <c r="X173" s="73"/>
    </row>
    <row r="174" spans="3:24" ht="14.1" customHeight="1">
      <c r="C174" s="28"/>
      <c r="D174" s="28"/>
      <c r="E174" s="17"/>
      <c r="F174" s="17"/>
      <c r="G174" s="6"/>
      <c r="H174" s="6"/>
      <c r="M174" s="4"/>
      <c r="N174" s="4"/>
    </row>
    <row r="175" spans="3:24" ht="14.1" customHeight="1">
      <c r="C175" s="28"/>
      <c r="D175" s="28"/>
      <c r="E175" s="17"/>
      <c r="F175" s="17"/>
      <c r="G175" s="6"/>
      <c r="H175" s="6"/>
      <c r="M175" s="4"/>
      <c r="N175" s="4"/>
    </row>
    <row r="176" spans="3:24" ht="14.1" customHeight="1">
      <c r="C176" s="28"/>
      <c r="D176" s="28"/>
      <c r="E176" s="17"/>
      <c r="F176" s="17"/>
      <c r="G176" s="6"/>
      <c r="H176" s="6"/>
      <c r="M176" s="4"/>
      <c r="N176" s="4"/>
    </row>
    <row r="177" spans="3:23" ht="14.1" customHeight="1">
      <c r="C177" s="28"/>
      <c r="D177" s="28"/>
      <c r="E177" s="17"/>
      <c r="F177" s="17"/>
      <c r="M177" s="4"/>
      <c r="N177" s="4"/>
    </row>
    <row r="178" spans="3:23" ht="14.1" customHeight="1">
      <c r="C178" s="28"/>
      <c r="D178" s="28"/>
      <c r="E178" s="17"/>
      <c r="F178" s="17"/>
      <c r="M178" s="4"/>
      <c r="N178" s="4"/>
    </row>
    <row r="179" spans="3:23" ht="14.1" customHeight="1">
      <c r="K179" s="64"/>
      <c r="L179" s="63"/>
    </row>
    <row r="180" spans="3:23" ht="14.1" customHeight="1">
      <c r="C180" s="6"/>
      <c r="D180" s="6"/>
      <c r="E180" s="6"/>
      <c r="F180" s="6"/>
      <c r="G180" s="6"/>
      <c r="H180" s="6"/>
      <c r="J180" s="371"/>
      <c r="K180" s="371"/>
      <c r="L180" s="371"/>
      <c r="M180" s="371"/>
      <c r="N180" s="371"/>
    </row>
    <row r="181" spans="3:23" ht="14.1" customHeight="1">
      <c r="C181" s="3200"/>
      <c r="D181" s="3200"/>
      <c r="E181" s="3200"/>
      <c r="F181" s="3200"/>
      <c r="G181" s="553"/>
      <c r="H181" s="553"/>
      <c r="J181" s="372"/>
      <c r="K181" s="372"/>
      <c r="L181" s="373"/>
      <c r="M181" s="373"/>
      <c r="N181" s="372"/>
    </row>
    <row r="182" spans="3:23" ht="14.1" customHeight="1">
      <c r="C182" s="3200"/>
      <c r="D182" s="3200"/>
      <c r="E182" s="3200"/>
      <c r="F182" s="3200"/>
      <c r="G182" s="553"/>
      <c r="H182" s="553"/>
      <c r="J182" s="372"/>
      <c r="K182" s="372"/>
      <c r="L182" s="373"/>
      <c r="M182" s="373"/>
      <c r="N182" s="372"/>
    </row>
    <row r="183" spans="3:23" ht="14.1" customHeight="1">
      <c r="C183" s="2897"/>
      <c r="D183" s="2897"/>
      <c r="E183" s="3188"/>
      <c r="F183" s="3188"/>
      <c r="G183" s="21"/>
      <c r="H183" s="21"/>
      <c r="J183" s="6"/>
      <c r="K183" s="6"/>
      <c r="L183" s="21"/>
      <c r="M183" s="21"/>
      <c r="N183" s="17"/>
      <c r="U183" s="21"/>
      <c r="V183" s="21"/>
      <c r="W183" s="17"/>
    </row>
    <row r="184" spans="3:23" ht="14.1" customHeight="1">
      <c r="C184" s="2897"/>
      <c r="D184" s="2897"/>
      <c r="E184" s="3188"/>
      <c r="F184" s="3188"/>
      <c r="G184" s="21"/>
      <c r="H184" s="21"/>
      <c r="J184" s="371"/>
      <c r="K184" s="371"/>
      <c r="L184" s="72"/>
      <c r="M184" s="72"/>
      <c r="N184" s="73"/>
      <c r="U184" s="72"/>
      <c r="V184" s="72"/>
      <c r="W184" s="73"/>
    </row>
    <row r="185" spans="3:23" ht="14.1" customHeight="1">
      <c r="C185" s="2897"/>
      <c r="D185" s="2897"/>
      <c r="E185" s="3188"/>
      <c r="F185" s="3188"/>
      <c r="G185" s="21"/>
      <c r="H185" s="21"/>
      <c r="J185" s="6"/>
      <c r="K185" s="6"/>
      <c r="L185" s="21"/>
      <c r="M185" s="21"/>
      <c r="N185" s="17"/>
      <c r="U185" s="21"/>
      <c r="V185" s="21"/>
      <c r="W185" s="17"/>
    </row>
    <row r="186" spans="3:23" ht="14.1" customHeight="1">
      <c r="C186" s="2897"/>
      <c r="D186" s="2897"/>
      <c r="E186" s="3188"/>
      <c r="F186" s="3188"/>
      <c r="G186" s="21"/>
      <c r="H186" s="21"/>
      <c r="J186" s="371"/>
      <c r="K186" s="371"/>
      <c r="L186" s="72"/>
      <c r="M186" s="72"/>
      <c r="N186" s="73"/>
      <c r="U186" s="72"/>
      <c r="V186" s="72"/>
      <c r="W186" s="73"/>
    </row>
    <row r="187" spans="3:23" ht="14.1" customHeight="1">
      <c r="C187" s="2897"/>
      <c r="D187" s="2897"/>
      <c r="E187" s="3188"/>
      <c r="F187" s="3188"/>
      <c r="G187" s="21"/>
      <c r="H187" s="21"/>
      <c r="J187" s="6"/>
      <c r="K187" s="6"/>
      <c r="L187" s="21"/>
      <c r="M187" s="21"/>
      <c r="N187" s="17"/>
      <c r="U187" s="21"/>
      <c r="V187" s="21"/>
      <c r="W187" s="17"/>
    </row>
    <row r="188" spans="3:23" ht="14.1" customHeight="1">
      <c r="C188" s="2897"/>
      <c r="D188" s="2897"/>
      <c r="E188" s="3188"/>
      <c r="F188" s="3188"/>
      <c r="G188" s="21"/>
      <c r="H188" s="21"/>
      <c r="J188" s="371"/>
      <c r="K188" s="371"/>
      <c r="L188" s="72"/>
      <c r="M188" s="72"/>
      <c r="N188" s="73"/>
      <c r="U188" s="72"/>
      <c r="V188" s="72"/>
      <c r="W188" s="73"/>
    </row>
    <row r="189" spans="3:23" ht="14.1" customHeight="1">
      <c r="C189" s="2897"/>
      <c r="D189" s="2897"/>
      <c r="E189" s="3188"/>
      <c r="F189" s="3188"/>
      <c r="G189" s="21"/>
      <c r="H189" s="21"/>
      <c r="J189" s="6"/>
      <c r="K189" s="6"/>
      <c r="L189" s="21"/>
      <c r="M189" s="21"/>
      <c r="N189" s="17"/>
      <c r="U189" s="21"/>
      <c r="V189" s="21"/>
      <c r="W189" s="17"/>
    </row>
    <row r="190" spans="3:23" ht="14.1" customHeight="1">
      <c r="C190" s="2897"/>
      <c r="D190" s="2897"/>
      <c r="E190" s="3188"/>
      <c r="F190" s="3188"/>
      <c r="G190" s="21"/>
      <c r="H190" s="21"/>
      <c r="J190" s="371"/>
      <c r="K190" s="371"/>
      <c r="L190" s="72"/>
      <c r="M190" s="72"/>
      <c r="N190" s="73"/>
      <c r="U190" s="72"/>
      <c r="V190" s="72"/>
      <c r="W190" s="73"/>
    </row>
    <row r="191" spans="3:23" ht="14.1" customHeight="1">
      <c r="C191" s="3189"/>
      <c r="D191" s="3189"/>
      <c r="E191" s="3188"/>
      <c r="F191" s="3188"/>
      <c r="G191" s="21"/>
      <c r="H191" s="21"/>
      <c r="J191" s="370"/>
      <c r="K191" s="370"/>
      <c r="L191" s="21"/>
      <c r="M191" s="21"/>
      <c r="N191" s="17"/>
      <c r="U191" s="21"/>
      <c r="V191" s="21"/>
      <c r="W191" s="17"/>
    </row>
    <row r="192" spans="3:23" ht="14.1" customHeight="1">
      <c r="C192" s="2897"/>
      <c r="D192" s="2897"/>
      <c r="E192" s="3188"/>
      <c r="F192" s="3188"/>
      <c r="G192" s="21"/>
      <c r="H192" s="21"/>
      <c r="J192" s="371"/>
      <c r="K192" s="371"/>
      <c r="L192" s="72"/>
      <c r="M192" s="72"/>
      <c r="N192" s="73"/>
      <c r="U192" s="72"/>
      <c r="V192" s="72"/>
      <c r="W192" s="73"/>
    </row>
    <row r="193" spans="3:23" ht="14.1" customHeight="1">
      <c r="C193" s="2897"/>
      <c r="D193" s="2897"/>
      <c r="E193" s="3188"/>
      <c r="F193" s="3188"/>
      <c r="G193" s="21"/>
      <c r="H193" s="21"/>
      <c r="J193" s="6"/>
      <c r="K193" s="6"/>
      <c r="L193" s="21"/>
      <c r="M193" s="21"/>
      <c r="N193" s="17"/>
      <c r="U193" s="21"/>
      <c r="V193" s="21"/>
      <c r="W193" s="17"/>
    </row>
    <row r="194" spans="3:23" ht="14.1" customHeight="1">
      <c r="C194" s="2897"/>
      <c r="D194" s="2897"/>
      <c r="E194" s="3188"/>
      <c r="F194" s="3188"/>
      <c r="G194" s="21"/>
      <c r="H194" s="21"/>
      <c r="I194" s="44"/>
      <c r="J194" s="371"/>
      <c r="K194" s="371"/>
      <c r="L194" s="72"/>
      <c r="M194" s="72"/>
      <c r="N194" s="73"/>
      <c r="U194" s="72"/>
      <c r="V194" s="72"/>
      <c r="W194" s="73"/>
    </row>
    <row r="195" spans="3:23" ht="14.1" customHeight="1">
      <c r="C195" s="2897"/>
      <c r="D195" s="2897"/>
      <c r="E195" s="3188"/>
      <c r="F195" s="3188"/>
      <c r="G195" s="21"/>
      <c r="H195" s="21"/>
      <c r="I195" s="44"/>
      <c r="J195" s="6"/>
      <c r="K195" s="6"/>
      <c r="L195" s="21"/>
      <c r="M195" s="21"/>
      <c r="N195" s="17"/>
      <c r="U195" s="21"/>
      <c r="V195" s="21"/>
      <c r="W195" s="17"/>
    </row>
    <row r="196" spans="3:23" ht="14.1" customHeight="1">
      <c r="C196" s="2868"/>
      <c r="D196" s="2868"/>
      <c r="E196" s="3187"/>
      <c r="F196" s="3187"/>
      <c r="G196" s="17"/>
      <c r="H196" s="17"/>
      <c r="I196" s="44"/>
      <c r="J196" s="367"/>
      <c r="K196" s="367"/>
      <c r="L196" s="73"/>
      <c r="M196" s="73"/>
      <c r="N196" s="73"/>
      <c r="U196" s="73"/>
      <c r="V196" s="73"/>
      <c r="W196" s="73"/>
    </row>
    <row r="197" spans="3:23" ht="14.1" customHeight="1">
      <c r="C197" s="2868"/>
      <c r="D197" s="2868"/>
      <c r="E197" s="3187"/>
      <c r="F197" s="3187"/>
      <c r="G197" s="17"/>
      <c r="H197" s="17"/>
      <c r="I197" s="44"/>
      <c r="J197" s="4"/>
      <c r="K197" s="4"/>
      <c r="L197" s="17"/>
      <c r="M197" s="17"/>
      <c r="N197" s="17"/>
      <c r="U197" s="17"/>
      <c r="V197" s="17"/>
      <c r="W197" s="17"/>
    </row>
    <row r="198" spans="3:23" ht="14.1" customHeight="1">
      <c r="C198" s="2868"/>
      <c r="D198" s="2868"/>
      <c r="E198" s="3187"/>
      <c r="F198" s="3187"/>
      <c r="G198" s="17"/>
      <c r="H198" s="17"/>
      <c r="I198" s="44"/>
      <c r="J198" s="367"/>
      <c r="K198" s="367"/>
      <c r="L198" s="73"/>
      <c r="M198" s="73"/>
      <c r="N198" s="73"/>
      <c r="U198" s="73"/>
      <c r="V198" s="73"/>
      <c r="W198" s="73"/>
    </row>
    <row r="199" spans="3:23" ht="14.1" customHeight="1">
      <c r="C199" s="2868"/>
      <c r="D199" s="2868"/>
      <c r="E199" s="3187"/>
      <c r="F199" s="3187"/>
      <c r="G199" s="17"/>
      <c r="H199" s="17"/>
      <c r="I199" s="44"/>
      <c r="J199" s="4"/>
      <c r="K199" s="4"/>
      <c r="L199" s="17"/>
      <c r="M199" s="17"/>
      <c r="N199" s="17"/>
      <c r="U199" s="17"/>
      <c r="V199" s="17"/>
      <c r="W199" s="17"/>
    </row>
    <row r="200" spans="3:23" ht="14.1" customHeight="1">
      <c r="C200" s="2868"/>
      <c r="D200" s="2868"/>
      <c r="E200" s="3187"/>
      <c r="F200" s="3187"/>
      <c r="G200" s="17"/>
      <c r="H200" s="17"/>
      <c r="I200" s="44"/>
      <c r="J200" s="367"/>
      <c r="K200" s="367"/>
      <c r="L200" s="73"/>
      <c r="M200" s="73"/>
      <c r="N200" s="73"/>
      <c r="U200" s="73"/>
      <c r="V200" s="73"/>
      <c r="W200" s="73"/>
    </row>
    <row r="201" spans="3:23" ht="14.1" customHeight="1">
      <c r="C201" s="2868"/>
      <c r="D201" s="2868"/>
      <c r="E201" s="3187"/>
      <c r="F201" s="3187"/>
      <c r="G201" s="17"/>
      <c r="H201" s="17"/>
      <c r="I201" s="44"/>
      <c r="J201" s="4"/>
      <c r="K201" s="4"/>
      <c r="L201" s="17"/>
      <c r="M201" s="17"/>
      <c r="N201" s="17"/>
      <c r="U201" s="17"/>
      <c r="V201" s="17"/>
      <c r="W201" s="17"/>
    </row>
    <row r="202" spans="3:23" ht="14.1" customHeight="1">
      <c r="C202" s="2868"/>
      <c r="D202" s="2868"/>
      <c r="E202" s="3187"/>
      <c r="F202" s="3187"/>
      <c r="G202" s="17"/>
      <c r="H202" s="17"/>
      <c r="I202" s="44"/>
      <c r="J202" s="367"/>
      <c r="K202" s="367"/>
      <c r="L202" s="73"/>
      <c r="M202" s="73"/>
      <c r="N202" s="73"/>
      <c r="U202" s="73"/>
      <c r="V202" s="73"/>
      <c r="W202" s="73"/>
    </row>
    <row r="203" spans="3:23" ht="14.1" customHeight="1">
      <c r="C203" s="2868"/>
      <c r="D203" s="2868"/>
      <c r="E203" s="3187"/>
      <c r="F203" s="3187"/>
      <c r="G203" s="17"/>
      <c r="H203" s="17"/>
      <c r="I203" s="44"/>
      <c r="J203" s="4"/>
      <c r="K203" s="4"/>
      <c r="L203" s="17"/>
      <c r="M203" s="17"/>
      <c r="N203" s="17"/>
      <c r="U203" s="17"/>
      <c r="V203" s="17"/>
      <c r="W203" s="17"/>
    </row>
    <row r="204" spans="3:23" ht="14.1" customHeight="1">
      <c r="C204" s="2868"/>
      <c r="D204" s="2868"/>
      <c r="E204" s="3187"/>
      <c r="F204" s="3187"/>
      <c r="G204" s="17"/>
      <c r="H204" s="17"/>
      <c r="I204" s="44"/>
      <c r="J204" s="367"/>
      <c r="K204" s="367"/>
      <c r="L204" s="73"/>
      <c r="M204" s="73"/>
      <c r="N204" s="73"/>
      <c r="U204" s="73"/>
      <c r="V204" s="73"/>
      <c r="W204" s="73"/>
    </row>
    <row r="205" spans="3:23" ht="14.1" customHeight="1">
      <c r="C205" s="2868"/>
      <c r="D205" s="2868"/>
      <c r="E205" s="3187"/>
      <c r="F205" s="3187"/>
      <c r="G205" s="17"/>
      <c r="H205" s="17"/>
      <c r="I205" s="44"/>
      <c r="J205" s="4"/>
      <c r="K205" s="4"/>
      <c r="L205" s="17"/>
      <c r="M205" s="17"/>
      <c r="N205" s="17"/>
      <c r="U205" s="17"/>
      <c r="V205" s="17"/>
      <c r="W205" s="17"/>
    </row>
    <row r="206" spans="3:23" ht="14.1" customHeight="1">
      <c r="C206" s="2868"/>
      <c r="D206" s="2868"/>
      <c r="E206" s="3187"/>
      <c r="F206" s="3187"/>
      <c r="G206" s="17"/>
      <c r="H206" s="17"/>
      <c r="I206" s="44"/>
      <c r="J206" s="367"/>
      <c r="K206" s="367"/>
      <c r="L206" s="73"/>
      <c r="M206" s="73"/>
      <c r="N206" s="73"/>
      <c r="U206" s="73"/>
      <c r="V206" s="73"/>
      <c r="W206" s="73"/>
    </row>
    <row r="207" spans="3:23" ht="14.1" customHeight="1">
      <c r="C207" s="2868"/>
      <c r="D207" s="2868"/>
      <c r="E207" s="3187"/>
      <c r="F207" s="3187"/>
      <c r="G207" s="17"/>
      <c r="H207" s="17"/>
      <c r="J207" s="4"/>
      <c r="K207" s="4"/>
      <c r="L207" s="17"/>
      <c r="M207" s="17"/>
      <c r="N207" s="17"/>
      <c r="U207" s="17"/>
      <c r="V207" s="17"/>
      <c r="W207" s="17"/>
    </row>
    <row r="208" spans="3:23" ht="14.1" customHeight="1">
      <c r="C208" s="2868"/>
      <c r="D208" s="2868"/>
      <c r="E208" s="3187"/>
      <c r="F208" s="3187"/>
      <c r="G208" s="17"/>
      <c r="H208" s="17"/>
      <c r="J208" s="367"/>
      <c r="K208" s="367"/>
      <c r="L208" s="73"/>
      <c r="M208" s="73"/>
      <c r="N208" s="73"/>
      <c r="U208" s="73"/>
      <c r="V208" s="73"/>
      <c r="W208" s="73"/>
    </row>
  </sheetData>
  <sheetProtection sheet="1" objects="1" scenarios="1"/>
  <customSheetViews>
    <customSheetView guid="{3320ADAB-1745-4CE0-B739-BF2E8269138B}" showGridLines="0" fitToPage="1" showRuler="0" topLeftCell="A76">
      <selection activeCell="C96" sqref="C96"/>
      <pageMargins left="0" right="0" top="0" bottom="0" header="0" footer="0"/>
      <printOptions horizontalCentered="1"/>
      <pageSetup scale="48" orientation="portrait" r:id="rId1"/>
      <headerFooter alignWithMargins="0"/>
    </customSheetView>
    <customSheetView guid="{D1431318-1DB8-4C45-813B-5A8065DFC797}" showPageBreaks="1" showGridLines="0" printArea="1" view="pageBreakPreview">
      <selection activeCell="M6" sqref="M6"/>
      <rowBreaks count="3" manualBreakCount="3">
        <brk id="47" max="14" man="1"/>
        <brk id="85" max="14" man="1"/>
        <brk id="118" max="14" man="1"/>
      </rowBreaks>
      <pageMargins left="0" right="0" top="0" bottom="0" header="0" footer="0"/>
      <printOptions horizontalCentered="1"/>
      <pageSetup fitToHeight="2" orientation="portrait" blackAndWhite="1" r:id="rId2"/>
      <headerFooter alignWithMargins="0"/>
    </customSheetView>
  </customSheetViews>
  <mergeCells count="183">
    <mergeCell ref="G33:I33"/>
    <mergeCell ref="J33:M33"/>
    <mergeCell ref="K25:M25"/>
    <mergeCell ref="L35:M35"/>
    <mergeCell ref="J45:K45"/>
    <mergeCell ref="G45:H45"/>
    <mergeCell ref="J32:K32"/>
    <mergeCell ref="L110:M110"/>
    <mergeCell ref="J110:K110"/>
    <mergeCell ref="F104:G104"/>
    <mergeCell ref="H101:K101"/>
    <mergeCell ref="I95:M95"/>
    <mergeCell ref="H96:M96"/>
    <mergeCell ref="C94:M94"/>
    <mergeCell ref="J68:K68"/>
    <mergeCell ref="L68:M68"/>
    <mergeCell ref="K41:L41"/>
    <mergeCell ref="L101:M101"/>
    <mergeCell ref="L99:M99"/>
    <mergeCell ref="D52:E52"/>
    <mergeCell ref="I52:J52"/>
    <mergeCell ref="H32:I32"/>
    <mergeCell ref="B33:D33"/>
    <mergeCell ref="E32:F32"/>
    <mergeCell ref="D37:E37"/>
    <mergeCell ref="G37:H37"/>
    <mergeCell ref="D39:E39"/>
    <mergeCell ref="J37:K37"/>
    <mergeCell ref="I39:K39"/>
    <mergeCell ref="G39:H39"/>
    <mergeCell ref="J126:K126"/>
    <mergeCell ref="M120:N120"/>
    <mergeCell ref="C63:D63"/>
    <mergeCell ref="B66:M66"/>
    <mergeCell ref="D45:E45"/>
    <mergeCell ref="H120:I120"/>
    <mergeCell ref="J122:K122"/>
    <mergeCell ref="L122:M122"/>
    <mergeCell ref="C117:D117"/>
    <mergeCell ref="L114:M114"/>
    <mergeCell ref="I114:J114"/>
    <mergeCell ref="C114:D114"/>
    <mergeCell ref="E101:F101"/>
    <mergeCell ref="I117:J117"/>
    <mergeCell ref="C108:M108"/>
    <mergeCell ref="B99:D99"/>
    <mergeCell ref="E99:G99"/>
    <mergeCell ref="K43:L43"/>
    <mergeCell ref="K52:L52"/>
    <mergeCell ref="G47:H47"/>
    <mergeCell ref="AE87:AF87"/>
    <mergeCell ref="H137:I137"/>
    <mergeCell ref="G131:H131"/>
    <mergeCell ref="K134:L134"/>
    <mergeCell ref="X87:Y87"/>
    <mergeCell ref="H99:K99"/>
    <mergeCell ref="I97:K97"/>
    <mergeCell ref="L97:M97"/>
    <mergeCell ref="C137:D137"/>
    <mergeCell ref="E184:F184"/>
    <mergeCell ref="C120:D120"/>
    <mergeCell ref="E183:F183"/>
    <mergeCell ref="C126:D126"/>
    <mergeCell ref="C181:D182"/>
    <mergeCell ref="E181:F182"/>
    <mergeCell ref="C129:D129"/>
    <mergeCell ref="C134:D134"/>
    <mergeCell ref="F126:G126"/>
    <mergeCell ref="C183:D183"/>
    <mergeCell ref="F134:G134"/>
    <mergeCell ref="B144:M144"/>
    <mergeCell ref="M126:N126"/>
    <mergeCell ref="A141:N141"/>
    <mergeCell ref="C106:E106"/>
    <mergeCell ref="I106:K106"/>
    <mergeCell ref="I104:K104"/>
    <mergeCell ref="C184:D184"/>
    <mergeCell ref="R98:V98"/>
    <mergeCell ref="C104:E104"/>
    <mergeCell ref="B101:D102"/>
    <mergeCell ref="E196:F196"/>
    <mergeCell ref="H129:I129"/>
    <mergeCell ref="L131:M131"/>
    <mergeCell ref="L139:M139"/>
    <mergeCell ref="E192:F192"/>
    <mergeCell ref="F114:G114"/>
    <mergeCell ref="E194:F194"/>
    <mergeCell ref="E191:F191"/>
    <mergeCell ref="E187:F187"/>
    <mergeCell ref="E189:F189"/>
    <mergeCell ref="E190:F190"/>
    <mergeCell ref="E195:F195"/>
    <mergeCell ref="G139:H139"/>
    <mergeCell ref="F117:G117"/>
    <mergeCell ref="E193:F193"/>
    <mergeCell ref="C186:D186"/>
    <mergeCell ref="E186:F186"/>
    <mergeCell ref="C201:D201"/>
    <mergeCell ref="C200:D200"/>
    <mergeCell ref="E199:F199"/>
    <mergeCell ref="E188:F188"/>
    <mergeCell ref="C194:D194"/>
    <mergeCell ref="C199:D199"/>
    <mergeCell ref="C198:D198"/>
    <mergeCell ref="H122:I122"/>
    <mergeCell ref="E185:F185"/>
    <mergeCell ref="E200:F200"/>
    <mergeCell ref="E201:F201"/>
    <mergeCell ref="E198:F198"/>
    <mergeCell ref="C192:D192"/>
    <mergeCell ref="C197:D197"/>
    <mergeCell ref="E197:F197"/>
    <mergeCell ref="C191:D191"/>
    <mergeCell ref="C187:D187"/>
    <mergeCell ref="C188:D188"/>
    <mergeCell ref="C189:D189"/>
    <mergeCell ref="C190:D190"/>
    <mergeCell ref="C195:D195"/>
    <mergeCell ref="C196:D196"/>
    <mergeCell ref="C193:D193"/>
    <mergeCell ref="C185:D185"/>
    <mergeCell ref="C208:D208"/>
    <mergeCell ref="C207:D207"/>
    <mergeCell ref="E206:F206"/>
    <mergeCell ref="E207:F207"/>
    <mergeCell ref="E208:F208"/>
    <mergeCell ref="E202:F202"/>
    <mergeCell ref="C205:D205"/>
    <mergeCell ref="E205:F205"/>
    <mergeCell ref="C203:D203"/>
    <mergeCell ref="E204:F204"/>
    <mergeCell ref="E203:F203"/>
    <mergeCell ref="C206:D206"/>
    <mergeCell ref="C204:D204"/>
    <mergeCell ref="C202:D202"/>
    <mergeCell ref="L32:M32"/>
    <mergeCell ref="L39:M39"/>
    <mergeCell ref="K54:L54"/>
    <mergeCell ref="E1:J1"/>
    <mergeCell ref="K8:L8"/>
    <mergeCell ref="K10:L10"/>
    <mergeCell ref="F4:G4"/>
    <mergeCell ref="F6:G6"/>
    <mergeCell ref="F12:G12"/>
    <mergeCell ref="I2:J2"/>
    <mergeCell ref="K2:L2"/>
    <mergeCell ref="G8:H8"/>
    <mergeCell ref="G10:H10"/>
    <mergeCell ref="E8:F8"/>
    <mergeCell ref="I8:J8"/>
    <mergeCell ref="E10:F10"/>
    <mergeCell ref="I10:J10"/>
    <mergeCell ref="K18:L18"/>
    <mergeCell ref="L20:M20"/>
    <mergeCell ref="C20:K20"/>
    <mergeCell ref="K15:L15"/>
    <mergeCell ref="E23:K23"/>
    <mergeCell ref="C15:G16"/>
    <mergeCell ref="G25:I25"/>
    <mergeCell ref="L23:M23"/>
    <mergeCell ref="S77:AD78"/>
    <mergeCell ref="U87:V87"/>
    <mergeCell ref="C10:D10"/>
    <mergeCell ref="R39:AC41"/>
    <mergeCell ref="C8:D8"/>
    <mergeCell ref="H12:I12"/>
    <mergeCell ref="L63:M63"/>
    <mergeCell ref="L49:M49"/>
    <mergeCell ref="H59:I59"/>
    <mergeCell ref="F52:G52"/>
    <mergeCell ref="F63:G63"/>
    <mergeCell ref="J47:K47"/>
    <mergeCell ref="D47:E47"/>
    <mergeCell ref="I61:J61"/>
    <mergeCell ref="H57:I57"/>
    <mergeCell ref="K59:L59"/>
    <mergeCell ref="C61:D61"/>
    <mergeCell ref="F61:G61"/>
    <mergeCell ref="I63:J63"/>
    <mergeCell ref="E59:F59"/>
    <mergeCell ref="V85:W85"/>
    <mergeCell ref="C12:D12"/>
    <mergeCell ref="K12:L12"/>
  </mergeCells>
  <phoneticPr fontId="26" type="noConversion"/>
  <dataValidations count="6">
    <dataValidation allowBlank="1" showInputMessage="1" showErrorMessage="1" prompt="&lt;1% value = 0_x000a_&gt;1% slope &gt;1 foot" sqref="F114:G114" xr:uid="{00000000-0002-0000-1200-000000000000}"/>
    <dataValidation type="list" allowBlank="1" showInputMessage="1" showErrorMessage="1" sqref="K43" xr:uid="{00000000-0002-0000-1200-000001000000}">
      <formula1>AtGradeDown</formula1>
    </dataValidation>
    <dataValidation type="list" allowBlank="1" showInputMessage="1" showErrorMessage="1" sqref="L35" xr:uid="{00000000-0002-0000-1200-000002000000}">
      <formula1>AtGradeUp</formula1>
    </dataValidation>
    <dataValidation allowBlank="1" showInputMessage="1" showErrorMessage="1" error="Cannot exceed 15" sqref="K8:L8" xr:uid="{00000000-0002-0000-1200-000003000000}"/>
    <dataValidation allowBlank="1" showInputMessage="1" showErrorMessage="1" promptTitle="Type of Distribution Product" prompt="Rock or Registered Product" sqref="G25:I25" xr:uid="{00000000-0002-0000-1200-000005000000}"/>
    <dataValidation allowBlank="1" showInputMessage="1" showErrorMessage="1" promptTitle="Registered Product" prompt="If using a Registered Product, choose which product_x000a_ " sqref="K25:M25" xr:uid="{00000000-0002-0000-1200-000006000000}"/>
  </dataValidations>
  <printOptions horizontalCentered="1"/>
  <pageMargins left="0.25" right="0.25" top="0.75" bottom="0.5" header="0.3" footer="0.3"/>
  <pageSetup scale="84" fitToHeight="2" orientation="portrait" blackAndWhite="1" r:id="rId3"/>
  <headerFooter alignWithMargins="0"/>
  <rowBreaks count="2" manualBreakCount="2">
    <brk id="55" max="13" man="1"/>
    <brk id="109" max="13" man="1"/>
  </rowBreaks>
  <ignoredErrors>
    <ignoredError sqref="C35 C36 C38 C41 C43 C44 C46 C49 C51 C54" numberStoredAsText="1"/>
  </ignoredErrors>
  <drawing r:id="rId4"/>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error="Check inches of rock" prompt="Inches of Rock Below Pipe" xr:uid="{00000000-0002-0000-1200-000007000000}">
          <x14:formula1>
            <xm:f>'Drop-Down Lists'!$AA$2:$AA$8</xm:f>
          </x14:formula1>
          <xm:sqref>C32</xm:sqref>
        </x14:dataValidation>
        <x14:dataValidation type="list" allowBlank="1" showInputMessage="1" showErrorMessage="1" prompt="Select value from Table 12.6" xr:uid="{00000000-0002-0000-1200-000004000000}">
          <x14:formula1>
            <xm:f>'Drop-Down Lists'!$BC$2:$BC$9</xm:f>
          </x14:formula1>
          <xm:sqref>M6</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9">
    <tabColor theme="9" tint="0.39997558519241921"/>
  </sheetPr>
  <dimension ref="A1:BU221"/>
  <sheetViews>
    <sheetView showGridLines="0" view="pageBreakPreview" zoomScaleNormal="100" zoomScaleSheetLayoutView="100" workbookViewId="0">
      <selection activeCell="H12" sqref="H12:I12"/>
    </sheetView>
  </sheetViews>
  <sheetFormatPr defaultColWidth="8.85546875" defaultRowHeight="15"/>
  <cols>
    <col min="1" max="1" width="2.42578125" style="393" customWidth="1"/>
    <col min="2" max="2" width="2.42578125" style="397" customWidth="1"/>
    <col min="3" max="17" width="5.42578125" style="394" customWidth="1"/>
    <col min="18" max="18" width="5.42578125" style="383" customWidth="1"/>
    <col min="19" max="20" width="2.42578125" style="394" customWidth="1"/>
    <col min="21" max="21" width="6.42578125" style="394" customWidth="1"/>
    <col min="22" max="35" width="5.42578125" style="394" customWidth="1"/>
    <col min="36" max="36" width="2" style="394" customWidth="1"/>
    <col min="37" max="16384" width="8.85546875" style="394"/>
  </cols>
  <sheetData>
    <row r="1" spans="1:37" ht="66" customHeight="1" thickBot="1">
      <c r="B1" s="406"/>
      <c r="C1" s="406"/>
      <c r="D1" s="406"/>
      <c r="F1" s="3266" t="s">
        <v>1401</v>
      </c>
      <c r="G1" s="3266"/>
      <c r="H1" s="3266"/>
      <c r="I1" s="3266"/>
      <c r="J1" s="3266"/>
      <c r="K1" s="3266"/>
      <c r="L1" s="3266"/>
      <c r="M1" s="3266"/>
      <c r="N1" s="406"/>
      <c r="O1" s="404"/>
      <c r="P1" s="404"/>
      <c r="Q1" s="404"/>
      <c r="R1" s="405"/>
      <c r="AK1" s="387"/>
    </row>
    <row r="2" spans="1:37" ht="16.350000000000001" customHeight="1" thickBot="1">
      <c r="A2" s="481" t="s">
        <v>475</v>
      </c>
      <c r="B2" s="646"/>
      <c r="C2" s="446" t="s">
        <v>1163</v>
      </c>
      <c r="D2" s="446"/>
      <c r="E2" s="446"/>
      <c r="F2" s="446"/>
      <c r="G2" s="446"/>
      <c r="H2" s="647"/>
      <c r="I2" s="3286" t="s">
        <v>1164</v>
      </c>
      <c r="J2" s="3286"/>
      <c r="K2" s="3267" t="str">
        <f>IF(ISBLANK('Design Details &amp; Summary'!S3)," ",'Design Details &amp; Summary'!S3)</f>
        <v xml:space="preserve"> </v>
      </c>
      <c r="L2" s="3267"/>
      <c r="M2" s="647" t="str">
        <f>IF(ISBLANK('Design Details &amp; Summary'!L3)," ",'Design Details &amp; Summary'!L3)</f>
        <v xml:space="preserve"> </v>
      </c>
      <c r="N2" s="647"/>
      <c r="O2" s="647"/>
      <c r="P2" s="3276" t="str">
        <f>'Drop-Down Lists'!A2</f>
        <v>v 05.01.2026</v>
      </c>
      <c r="Q2" s="3276"/>
      <c r="R2" s="3277"/>
      <c r="S2" s="387"/>
      <c r="T2" s="387"/>
      <c r="U2" s="387"/>
      <c r="V2" s="387"/>
      <c r="W2" s="387"/>
      <c r="X2" s="387"/>
      <c r="Y2" s="387"/>
      <c r="Z2" s="387"/>
      <c r="AA2" s="387"/>
      <c r="AB2" s="387"/>
    </row>
    <row r="3" spans="1:37" ht="3.6" customHeight="1">
      <c r="A3" s="400"/>
      <c r="R3" s="680"/>
    </row>
    <row r="4" spans="1:37" ht="20.100000000000001" customHeight="1">
      <c r="A4" s="400"/>
      <c r="B4" s="388" t="s">
        <v>1011</v>
      </c>
      <c r="C4" s="383" t="s">
        <v>1402</v>
      </c>
      <c r="D4" s="383"/>
      <c r="E4" s="383"/>
      <c r="F4" s="383"/>
      <c r="G4" s="383"/>
      <c r="H4" s="3288" t="str">
        <f>IF('Design Details &amp; Summary'!AA77=0,"",IF('Design Details &amp; Summary'!AA77=4,'Design Details &amp; Summary'!I11,""))</f>
        <v/>
      </c>
      <c r="I4" s="3289"/>
      <c r="J4" s="1999" t="s">
        <v>583</v>
      </c>
      <c r="K4" s="383"/>
      <c r="M4" s="388"/>
      <c r="N4" s="388"/>
      <c r="O4" s="388"/>
      <c r="P4" s="388"/>
      <c r="Q4" s="388"/>
      <c r="R4" s="681"/>
      <c r="S4" s="388"/>
      <c r="U4" s="402"/>
      <c r="V4" s="402"/>
      <c r="W4" s="402"/>
      <c r="X4" s="402"/>
      <c r="Y4" s="402"/>
      <c r="Z4" s="402"/>
      <c r="AA4" s="402"/>
      <c r="AB4" s="402"/>
    </row>
    <row r="5" spans="1:37" ht="3.6" customHeight="1">
      <c r="A5" s="400"/>
      <c r="B5" s="388"/>
      <c r="C5" s="383"/>
      <c r="D5" s="383"/>
      <c r="E5" s="383"/>
      <c r="F5" s="383"/>
      <c r="G5" s="383"/>
      <c r="H5" s="386"/>
      <c r="I5" s="386"/>
      <c r="J5" s="1999"/>
      <c r="K5" s="383"/>
      <c r="M5" s="388"/>
      <c r="N5" s="388"/>
      <c r="O5" s="388"/>
      <c r="P5" s="388"/>
      <c r="Q5" s="388"/>
      <c r="R5" s="681"/>
      <c r="S5" s="388"/>
      <c r="U5" s="402"/>
      <c r="V5" s="402"/>
      <c r="W5" s="402"/>
      <c r="X5" s="402"/>
      <c r="Y5" s="402"/>
      <c r="Z5" s="402"/>
      <c r="AA5" s="402"/>
      <c r="AB5" s="402"/>
    </row>
    <row r="6" spans="1:37" ht="20.100000000000001" customHeight="1">
      <c r="A6" s="400"/>
      <c r="B6" s="388" t="s">
        <v>1019</v>
      </c>
      <c r="C6" s="383" t="s">
        <v>1314</v>
      </c>
      <c r="D6" s="383"/>
      <c r="E6" s="383"/>
      <c r="F6" s="383"/>
      <c r="G6" s="383"/>
      <c r="H6" s="3249" t="str">
        <f>IF('Design Details &amp; Summary'!AA77=0,"",IF('Design Details &amp; Summary'!AA77=4,'Design Details &amp; Summary'!G104,""))</f>
        <v/>
      </c>
      <c r="I6" s="3250"/>
      <c r="J6" s="1999" t="s">
        <v>1403</v>
      </c>
      <c r="K6" s="383"/>
      <c r="M6" s="2000"/>
      <c r="N6" s="2000"/>
      <c r="O6" s="388"/>
      <c r="P6" s="388"/>
      <c r="Q6" s="388"/>
      <c r="R6" s="681"/>
      <c r="U6" s="401"/>
      <c r="V6" s="401"/>
      <c r="W6" s="401"/>
      <c r="X6" s="401"/>
      <c r="Y6" s="401"/>
      <c r="Z6" s="401"/>
      <c r="AA6" s="401"/>
      <c r="AB6" s="401"/>
    </row>
    <row r="7" spans="1:37" ht="3.6" customHeight="1">
      <c r="A7" s="400"/>
      <c r="B7" s="388"/>
      <c r="C7" s="383"/>
      <c r="D7" s="383"/>
      <c r="E7" s="383"/>
      <c r="F7" s="383"/>
      <c r="G7" s="383"/>
      <c r="H7" s="380"/>
      <c r="I7" s="380"/>
      <c r="J7" s="1999"/>
      <c r="K7" s="383"/>
      <c r="L7" s="383"/>
      <c r="M7" s="2000"/>
      <c r="N7" s="2000"/>
      <c r="O7" s="388"/>
      <c r="P7" s="388"/>
      <c r="Q7" s="388"/>
      <c r="R7" s="681"/>
      <c r="U7" s="401"/>
      <c r="V7" s="401"/>
      <c r="W7" s="401"/>
      <c r="X7" s="401"/>
      <c r="Y7" s="401"/>
      <c r="Z7" s="401"/>
      <c r="AA7" s="401"/>
      <c r="AB7" s="401"/>
    </row>
    <row r="8" spans="1:37" ht="20.100000000000001" customHeight="1">
      <c r="A8" s="400"/>
      <c r="B8" s="388" t="s">
        <v>1168</v>
      </c>
      <c r="C8" s="383" t="s">
        <v>1404</v>
      </c>
      <c r="D8" s="383"/>
      <c r="E8" s="383"/>
      <c r="F8" s="383"/>
      <c r="G8" s="383"/>
      <c r="H8" s="3249" t="str">
        <f>IF('Design Details &amp; Summary'!AA77=0,"",IF('Design Details &amp; Summary'!AA77=4,('Design Details &amp; Summary'!G94/12),""))</f>
        <v/>
      </c>
      <c r="I8" s="3250"/>
      <c r="J8" s="1999" t="s">
        <v>609</v>
      </c>
      <c r="M8" s="2000"/>
      <c r="N8" s="2000"/>
      <c r="O8" s="388"/>
      <c r="P8" s="388"/>
      <c r="Q8" s="388"/>
      <c r="R8" s="681"/>
      <c r="U8" s="383"/>
      <c r="V8" s="383"/>
      <c r="W8" s="383"/>
      <c r="X8" s="383"/>
      <c r="Y8" s="383"/>
      <c r="Z8" s="403"/>
      <c r="AA8" s="403"/>
    </row>
    <row r="9" spans="1:37" ht="3.6" customHeight="1">
      <c r="A9" s="400"/>
      <c r="B9" s="388"/>
      <c r="C9" s="383"/>
      <c r="D9" s="383"/>
      <c r="E9" s="383"/>
      <c r="F9" s="383"/>
      <c r="G9" s="383"/>
      <c r="H9" s="380"/>
      <c r="I9" s="380"/>
      <c r="J9" s="1999"/>
      <c r="L9" s="383"/>
      <c r="M9" s="2000"/>
      <c r="N9" s="2000"/>
      <c r="O9" s="388"/>
      <c r="P9" s="388"/>
      <c r="Q9" s="388"/>
      <c r="R9" s="681"/>
      <c r="U9" s="383"/>
      <c r="V9" s="383"/>
      <c r="W9" s="383"/>
      <c r="X9" s="383"/>
      <c r="Y9" s="383"/>
      <c r="Z9" s="403"/>
      <c r="AA9" s="403"/>
    </row>
    <row r="10" spans="1:37" ht="20.100000000000001" customHeight="1">
      <c r="A10" s="400"/>
      <c r="B10" s="388" t="s">
        <v>1172</v>
      </c>
      <c r="C10" s="383" t="s">
        <v>1405</v>
      </c>
      <c r="D10" s="383"/>
      <c r="E10" s="383"/>
      <c r="F10" s="383"/>
      <c r="G10" s="383"/>
      <c r="H10" s="3244" t="str">
        <f>IF('Design Details &amp; Summary'!AA77=0,"",IF('Design Details &amp; Summary'!AA77=4,'Design Details &amp; Summary'!G108,""))</f>
        <v/>
      </c>
      <c r="I10" s="3245"/>
      <c r="J10" s="2001" t="s">
        <v>624</v>
      </c>
      <c r="M10" s="2000"/>
      <c r="N10" s="2000"/>
      <c r="O10" s="388"/>
      <c r="P10" s="388"/>
      <c r="Q10" s="388"/>
      <c r="R10" s="681"/>
      <c r="U10" s="385"/>
      <c r="V10" s="385"/>
      <c r="W10" s="385"/>
      <c r="X10" s="385"/>
      <c r="Y10" s="385"/>
      <c r="Z10" s="379"/>
      <c r="AA10" s="379"/>
      <c r="AB10" s="379"/>
    </row>
    <row r="11" spans="1:37" ht="3.6" customHeight="1">
      <c r="A11" s="400"/>
      <c r="B11" s="388"/>
      <c r="C11" s="383"/>
      <c r="D11" s="383"/>
      <c r="E11" s="383"/>
      <c r="F11" s="383"/>
      <c r="G11" s="383"/>
      <c r="H11" s="403"/>
      <c r="I11" s="403"/>
      <c r="J11" s="2001"/>
      <c r="L11" s="383"/>
      <c r="M11" s="2000"/>
      <c r="N11" s="2000"/>
      <c r="O11" s="388"/>
      <c r="P11" s="388"/>
      <c r="Q11" s="388"/>
      <c r="R11" s="681"/>
      <c r="U11" s="385"/>
      <c r="V11" s="385"/>
      <c r="W11" s="385"/>
      <c r="X11" s="385"/>
      <c r="Y11" s="385"/>
      <c r="Z11" s="379"/>
      <c r="AA11" s="379"/>
      <c r="AB11" s="379"/>
    </row>
    <row r="12" spans="1:37" ht="20.100000000000001" customHeight="1">
      <c r="A12" s="400"/>
      <c r="B12" s="388" t="s">
        <v>1177</v>
      </c>
      <c r="C12" s="383" t="s">
        <v>1406</v>
      </c>
      <c r="D12" s="383"/>
      <c r="E12" s="383"/>
      <c r="F12" s="383"/>
      <c r="G12" s="383"/>
      <c r="H12" s="3282"/>
      <c r="I12" s="3283"/>
      <c r="J12" s="1999" t="s">
        <v>1403</v>
      </c>
      <c r="M12" s="2000"/>
      <c r="N12" s="2000"/>
      <c r="O12" s="388"/>
      <c r="P12" s="388"/>
      <c r="Q12" s="388"/>
      <c r="R12" s="681"/>
    </row>
    <row r="13" spans="1:37" ht="3.6" customHeight="1">
      <c r="A13" s="400"/>
      <c r="B13" s="388"/>
      <c r="C13" s="383"/>
      <c r="D13" s="383"/>
      <c r="E13" s="383"/>
      <c r="F13" s="383"/>
      <c r="G13" s="383"/>
      <c r="H13" s="403"/>
      <c r="I13" s="403"/>
      <c r="L13" s="383"/>
      <c r="M13" s="2000"/>
      <c r="N13" s="2000"/>
      <c r="O13" s="388"/>
      <c r="P13" s="388"/>
      <c r="Q13" s="388"/>
      <c r="R13" s="681"/>
    </row>
    <row r="14" spans="1:37" ht="20.100000000000001" customHeight="1">
      <c r="A14" s="400"/>
      <c r="B14" s="395" t="s">
        <v>1179</v>
      </c>
      <c r="C14" s="383" t="s">
        <v>1407</v>
      </c>
      <c r="D14" s="383"/>
      <c r="E14" s="383"/>
      <c r="F14" s="383"/>
      <c r="G14" s="383"/>
      <c r="H14" s="3284"/>
      <c r="I14" s="3285"/>
      <c r="M14" s="2000"/>
      <c r="N14" s="2000"/>
      <c r="O14" s="380"/>
      <c r="P14" s="380"/>
      <c r="Q14" s="380"/>
      <c r="R14" s="682"/>
    </row>
    <row r="15" spans="1:37" ht="3.6" customHeight="1">
      <c r="A15" s="400"/>
      <c r="B15" s="395"/>
      <c r="C15" s="383"/>
      <c r="D15" s="383"/>
      <c r="E15" s="383"/>
      <c r="F15" s="383"/>
      <c r="G15" s="383"/>
      <c r="H15" s="380"/>
      <c r="I15" s="380"/>
      <c r="J15" s="383"/>
      <c r="L15" s="2000"/>
      <c r="M15" s="2001"/>
      <c r="N15" s="2000"/>
      <c r="O15" s="380"/>
      <c r="P15" s="380"/>
      <c r="Q15" s="380"/>
      <c r="R15" s="682"/>
    </row>
    <row r="16" spans="1:37" ht="18" customHeight="1">
      <c r="A16" s="400"/>
      <c r="B16" s="395"/>
      <c r="C16" s="383"/>
      <c r="D16" s="383"/>
      <c r="E16" s="383"/>
      <c r="F16" s="383"/>
      <c r="G16" s="383"/>
      <c r="H16" s="384"/>
      <c r="I16" s="384"/>
      <c r="J16" s="383"/>
      <c r="K16" s="383"/>
      <c r="R16" s="680"/>
      <c r="U16" s="401"/>
      <c r="V16" s="401"/>
      <c r="X16" s="401"/>
      <c r="Y16" s="401"/>
      <c r="Z16" s="401"/>
      <c r="AA16" s="401"/>
      <c r="AB16" s="401"/>
    </row>
    <row r="17" spans="1:28" ht="18" customHeight="1">
      <c r="A17" s="400"/>
      <c r="B17" s="395"/>
      <c r="C17" s="383"/>
      <c r="D17" s="383"/>
      <c r="E17" s="383"/>
      <c r="F17" s="383"/>
      <c r="G17" s="383"/>
      <c r="H17" s="384"/>
      <c r="I17" s="384"/>
      <c r="J17" s="383"/>
      <c r="K17" s="383"/>
      <c r="R17" s="680"/>
      <c r="U17" s="401"/>
      <c r="V17" s="401"/>
      <c r="X17" s="401"/>
      <c r="Y17" s="401"/>
      <c r="Z17" s="401"/>
      <c r="AA17" s="401"/>
      <c r="AB17" s="401"/>
    </row>
    <row r="18" spans="1:28" ht="18" customHeight="1">
      <c r="A18" s="400"/>
      <c r="B18" s="395"/>
      <c r="C18" s="383"/>
      <c r="D18" s="383"/>
      <c r="E18" s="383"/>
      <c r="F18" s="383"/>
      <c r="G18" s="383"/>
      <c r="H18" s="384"/>
      <c r="I18" s="384"/>
      <c r="J18" s="383"/>
      <c r="K18" s="383"/>
      <c r="R18" s="680"/>
      <c r="U18" s="401"/>
      <c r="V18" s="401"/>
      <c r="X18" s="401"/>
      <c r="Y18" s="401"/>
      <c r="Z18" s="401"/>
      <c r="AA18" s="401"/>
      <c r="AB18" s="401"/>
    </row>
    <row r="19" spans="1:28" ht="18" customHeight="1">
      <c r="A19" s="400"/>
      <c r="B19" s="395"/>
      <c r="C19" s="383"/>
      <c r="D19" s="383"/>
      <c r="E19" s="383"/>
      <c r="F19" s="383"/>
      <c r="G19" s="383"/>
      <c r="H19" s="384"/>
      <c r="I19" s="384"/>
      <c r="J19" s="383"/>
      <c r="K19" s="383"/>
      <c r="R19" s="680"/>
      <c r="U19" s="401"/>
      <c r="V19" s="401"/>
      <c r="X19" s="401"/>
      <c r="Y19" s="401"/>
      <c r="Z19" s="401"/>
      <c r="AA19" s="401"/>
      <c r="AB19" s="401"/>
    </row>
    <row r="20" spans="1:28" ht="18" customHeight="1">
      <c r="A20" s="400"/>
      <c r="B20" s="395"/>
      <c r="C20" s="383"/>
      <c r="D20" s="383"/>
      <c r="E20" s="383"/>
      <c r="F20" s="383"/>
      <c r="G20" s="383"/>
      <c r="H20" s="384"/>
      <c r="I20" s="384"/>
      <c r="J20" s="383"/>
      <c r="K20" s="383"/>
      <c r="R20" s="680"/>
      <c r="U20" s="401"/>
      <c r="V20" s="401"/>
      <c r="X20" s="401"/>
      <c r="Y20" s="401"/>
      <c r="Z20" s="401"/>
      <c r="AA20" s="401"/>
      <c r="AB20" s="401"/>
    </row>
    <row r="21" spans="1:28" ht="18" customHeight="1">
      <c r="A21" s="400"/>
      <c r="B21" s="395"/>
      <c r="C21" s="383"/>
      <c r="D21" s="383"/>
      <c r="E21" s="383"/>
      <c r="F21" s="383"/>
      <c r="G21" s="383"/>
      <c r="H21" s="384"/>
      <c r="I21" s="384"/>
      <c r="K21" s="3268" t="s">
        <v>1408</v>
      </c>
      <c r="L21" s="3268"/>
      <c r="M21" s="3268"/>
      <c r="N21" s="3268"/>
      <c r="O21" s="3268"/>
      <c r="P21" s="3268"/>
      <c r="Q21" s="3268"/>
      <c r="R21" s="3269"/>
      <c r="AB21" s="648"/>
    </row>
    <row r="22" spans="1:28" ht="18" customHeight="1" thickBot="1">
      <c r="A22" s="400"/>
      <c r="B22" s="395"/>
      <c r="C22" s="383"/>
      <c r="D22" s="383"/>
      <c r="E22" s="383"/>
      <c r="F22" s="383"/>
      <c r="G22" s="383"/>
      <c r="H22" s="384"/>
      <c r="I22" s="384"/>
      <c r="J22" s="2002"/>
      <c r="K22" s="3270"/>
      <c r="L22" s="3270"/>
      <c r="M22" s="3270"/>
      <c r="N22" s="3270"/>
      <c r="O22" s="3270"/>
      <c r="P22" s="3270"/>
      <c r="Q22" s="3270"/>
      <c r="R22" s="3271"/>
      <c r="AB22" s="648"/>
    </row>
    <row r="23" spans="1:28" ht="18" customHeight="1">
      <c r="A23" s="400"/>
      <c r="B23" s="395"/>
      <c r="C23" s="383"/>
      <c r="D23" s="383"/>
      <c r="E23" s="383"/>
      <c r="F23" s="383"/>
      <c r="G23" s="383"/>
      <c r="H23" s="384"/>
      <c r="I23" s="384"/>
      <c r="J23" s="347"/>
      <c r="K23" s="3272"/>
      <c r="L23" s="3272"/>
      <c r="M23" s="3272"/>
      <c r="N23" s="3272"/>
      <c r="O23" s="3272"/>
      <c r="P23" s="3272"/>
      <c r="Q23" s="3272"/>
      <c r="R23" s="3273"/>
      <c r="T23" s="648"/>
      <c r="U23" s="648"/>
      <c r="V23" s="648"/>
      <c r="W23" s="648"/>
      <c r="X23" s="648"/>
      <c r="Y23" s="648"/>
      <c r="Z23" s="648"/>
      <c r="AA23" s="648"/>
      <c r="AB23" s="648"/>
    </row>
    <row r="24" spans="1:28" ht="9" customHeight="1" thickBot="1">
      <c r="A24" s="399"/>
      <c r="B24" s="410"/>
      <c r="C24" s="409"/>
      <c r="D24" s="409"/>
      <c r="E24" s="409"/>
      <c r="F24" s="409"/>
      <c r="G24" s="409"/>
      <c r="H24" s="409"/>
      <c r="I24" s="409"/>
      <c r="J24" s="409"/>
      <c r="K24" s="409"/>
      <c r="L24" s="409"/>
      <c r="M24" s="409"/>
      <c r="N24" s="409"/>
      <c r="O24" s="409"/>
      <c r="P24" s="409"/>
      <c r="Q24" s="409"/>
      <c r="R24" s="684"/>
      <c r="T24" s="648"/>
      <c r="U24" s="648"/>
      <c r="V24" s="648"/>
      <c r="W24" s="648"/>
      <c r="X24" s="648"/>
      <c r="Y24" s="648"/>
      <c r="Z24" s="648"/>
      <c r="AA24" s="648"/>
      <c r="AB24" s="648"/>
    </row>
    <row r="25" spans="1:28" ht="16.350000000000001" customHeight="1" thickBot="1">
      <c r="A25" s="448" t="s">
        <v>481</v>
      </c>
      <c r="B25" s="646"/>
      <c r="C25" s="446" t="s">
        <v>1409</v>
      </c>
      <c r="D25" s="446"/>
      <c r="E25" s="446"/>
      <c r="F25" s="446"/>
      <c r="G25" s="446"/>
      <c r="H25" s="446"/>
      <c r="I25" s="446"/>
      <c r="J25" s="446"/>
      <c r="K25" s="446"/>
      <c r="L25" s="446"/>
      <c r="M25" s="446"/>
      <c r="N25" s="446"/>
      <c r="O25" s="446"/>
      <c r="P25" s="446"/>
      <c r="Q25" s="649"/>
      <c r="R25" s="650"/>
      <c r="U25" s="401"/>
      <c r="V25" s="401"/>
      <c r="W25" s="401"/>
      <c r="X25" s="401"/>
      <c r="Y25" s="401"/>
      <c r="Z25" s="401"/>
      <c r="AA25" s="401"/>
      <c r="AB25" s="401"/>
    </row>
    <row r="26" spans="1:28" ht="6" customHeight="1">
      <c r="A26" s="431"/>
      <c r="B26" s="432"/>
      <c r="C26" s="433"/>
      <c r="D26" s="433"/>
      <c r="E26" s="433"/>
      <c r="F26" s="433"/>
      <c r="G26" s="433"/>
      <c r="H26" s="433"/>
      <c r="I26" s="433"/>
      <c r="J26" s="433"/>
      <c r="K26" s="433"/>
      <c r="L26" s="433"/>
      <c r="M26" s="433"/>
      <c r="N26" s="433"/>
      <c r="O26" s="433"/>
      <c r="P26" s="433"/>
      <c r="Q26" s="433"/>
      <c r="R26" s="688"/>
      <c r="U26" s="385"/>
      <c r="V26" s="385"/>
      <c r="W26" s="401"/>
      <c r="X26" s="401"/>
      <c r="Y26" s="401"/>
      <c r="Z26" s="401"/>
      <c r="AA26" s="385"/>
      <c r="AB26" s="385"/>
    </row>
    <row r="27" spans="1:28" ht="18" customHeight="1">
      <c r="A27" s="400"/>
      <c r="B27" s="2003" t="s">
        <v>1011</v>
      </c>
      <c r="C27" s="383" t="s">
        <v>1410</v>
      </c>
      <c r="D27" s="383"/>
      <c r="E27" s="383"/>
      <c r="F27" s="383"/>
      <c r="G27" s="383"/>
      <c r="H27" s="383"/>
      <c r="I27" s="383"/>
      <c r="J27" s="383"/>
      <c r="K27" s="383"/>
      <c r="L27" s="383"/>
      <c r="M27" s="383"/>
      <c r="N27" s="383"/>
      <c r="O27" s="383"/>
      <c r="P27" s="383"/>
      <c r="R27" s="680"/>
      <c r="AB27" s="385"/>
    </row>
    <row r="28" spans="1:28" ht="20.100000000000001" customHeight="1">
      <c r="A28" s="400"/>
      <c r="D28" s="3292" t="str">
        <f>IF(ISBLANK(H4),"",H4)</f>
        <v/>
      </c>
      <c r="E28" s="3292"/>
      <c r="F28" s="3287" t="s">
        <v>1411</v>
      </c>
      <c r="G28" s="3287"/>
      <c r="H28" s="3274" t="str">
        <f>IF(ISBLANK(H12),"",H12)</f>
        <v/>
      </c>
      <c r="I28" s="3274"/>
      <c r="J28" s="383" t="s">
        <v>1412</v>
      </c>
      <c r="L28" s="3274" t="str">
        <f>IF(ISBLANK(H12),"",D28/H28)</f>
        <v/>
      </c>
      <c r="M28" s="3275"/>
      <c r="N28" s="383" t="s">
        <v>1089</v>
      </c>
      <c r="R28" s="412"/>
      <c r="AA28" s="385"/>
      <c r="AB28" s="385"/>
    </row>
    <row r="29" spans="1:28" ht="5.0999999999999996" customHeight="1">
      <c r="A29" s="400"/>
      <c r="D29" s="2004"/>
      <c r="E29" s="2004"/>
      <c r="F29" s="383"/>
      <c r="G29" s="383"/>
      <c r="H29" s="389"/>
      <c r="I29" s="389"/>
      <c r="J29" s="383"/>
      <c r="L29" s="414"/>
      <c r="M29" s="2005"/>
      <c r="N29" s="383"/>
      <c r="R29" s="412"/>
      <c r="AA29" s="385"/>
      <c r="AB29" s="385"/>
    </row>
    <row r="30" spans="1:28" ht="20.100000000000001" customHeight="1">
      <c r="A30" s="2006"/>
      <c r="B30" s="1828" t="s">
        <v>1176</v>
      </c>
      <c r="C30" s="1829"/>
      <c r="D30" s="1830"/>
      <c r="E30" s="1830"/>
      <c r="F30" s="1831"/>
      <c r="G30" s="1831"/>
      <c r="H30" s="1832"/>
      <c r="I30" s="1832"/>
      <c r="J30" s="1831"/>
      <c r="K30" s="1829"/>
      <c r="L30" s="1833"/>
      <c r="M30" s="1834"/>
      <c r="N30" s="1831"/>
      <c r="O30" s="1829"/>
      <c r="P30" s="1835"/>
      <c r="Q30" s="1835"/>
      <c r="R30" s="2007"/>
      <c r="AA30" s="385"/>
      <c r="AB30" s="385"/>
    </row>
    <row r="31" spans="1:28" ht="20.100000000000001" customHeight="1">
      <c r="A31" s="400"/>
      <c r="B31" s="2008" t="s">
        <v>1019</v>
      </c>
      <c r="C31" s="3064" t="s">
        <v>1178</v>
      </c>
      <c r="D31" s="3064"/>
      <c r="E31" s="3064"/>
      <c r="F31" s="3064"/>
      <c r="G31" s="3064"/>
      <c r="H31" s="3064"/>
      <c r="I31" s="3064"/>
      <c r="J31" s="3064"/>
      <c r="K31" s="1559"/>
      <c r="L31" s="3008"/>
      <c r="M31" s="3009"/>
      <c r="N31" s="8" t="s">
        <v>1089</v>
      </c>
      <c r="P31" s="8"/>
      <c r="R31" s="412"/>
      <c r="AA31" s="385"/>
      <c r="AB31" s="385"/>
    </row>
    <row r="32" spans="1:28" ht="9.75" customHeight="1">
      <c r="A32" s="400"/>
      <c r="B32" s="672"/>
      <c r="C32" s="3064"/>
      <c r="D32" s="3064"/>
      <c r="E32" s="3064"/>
      <c r="F32" s="3064"/>
      <c r="G32" s="3064"/>
      <c r="H32" s="3064"/>
      <c r="I32" s="3064"/>
      <c r="J32" s="3064"/>
      <c r="K32" s="1559"/>
      <c r="L32" s="1559"/>
      <c r="M32" s="1559"/>
      <c r="N32" s="1203"/>
      <c r="O32" s="528"/>
      <c r="R32" s="412"/>
      <c r="AA32" s="385"/>
      <c r="AB32" s="385"/>
    </row>
    <row r="33" spans="1:28" ht="6" customHeight="1">
      <c r="A33" s="2009"/>
      <c r="B33" s="1836"/>
      <c r="C33" s="1837"/>
      <c r="D33" s="1838"/>
      <c r="E33" s="1838"/>
      <c r="F33" s="1839"/>
      <c r="G33" s="1839"/>
      <c r="H33" s="1840"/>
      <c r="I33" s="1840"/>
      <c r="J33" s="1839"/>
      <c r="K33" s="1837"/>
      <c r="L33" s="1841"/>
      <c r="M33" s="1842"/>
      <c r="N33" s="1839"/>
      <c r="O33" s="1837"/>
      <c r="P33" s="1837"/>
      <c r="Q33" s="1837"/>
      <c r="R33" s="2010"/>
      <c r="AA33" s="385"/>
      <c r="AB33" s="385"/>
    </row>
    <row r="34" spans="1:28" ht="6" customHeight="1">
      <c r="A34" s="400"/>
      <c r="C34" s="1551"/>
      <c r="D34" s="1551"/>
      <c r="E34" s="1551"/>
      <c r="F34" s="1551"/>
      <c r="G34" s="2000"/>
      <c r="R34" s="680"/>
    </row>
    <row r="35" spans="1:28" ht="20.100000000000001" customHeight="1">
      <c r="A35" s="400"/>
      <c r="B35" s="2011" t="s">
        <v>1168</v>
      </c>
      <c r="C35" s="3259" t="s">
        <v>1413</v>
      </c>
      <c r="D35" s="3259"/>
      <c r="E35" s="3259"/>
      <c r="F35" s="3259"/>
      <c r="G35" s="3259"/>
      <c r="H35" s="3065" t="str">
        <f>IF(ISBLANK(H12),"",MAX(L28,L31))</f>
        <v/>
      </c>
      <c r="I35" s="3066"/>
      <c r="J35" s="376" t="s">
        <v>1089</v>
      </c>
      <c r="K35" s="3147" t="s">
        <v>1414</v>
      </c>
      <c r="L35" s="3147"/>
      <c r="M35" s="3147"/>
      <c r="N35" s="3147"/>
      <c r="O35" s="3147"/>
      <c r="P35" s="3147"/>
      <c r="Q35" s="3147"/>
      <c r="R35" s="3232"/>
    </row>
    <row r="36" spans="1:28" ht="6" customHeight="1">
      <c r="A36" s="400"/>
      <c r="B36" s="2012"/>
      <c r="C36" s="2013"/>
      <c r="D36" s="2013"/>
      <c r="E36" s="2013"/>
      <c r="F36" s="2013"/>
      <c r="G36" s="2013"/>
      <c r="H36" s="2013"/>
      <c r="I36" s="2013"/>
      <c r="J36" s="2013"/>
      <c r="K36" s="1907"/>
      <c r="L36" s="1907"/>
      <c r="M36" s="390"/>
      <c r="N36" s="375"/>
      <c r="O36" s="375"/>
      <c r="P36" s="376"/>
      <c r="Q36" s="375"/>
      <c r="R36" s="1354"/>
    </row>
    <row r="37" spans="1:28" ht="20.100000000000001" customHeight="1">
      <c r="A37" s="400"/>
      <c r="B37" s="2011" t="s">
        <v>1172</v>
      </c>
      <c r="C37" s="376" t="s">
        <v>1415</v>
      </c>
      <c r="D37" s="376"/>
      <c r="E37" s="376"/>
      <c r="F37" s="376"/>
      <c r="G37" s="375"/>
      <c r="H37" s="3279"/>
      <c r="I37" s="3280"/>
      <c r="J37" s="376" t="s">
        <v>609</v>
      </c>
      <c r="K37" s="2014" t="s">
        <v>1416</v>
      </c>
      <c r="L37" s="376"/>
      <c r="M37" s="375"/>
      <c r="N37" s="375"/>
      <c r="O37" s="375"/>
      <c r="P37" s="375"/>
      <c r="Q37" s="375"/>
      <c r="R37" s="1354"/>
    </row>
    <row r="38" spans="1:28" ht="18" customHeight="1">
      <c r="A38" s="400"/>
      <c r="B38" s="2003" t="s">
        <v>1177</v>
      </c>
      <c r="C38" s="383" t="s">
        <v>1417</v>
      </c>
      <c r="D38" s="383"/>
      <c r="E38" s="383"/>
      <c r="F38" s="383"/>
      <c r="G38" s="383"/>
      <c r="H38" s="383"/>
      <c r="I38" s="383"/>
      <c r="J38" s="383"/>
      <c r="K38" s="383"/>
      <c r="L38" s="383"/>
      <c r="M38" s="383"/>
      <c r="R38" s="680"/>
    </row>
    <row r="39" spans="1:28" ht="20.100000000000001" customHeight="1">
      <c r="A39" s="400"/>
      <c r="B39" s="2003"/>
      <c r="D39" s="3244" t="str">
        <f>IF(ISBLANK(H37),"",H37)</f>
        <v/>
      </c>
      <c r="E39" s="3245"/>
      <c r="F39" s="2163" t="s">
        <v>1389</v>
      </c>
      <c r="G39" s="3244" t="str">
        <f>IF(ISBLANK(H28), "", H28)</f>
        <v/>
      </c>
      <c r="H39" s="3245"/>
      <c r="I39" s="3242" t="s">
        <v>1418</v>
      </c>
      <c r="J39" s="3243"/>
      <c r="K39" s="3244" t="str">
        <f>IF(ISBLANK(H37),"",D39*G39)</f>
        <v/>
      </c>
      <c r="L39" s="3245"/>
      <c r="M39" s="383" t="s">
        <v>1115</v>
      </c>
      <c r="O39" s="2015" t="s">
        <v>1419</v>
      </c>
      <c r="R39" s="412"/>
    </row>
    <row r="40" spans="1:28" ht="18" customHeight="1">
      <c r="A40" s="400"/>
      <c r="B40" s="2003" t="s">
        <v>1179</v>
      </c>
      <c r="C40" s="383" t="s">
        <v>1420</v>
      </c>
      <c r="D40" s="383"/>
      <c r="E40" s="383"/>
      <c r="F40" s="383"/>
      <c r="G40" s="383"/>
      <c r="H40" s="383"/>
      <c r="I40" s="383"/>
      <c r="J40" s="383"/>
      <c r="K40" s="383"/>
      <c r="L40" s="383"/>
      <c r="M40" s="383"/>
      <c r="R40" s="680"/>
    </row>
    <row r="41" spans="1:28" ht="20.100000000000001" customHeight="1">
      <c r="A41" s="400"/>
      <c r="B41" s="2003"/>
      <c r="D41" s="3253" t="str">
        <f>IF(ISBLANK(H12),"",H35)</f>
        <v/>
      </c>
      <c r="E41" s="3253"/>
      <c r="F41" s="2041" t="s">
        <v>1421</v>
      </c>
      <c r="G41" s="3281" t="str">
        <f>IF(ISBLANK(H37), "", H37)</f>
        <v/>
      </c>
      <c r="H41" s="3281"/>
      <c r="I41" s="2164" t="s">
        <v>1230</v>
      </c>
      <c r="J41" s="3281" t="str">
        <f>IF(ISBLANK(H37),"",D41/G41)</f>
        <v/>
      </c>
      <c r="K41" s="3281"/>
      <c r="L41" s="383" t="s">
        <v>609</v>
      </c>
      <c r="R41" s="680"/>
    </row>
    <row r="42" spans="1:28" ht="6" customHeight="1">
      <c r="A42" s="400"/>
      <c r="B42" s="2003"/>
      <c r="D42" s="414"/>
      <c r="E42" s="414"/>
      <c r="F42" s="383"/>
      <c r="G42" s="414"/>
      <c r="H42" s="414"/>
      <c r="I42" s="383"/>
      <c r="J42" s="389"/>
      <c r="K42" s="389"/>
      <c r="L42" s="383"/>
      <c r="R42" s="680"/>
    </row>
    <row r="43" spans="1:28" s="375" customFormat="1" ht="20.100000000000001" customHeight="1">
      <c r="A43" s="1353"/>
      <c r="B43" s="2016"/>
      <c r="C43" s="3293" t="s">
        <v>1328</v>
      </c>
      <c r="D43" s="3294"/>
      <c r="E43" s="3294"/>
      <c r="F43" s="3294"/>
      <c r="G43" s="3294"/>
      <c r="H43" s="3294"/>
      <c r="I43" s="3294"/>
      <c r="J43" s="3294"/>
      <c r="K43" s="3294"/>
      <c r="L43" s="3295"/>
      <c r="M43" s="3278"/>
      <c r="N43" s="3278"/>
      <c r="O43" s="376" t="s">
        <v>609</v>
      </c>
      <c r="R43" s="1354"/>
    </row>
    <row r="44" spans="1:28" ht="6" customHeight="1" thickBot="1">
      <c r="A44" s="399"/>
      <c r="B44" s="410"/>
      <c r="C44" s="409"/>
      <c r="D44" s="409"/>
      <c r="E44" s="409"/>
      <c r="F44" s="409"/>
      <c r="G44" s="409"/>
      <c r="H44" s="409"/>
      <c r="I44" s="409"/>
      <c r="J44" s="409"/>
      <c r="K44" s="409"/>
      <c r="L44" s="409"/>
      <c r="M44" s="391"/>
      <c r="N44" s="391"/>
      <c r="O44" s="382"/>
      <c r="P44" s="391"/>
      <c r="Q44" s="391"/>
      <c r="R44" s="684"/>
    </row>
    <row r="45" spans="1:28" ht="16.350000000000001" customHeight="1" thickBot="1">
      <c r="A45" s="651" t="s">
        <v>487</v>
      </c>
      <c r="B45" s="646"/>
      <c r="C45" s="446" t="s">
        <v>1422</v>
      </c>
      <c r="D45" s="446"/>
      <c r="E45" s="446"/>
      <c r="F45" s="446"/>
      <c r="G45" s="446"/>
      <c r="H45" s="446"/>
      <c r="I45" s="446"/>
      <c r="J45" s="446"/>
      <c r="K45" s="446"/>
      <c r="L45" s="446"/>
      <c r="M45" s="446"/>
      <c r="N45" s="446"/>
      <c r="O45" s="446"/>
      <c r="P45" s="446"/>
      <c r="Q45" s="446"/>
      <c r="R45" s="447"/>
      <c r="S45" s="387"/>
      <c r="T45" s="387"/>
      <c r="U45" s="387"/>
      <c r="V45" s="387"/>
      <c r="W45" s="387"/>
      <c r="X45" s="387"/>
      <c r="Y45" s="387"/>
      <c r="Z45" s="387"/>
      <c r="AA45" s="387"/>
      <c r="AB45" s="387"/>
    </row>
    <row r="46" spans="1:28" ht="6" customHeight="1">
      <c r="A46" s="431"/>
      <c r="B46" s="432"/>
      <c r="C46" s="433"/>
      <c r="D46" s="433"/>
      <c r="E46" s="433"/>
      <c r="F46" s="433"/>
      <c r="G46" s="433"/>
      <c r="H46" s="433"/>
      <c r="I46" s="433"/>
      <c r="J46" s="433"/>
      <c r="K46" s="433"/>
      <c r="L46" s="433"/>
      <c r="M46" s="689"/>
      <c r="N46" s="689"/>
      <c r="O46" s="690"/>
      <c r="P46" s="689"/>
      <c r="Q46" s="689"/>
      <c r="R46" s="688"/>
    </row>
    <row r="47" spans="1:28" ht="18" customHeight="1">
      <c r="A47" s="400"/>
      <c r="B47" s="393" t="s">
        <v>1011</v>
      </c>
      <c r="C47" s="394" t="s">
        <v>1423</v>
      </c>
      <c r="M47" s="384"/>
      <c r="R47" s="680"/>
    </row>
    <row r="48" spans="1:28" ht="20.100000000000001" customHeight="1">
      <c r="A48" s="400"/>
      <c r="B48" s="393"/>
      <c r="D48" s="3249" t="str">
        <f>IF(ISBLANK(H37)," ",H37)</f>
        <v xml:space="preserve"> </v>
      </c>
      <c r="E48" s="3250"/>
      <c r="F48" s="2161" t="s">
        <v>1229</v>
      </c>
      <c r="G48" s="3244" t="str">
        <f>IF(ISBLANK(H14)," ",H14)</f>
        <v xml:space="preserve"> </v>
      </c>
      <c r="H48" s="3245"/>
      <c r="I48" s="389" t="s">
        <v>1240</v>
      </c>
      <c r="J48" s="3249" t="str">
        <f>IF(ISBLANK(H12),"",D48*G48)</f>
        <v/>
      </c>
      <c r="K48" s="3250"/>
      <c r="L48" s="383" t="s">
        <v>609</v>
      </c>
      <c r="R48" s="680"/>
    </row>
    <row r="49" spans="1:45" ht="6" customHeight="1">
      <c r="A49" s="400"/>
      <c r="B49" s="393"/>
      <c r="C49" s="384"/>
      <c r="D49" s="384"/>
      <c r="E49" s="385"/>
      <c r="F49" s="384"/>
      <c r="G49" s="384"/>
      <c r="H49" s="385"/>
      <c r="I49" s="384"/>
      <c r="J49" s="384"/>
      <c r="K49" s="385"/>
      <c r="R49" s="680"/>
    </row>
    <row r="50" spans="1:45" ht="18" customHeight="1">
      <c r="A50" s="400"/>
      <c r="B50" s="393" t="s">
        <v>1019</v>
      </c>
      <c r="C50" s="394" t="s">
        <v>1424</v>
      </c>
      <c r="R50" s="680"/>
    </row>
    <row r="51" spans="1:45" ht="18" customHeight="1">
      <c r="A51" s="400"/>
      <c r="B51" s="394"/>
      <c r="C51" s="394" t="s">
        <v>1425</v>
      </c>
      <c r="R51" s="680"/>
    </row>
    <row r="52" spans="1:45" ht="20.100000000000001" customHeight="1">
      <c r="A52" s="400"/>
      <c r="B52" s="393"/>
      <c r="C52" s="2017" t="s">
        <v>1237</v>
      </c>
      <c r="D52" s="3244" t="str">
        <f>J48</f>
        <v/>
      </c>
      <c r="E52" s="3245"/>
      <c r="F52" s="2161" t="s">
        <v>1426</v>
      </c>
      <c r="G52" s="3244" t="str">
        <f>IF(ISBLANK(H37)," ",H37)</f>
        <v xml:space="preserve"> </v>
      </c>
      <c r="H52" s="3245"/>
      <c r="I52" s="2161" t="s">
        <v>1427</v>
      </c>
      <c r="J52" s="2162">
        <v>2</v>
      </c>
      <c r="K52" s="389" t="s">
        <v>1240</v>
      </c>
      <c r="L52" s="3244" t="str">
        <f>IF(ISBLANK(H12),"",(D52-G52)/J52)</f>
        <v/>
      </c>
      <c r="M52" s="3245"/>
      <c r="N52" s="383" t="s">
        <v>609</v>
      </c>
      <c r="R52" s="412"/>
    </row>
    <row r="53" spans="1:45" ht="6" customHeight="1" thickBot="1">
      <c r="A53" s="399"/>
      <c r="B53" s="410"/>
      <c r="C53" s="391"/>
      <c r="D53" s="391"/>
      <c r="E53" s="382"/>
      <c r="F53" s="391"/>
      <c r="G53" s="391"/>
      <c r="H53" s="409"/>
      <c r="I53" s="409"/>
      <c r="J53" s="409"/>
      <c r="K53" s="409"/>
      <c r="L53" s="409"/>
      <c r="M53" s="409"/>
      <c r="N53" s="409"/>
      <c r="O53" s="409"/>
      <c r="P53" s="409"/>
      <c r="Q53" s="409"/>
      <c r="R53" s="684"/>
    </row>
    <row r="54" spans="1:45" s="528" customFormat="1" ht="18" customHeight="1" thickBot="1">
      <c r="A54" s="543" t="s">
        <v>1428</v>
      </c>
      <c r="B54" s="542"/>
      <c r="C54" s="541" t="s">
        <v>1429</v>
      </c>
      <c r="D54" s="540"/>
      <c r="E54" s="540"/>
      <c r="F54" s="540"/>
      <c r="G54" s="540"/>
      <c r="H54" s="540"/>
      <c r="I54" s="2689" t="s">
        <v>551</v>
      </c>
      <c r="J54" s="2689"/>
      <c r="K54" s="2689"/>
      <c r="L54" s="2689"/>
      <c r="M54" s="2689"/>
      <c r="N54" s="2690" t="str">
        <f>IF(ISBLANK(Prelim!S5)," ",Prelim!S5)</f>
        <v xml:space="preserve"> </v>
      </c>
      <c r="O54" s="2690"/>
      <c r="P54" s="2690"/>
      <c r="Q54" s="2690"/>
      <c r="R54" s="539"/>
      <c r="AK54" s="652"/>
      <c r="AM54" s="653"/>
      <c r="AN54" s="654"/>
      <c r="AO54" s="652"/>
      <c r="AQ54" s="654"/>
    </row>
    <row r="55" spans="1:45" s="528" customFormat="1" ht="5.0999999999999996" customHeight="1">
      <c r="A55" s="532"/>
      <c r="B55" s="529"/>
      <c r="R55" s="531"/>
      <c r="AK55" s="652"/>
      <c r="AM55" s="653"/>
      <c r="AN55" s="654"/>
      <c r="AO55" s="652"/>
      <c r="AQ55" s="654"/>
    </row>
    <row r="56" spans="1:45" s="528" customFormat="1" ht="5.0999999999999996" customHeight="1">
      <c r="A56" s="532"/>
      <c r="B56" s="529"/>
      <c r="R56" s="531"/>
      <c r="AK56" s="652"/>
      <c r="AM56" s="653"/>
      <c r="AN56" s="654"/>
      <c r="AO56" s="652"/>
      <c r="AQ56" s="654"/>
    </row>
    <row r="57" spans="1:45" s="528" customFormat="1" ht="18" customHeight="1">
      <c r="A57" s="532"/>
      <c r="B57" s="529"/>
      <c r="C57" s="1203" t="s">
        <v>1182</v>
      </c>
      <c r="G57" s="2957" t="str">
        <f>IF('Design Details &amp; Summary'!AA77=0,"",IF('Design Details &amp; Summary'!AA77=4,'Design Details &amp; Summary'!O81,""))</f>
        <v/>
      </c>
      <c r="H57" s="2957"/>
      <c r="I57" s="2957"/>
      <c r="J57" s="2957"/>
      <c r="L57" s="1556" t="s">
        <v>1430</v>
      </c>
      <c r="R57" s="531"/>
      <c r="AK57" s="652"/>
      <c r="AM57" s="653"/>
      <c r="AN57" s="654"/>
      <c r="AO57" s="652"/>
      <c r="AQ57" s="654"/>
    </row>
    <row r="58" spans="1:45" s="528" customFormat="1" ht="18" customHeight="1">
      <c r="A58" s="532"/>
      <c r="B58" s="529" t="s">
        <v>1011</v>
      </c>
      <c r="C58" s="3130" t="s">
        <v>1431</v>
      </c>
      <c r="D58" s="3130"/>
      <c r="E58" s="3130"/>
      <c r="F58" s="3130"/>
      <c r="G58" s="3130"/>
      <c r="H58" s="3130"/>
      <c r="I58" s="3130"/>
      <c r="J58" s="3130"/>
      <c r="K58" s="3130"/>
      <c r="L58" s="3130"/>
      <c r="M58" s="3130"/>
      <c r="N58" s="3130"/>
      <c r="O58" s="3130"/>
      <c r="P58" s="3130"/>
      <c r="Q58" s="3130"/>
      <c r="R58" s="3251"/>
      <c r="AK58" s="652"/>
      <c r="AM58" s="653"/>
      <c r="AN58" s="654"/>
      <c r="AO58" s="652"/>
      <c r="AQ58" s="654"/>
    </row>
    <row r="59" spans="1:45" s="528" customFormat="1" ht="3.6" customHeight="1">
      <c r="A59" s="532"/>
      <c r="B59" s="529"/>
      <c r="R59" s="531"/>
      <c r="AK59" s="652"/>
      <c r="AM59" s="653"/>
      <c r="AN59" s="654"/>
      <c r="AO59" s="652"/>
      <c r="AQ59" s="654"/>
    </row>
    <row r="60" spans="1:45" s="528" customFormat="1" ht="18" customHeight="1">
      <c r="A60" s="532"/>
      <c r="B60" s="529"/>
      <c r="C60" s="3252"/>
      <c r="D60" s="3252"/>
      <c r="E60" s="1909" t="s">
        <v>629</v>
      </c>
      <c r="F60" s="652"/>
      <c r="G60" s="652"/>
      <c r="H60" s="1909"/>
      <c r="R60" s="531"/>
      <c r="U60" s="3301" t="s">
        <v>1258</v>
      </c>
      <c r="V60" s="3301"/>
      <c r="W60" s="3301"/>
      <c r="X60" s="3301"/>
      <c r="Y60" s="3301"/>
      <c r="Z60" s="3301"/>
      <c r="AE60" s="1203"/>
      <c r="AF60" s="1203"/>
      <c r="AG60" s="1203"/>
      <c r="AN60" s="654"/>
      <c r="AS60" s="652"/>
    </row>
    <row r="61" spans="1:45" s="528" customFormat="1" ht="3.6" customHeight="1">
      <c r="A61" s="532"/>
      <c r="B61" s="529"/>
      <c r="M61" s="3030" t="s">
        <v>1247</v>
      </c>
      <c r="N61" s="3030"/>
      <c r="O61" s="3030"/>
      <c r="P61" s="3030"/>
      <c r="Q61" s="3030"/>
      <c r="R61" s="531"/>
      <c r="U61" s="672"/>
      <c r="V61" s="672"/>
      <c r="W61" s="672"/>
      <c r="X61" s="672"/>
      <c r="Y61" s="672"/>
      <c r="Z61" s="672"/>
    </row>
    <row r="62" spans="1:45" s="528" customFormat="1" ht="5.0999999999999996" customHeight="1">
      <c r="A62" s="532"/>
      <c r="B62" s="529"/>
      <c r="M62" s="3030"/>
      <c r="N62" s="3030"/>
      <c r="O62" s="3030"/>
      <c r="P62" s="3030"/>
      <c r="Q62" s="3030"/>
      <c r="R62" s="531"/>
      <c r="U62" s="672"/>
      <c r="V62" s="672"/>
      <c r="W62" s="672"/>
      <c r="X62" s="672"/>
      <c r="Y62" s="672"/>
      <c r="Z62" s="672"/>
      <c r="AK62" s="652"/>
      <c r="AM62" s="653"/>
      <c r="AN62" s="654"/>
      <c r="AO62" s="652"/>
      <c r="AQ62" s="654"/>
    </row>
    <row r="63" spans="1:45" ht="18" customHeight="1">
      <c r="A63" s="400"/>
      <c r="B63" s="393" t="s">
        <v>1019</v>
      </c>
      <c r="C63" s="383" t="s">
        <v>1432</v>
      </c>
      <c r="D63" s="383"/>
      <c r="E63" s="383"/>
      <c r="F63" s="383"/>
      <c r="G63" s="383"/>
      <c r="H63" s="3246" t="str">
        <f>IF('Design Details &amp; Summary'!AA77=0,"",IF('Design Details &amp; Summary'!AA77=4,'Design Details &amp; Summary'!O83,""))</f>
        <v/>
      </c>
      <c r="I63" s="3246"/>
      <c r="J63" s="3246"/>
      <c r="K63" s="3246"/>
      <c r="M63" s="3030"/>
      <c r="N63" s="3030"/>
      <c r="O63" s="3030"/>
      <c r="P63" s="3030"/>
      <c r="Q63" s="3030"/>
      <c r="R63" s="680"/>
      <c r="T63" s="655"/>
      <c r="U63" s="3302" t="s">
        <v>122</v>
      </c>
      <c r="V63" s="3303"/>
      <c r="W63" s="3303"/>
      <c r="X63" s="3303"/>
      <c r="Y63" s="1547">
        <v>12</v>
      </c>
      <c r="Z63" s="672"/>
    </row>
    <row r="64" spans="1:45" ht="6" customHeight="1">
      <c r="A64" s="400"/>
      <c r="B64" s="393"/>
      <c r="C64" s="383"/>
      <c r="D64" s="383"/>
      <c r="E64" s="383"/>
      <c r="F64" s="383"/>
      <c r="G64" s="383"/>
      <c r="H64" s="385"/>
      <c r="I64" s="385"/>
      <c r="J64" s="385"/>
      <c r="K64" s="385"/>
      <c r="M64" s="3030"/>
      <c r="N64" s="3030"/>
      <c r="O64" s="3030"/>
      <c r="P64" s="3030"/>
      <c r="Q64" s="3030"/>
      <c r="R64" s="680"/>
      <c r="T64" s="655"/>
      <c r="U64" s="3304" t="s">
        <v>175</v>
      </c>
      <c r="V64" s="3305"/>
      <c r="W64" s="3305"/>
      <c r="X64" s="3305"/>
      <c r="Y64" s="3264">
        <v>8</v>
      </c>
      <c r="Z64" s="672"/>
    </row>
    <row r="65" spans="1:43" ht="18" customHeight="1">
      <c r="A65" s="400"/>
      <c r="B65" s="393"/>
      <c r="C65" s="383"/>
      <c r="D65" s="3260" t="s">
        <v>1433</v>
      </c>
      <c r="E65" s="3260"/>
      <c r="F65" s="3260"/>
      <c r="G65" s="3260"/>
      <c r="H65" s="3252"/>
      <c r="I65" s="3252"/>
      <c r="J65" s="1909" t="s">
        <v>629</v>
      </c>
      <c r="K65" s="385"/>
      <c r="M65" s="3030"/>
      <c r="N65" s="3030"/>
      <c r="O65" s="3030"/>
      <c r="P65" s="3030"/>
      <c r="Q65" s="3030"/>
      <c r="R65" s="680"/>
      <c r="T65" s="655"/>
      <c r="U65" s="3306"/>
      <c r="V65" s="3307"/>
      <c r="W65" s="3307"/>
      <c r="X65" s="3307"/>
      <c r="Y65" s="3265"/>
      <c r="Z65" s="672"/>
    </row>
    <row r="66" spans="1:43" ht="18" customHeight="1">
      <c r="A66" s="400"/>
      <c r="C66" s="394" t="s">
        <v>1434</v>
      </c>
      <c r="M66" s="3030"/>
      <c r="N66" s="3030"/>
      <c r="O66" s="3030"/>
      <c r="P66" s="3030"/>
      <c r="Q66" s="3030"/>
      <c r="R66" s="680"/>
      <c r="U66" s="3290" t="s">
        <v>260</v>
      </c>
      <c r="V66" s="3291"/>
      <c r="W66" s="3291"/>
      <c r="X66" s="3291"/>
      <c r="Y66" s="1548">
        <v>12</v>
      </c>
      <c r="Z66" s="672"/>
    </row>
    <row r="67" spans="1:43" ht="36" customHeight="1">
      <c r="A67" s="400"/>
      <c r="C67" s="3261"/>
      <c r="D67" s="3262"/>
      <c r="E67" s="3262"/>
      <c r="F67" s="3262"/>
      <c r="G67" s="3262"/>
      <c r="H67" s="3262"/>
      <c r="I67" s="3262"/>
      <c r="J67" s="3262"/>
      <c r="K67" s="3262"/>
      <c r="L67" s="3262"/>
      <c r="M67" s="3262"/>
      <c r="N67" s="3262"/>
      <c r="O67" s="3262"/>
      <c r="P67" s="3262"/>
      <c r="Q67" s="3263"/>
      <c r="R67" s="1370"/>
      <c r="U67" s="3290" t="s">
        <v>286</v>
      </c>
      <c r="V67" s="3291"/>
      <c r="W67" s="3291"/>
      <c r="X67" s="3291"/>
      <c r="Y67" s="1548">
        <v>16</v>
      </c>
      <c r="Z67" s="672"/>
    </row>
    <row r="68" spans="1:43" ht="6" customHeight="1" thickBot="1">
      <c r="A68" s="399"/>
      <c r="B68" s="410"/>
      <c r="C68" s="391"/>
      <c r="D68" s="391"/>
      <c r="E68" s="382"/>
      <c r="F68" s="391"/>
      <c r="G68" s="391"/>
      <c r="H68" s="409"/>
      <c r="I68" s="409"/>
      <c r="J68" s="409"/>
      <c r="K68" s="409"/>
      <c r="L68" s="409"/>
      <c r="M68" s="409"/>
      <c r="N68" s="409"/>
      <c r="O68" s="409"/>
      <c r="P68" s="409"/>
      <c r="Q68" s="409"/>
      <c r="R68" s="684"/>
    </row>
    <row r="69" spans="1:43" ht="16.350000000000001" customHeight="1" thickBot="1">
      <c r="A69" s="651" t="s">
        <v>498</v>
      </c>
      <c r="B69" s="646"/>
      <c r="C69" s="446" t="s">
        <v>1435</v>
      </c>
      <c r="D69" s="446"/>
      <c r="E69" s="446"/>
      <c r="F69" s="446"/>
      <c r="G69" s="446"/>
      <c r="H69" s="446"/>
      <c r="I69" s="446"/>
      <c r="J69" s="446"/>
      <c r="K69" s="446"/>
      <c r="L69" s="446"/>
      <c r="M69" s="446"/>
      <c r="N69" s="446"/>
      <c r="O69" s="446"/>
      <c r="P69" s="446"/>
      <c r="Q69" s="446"/>
      <c r="R69" s="447"/>
      <c r="S69" s="387"/>
      <c r="T69" s="387"/>
      <c r="U69" s="387"/>
      <c r="V69" s="387"/>
      <c r="W69" s="387"/>
      <c r="X69" s="387"/>
      <c r="Y69" s="387"/>
      <c r="Z69" s="387"/>
      <c r="AA69" s="387"/>
      <c r="AB69" s="387"/>
    </row>
    <row r="70" spans="1:43" ht="4.3499999999999996" customHeight="1">
      <c r="A70" s="685"/>
      <c r="B70" s="398"/>
      <c r="C70" s="398"/>
      <c r="D70" s="398"/>
      <c r="E70" s="398"/>
      <c r="F70" s="398"/>
      <c r="G70" s="398"/>
      <c r="H70" s="398"/>
      <c r="I70" s="398"/>
      <c r="J70" s="398"/>
      <c r="K70" s="398"/>
      <c r="L70" s="398"/>
      <c r="M70" s="398"/>
      <c r="N70" s="398"/>
      <c r="O70" s="398"/>
      <c r="P70" s="398"/>
      <c r="Q70" s="398"/>
      <c r="R70" s="686"/>
      <c r="S70" s="387"/>
      <c r="T70" s="387"/>
      <c r="U70" s="387"/>
      <c r="V70" s="387"/>
      <c r="W70" s="387"/>
      <c r="X70" s="387"/>
      <c r="Y70" s="387"/>
      <c r="Z70" s="387"/>
      <c r="AA70" s="387"/>
    </row>
    <row r="71" spans="1:43" ht="18" customHeight="1">
      <c r="A71" s="400"/>
      <c r="B71" s="393" t="s">
        <v>1011</v>
      </c>
      <c r="C71" s="394" t="s">
        <v>1436</v>
      </c>
      <c r="R71" s="680"/>
    </row>
    <row r="72" spans="1:43" ht="4.3499999999999996" customHeight="1">
      <c r="A72" s="400"/>
      <c r="J72" s="397"/>
      <c r="K72" s="389"/>
      <c r="Q72" s="2019"/>
      <c r="R72" s="680"/>
      <c r="AI72" s="388"/>
      <c r="AJ72" s="388"/>
      <c r="AK72" s="388"/>
      <c r="AL72" s="388"/>
      <c r="AM72" s="388"/>
      <c r="AN72" s="388"/>
      <c r="AO72" s="388"/>
      <c r="AP72" s="388"/>
      <c r="AQ72" s="388"/>
    </row>
    <row r="73" spans="1:43" ht="20.100000000000001" customHeight="1">
      <c r="A73" s="400"/>
      <c r="B73" s="393"/>
      <c r="C73" s="1363">
        <f>'Design Details &amp; Summary'!G96/12</f>
        <v>0</v>
      </c>
      <c r="D73" s="385" t="s">
        <v>1426</v>
      </c>
      <c r="E73" s="3254" t="str">
        <f>IF(ISBLANK(H12),"",H8)</f>
        <v/>
      </c>
      <c r="F73" s="3255"/>
      <c r="G73" s="385" t="s">
        <v>1208</v>
      </c>
      <c r="H73" s="3254" t="str">
        <f>IF(ISBLANK(H12),"",MAX(1,C73-E73))</f>
        <v/>
      </c>
      <c r="I73" s="3255"/>
      <c r="J73" s="383" t="s">
        <v>609</v>
      </c>
      <c r="K73" s="383" t="s">
        <v>1437</v>
      </c>
      <c r="P73" s="3299"/>
      <c r="Q73" s="3300"/>
      <c r="R73" s="2326" t="s">
        <v>609</v>
      </c>
      <c r="AI73" s="385"/>
      <c r="AJ73" s="388"/>
      <c r="AK73" s="388"/>
      <c r="AL73" s="388"/>
      <c r="AM73" s="388"/>
      <c r="AN73" s="388"/>
      <c r="AO73" s="388"/>
      <c r="AP73" s="388"/>
      <c r="AQ73" s="388"/>
    </row>
    <row r="74" spans="1:43" ht="4.3499999999999996" customHeight="1">
      <c r="A74" s="400"/>
      <c r="B74" s="393"/>
      <c r="C74" s="384"/>
      <c r="D74" s="385"/>
      <c r="E74" s="384"/>
      <c r="F74" s="384"/>
      <c r="G74" s="385"/>
      <c r="Q74" s="2019"/>
      <c r="R74" s="680"/>
      <c r="AI74" s="385"/>
      <c r="AJ74" s="385"/>
      <c r="AK74" s="385"/>
      <c r="AL74" s="385"/>
      <c r="AM74" s="385"/>
      <c r="AN74" s="385"/>
      <c r="AO74" s="385"/>
      <c r="AP74" s="385"/>
      <c r="AQ74" s="385"/>
    </row>
    <row r="75" spans="1:43" ht="18" customHeight="1">
      <c r="A75" s="400"/>
      <c r="B75" s="393" t="s">
        <v>1019</v>
      </c>
      <c r="C75" s="394" t="s">
        <v>2659</v>
      </c>
      <c r="R75" s="680"/>
      <c r="AI75" s="385"/>
      <c r="AJ75" s="385"/>
      <c r="AK75" s="385"/>
      <c r="AL75" s="385"/>
      <c r="AM75" s="385"/>
      <c r="AN75" s="385"/>
      <c r="AO75" s="385"/>
      <c r="AP75" s="385"/>
      <c r="AQ75" s="385"/>
    </row>
    <row r="76" spans="1:43" ht="19.5" customHeight="1">
      <c r="A76" s="400"/>
      <c r="B76" s="393"/>
      <c r="C76" s="3249" t="str">
        <f>IF(ISBLANK(H37)," ",MAX(H73,P73))</f>
        <v xml:space="preserve"> </v>
      </c>
      <c r="D76" s="3250"/>
      <c r="E76" s="2385" t="s">
        <v>1356</v>
      </c>
      <c r="F76" s="3249" t="str">
        <f>IF(ISBLANK(H12)," ",(IF(G57="Rock",(C60/12),(H65/12))))</f>
        <v xml:space="preserve"> </v>
      </c>
      <c r="G76" s="3250"/>
      <c r="H76" s="2385" t="s">
        <v>1356</v>
      </c>
      <c r="I76" s="3256"/>
      <c r="J76" s="3256"/>
      <c r="K76" s="2385" t="s">
        <v>1356</v>
      </c>
      <c r="L76" s="3247" t="str">
        <f>IF(ISBLANK(H12)," ",1)</f>
        <v xml:space="preserve"> </v>
      </c>
      <c r="M76" s="3248"/>
      <c r="N76" s="2386" t="s">
        <v>1208</v>
      </c>
      <c r="O76" s="3249" t="str">
        <f>IF(ISBLANK(H12),"",C76+F76+I76+L76)</f>
        <v/>
      </c>
      <c r="P76" s="3250"/>
      <c r="Q76" s="383" t="s">
        <v>609</v>
      </c>
      <c r="R76" s="680"/>
      <c r="U76" s="397" t="s">
        <v>1438</v>
      </c>
      <c r="AI76" s="385"/>
      <c r="AJ76" s="385"/>
      <c r="AK76" s="385"/>
      <c r="AL76" s="385"/>
      <c r="AM76" s="385"/>
      <c r="AN76" s="385"/>
      <c r="AO76" s="385"/>
      <c r="AP76" s="385"/>
      <c r="AQ76" s="385"/>
    </row>
    <row r="77" spans="1:43" ht="3.75" customHeight="1">
      <c r="A77" s="400"/>
      <c r="B77" s="393"/>
      <c r="R77" s="680"/>
      <c r="AI77" s="385"/>
      <c r="AJ77" s="385"/>
      <c r="AK77" s="385"/>
      <c r="AL77" s="385"/>
      <c r="AM77" s="385"/>
      <c r="AN77" s="385"/>
      <c r="AO77" s="385"/>
      <c r="AP77" s="385"/>
      <c r="AQ77" s="385"/>
    </row>
    <row r="78" spans="1:43" ht="15" customHeight="1">
      <c r="A78" s="400"/>
      <c r="B78" s="393" t="s">
        <v>1168</v>
      </c>
      <c r="C78" s="394" t="s">
        <v>1439</v>
      </c>
      <c r="R78" s="680"/>
      <c r="AI78" s="385"/>
      <c r="AJ78" s="385"/>
      <c r="AK78" s="385"/>
      <c r="AL78" s="385"/>
      <c r="AM78" s="385"/>
      <c r="AN78" s="385"/>
      <c r="AO78" s="385"/>
      <c r="AP78" s="385"/>
      <c r="AQ78" s="385"/>
    </row>
    <row r="79" spans="1:43" ht="19.5" customHeight="1">
      <c r="A79" s="400"/>
      <c r="B79" s="393"/>
      <c r="C79" s="3249" t="str">
        <f>O76</f>
        <v/>
      </c>
      <c r="D79" s="3250"/>
      <c r="E79" s="383" t="s">
        <v>965</v>
      </c>
      <c r="F79" s="3284"/>
      <c r="G79" s="3285"/>
      <c r="H79" s="2018" t="s">
        <v>1440</v>
      </c>
      <c r="I79" s="3244" t="str">
        <f>IF(ISBLANK(H12),"",C79*F79)</f>
        <v/>
      </c>
      <c r="J79" s="3245"/>
      <c r="K79" s="394" t="s">
        <v>609</v>
      </c>
      <c r="R79" s="680"/>
      <c r="AI79" s="385"/>
      <c r="AJ79" s="385"/>
      <c r="AK79" s="385"/>
      <c r="AL79" s="385"/>
      <c r="AM79" s="385"/>
      <c r="AN79" s="385"/>
      <c r="AO79" s="385"/>
      <c r="AP79" s="385"/>
      <c r="AQ79" s="385"/>
    </row>
    <row r="80" spans="1:43" ht="3.75" customHeight="1">
      <c r="A80" s="400"/>
      <c r="B80" s="393"/>
      <c r="R80" s="680"/>
      <c r="AI80" s="385"/>
      <c r="AJ80" s="385"/>
      <c r="AK80" s="385"/>
      <c r="AL80" s="385"/>
      <c r="AM80" s="385"/>
      <c r="AN80" s="385"/>
      <c r="AO80" s="385"/>
      <c r="AP80" s="385"/>
      <c r="AQ80" s="385"/>
    </row>
    <row r="81" spans="1:43" ht="15" customHeight="1">
      <c r="A81" s="400"/>
      <c r="B81" s="393" t="s">
        <v>1172</v>
      </c>
      <c r="C81" s="394" t="s">
        <v>1441</v>
      </c>
      <c r="R81" s="412"/>
      <c r="AI81" s="385"/>
      <c r="AJ81" s="396"/>
      <c r="AK81" s="396"/>
      <c r="AL81" s="395"/>
      <c r="AM81" s="395"/>
      <c r="AN81" s="396"/>
      <c r="AO81" s="396"/>
      <c r="AP81" s="395"/>
      <c r="AQ81" s="395"/>
    </row>
    <row r="82" spans="1:43" ht="20.100000000000001" customHeight="1">
      <c r="A82" s="400"/>
      <c r="B82" s="393"/>
      <c r="C82" s="3257" t="str">
        <f>I79</f>
        <v/>
      </c>
      <c r="D82" s="3258"/>
      <c r="E82" s="2385" t="s">
        <v>1356</v>
      </c>
      <c r="F82" s="3244" t="str">
        <f>IF(ISBLANK(H37), "", H37)</f>
        <v/>
      </c>
      <c r="G82" s="3245"/>
      <c r="H82" s="2385" t="s">
        <v>1356</v>
      </c>
      <c r="I82" s="3244" t="str">
        <f>I79</f>
        <v/>
      </c>
      <c r="J82" s="3245"/>
      <c r="K82" s="2386" t="s">
        <v>1208</v>
      </c>
      <c r="L82" s="3244" t="str">
        <f>IF(ISBLANK(H12),"",C82+F82+I82)</f>
        <v/>
      </c>
      <c r="M82" s="3245"/>
      <c r="N82" s="394" t="s">
        <v>609</v>
      </c>
      <c r="R82" s="680"/>
      <c r="AI82" s="385"/>
      <c r="AJ82" s="379"/>
      <c r="AK82" s="379"/>
      <c r="AL82" s="380"/>
      <c r="AM82" s="380"/>
      <c r="AN82" s="379"/>
      <c r="AO82" s="379"/>
      <c r="AP82" s="380"/>
      <c r="AQ82" s="380"/>
    </row>
    <row r="83" spans="1:43" ht="4.3499999999999996" customHeight="1">
      <c r="A83" s="400"/>
      <c r="C83" s="2020"/>
      <c r="D83" s="2020"/>
      <c r="E83" s="2020"/>
      <c r="F83" s="2020"/>
      <c r="G83" s="2020"/>
      <c r="H83" s="2021"/>
      <c r="L83" s="2022"/>
      <c r="M83" s="2022"/>
      <c r="R83" s="687"/>
      <c r="AI83" s="385"/>
      <c r="AJ83" s="379"/>
      <c r="AK83" s="379"/>
      <c r="AL83" s="380"/>
      <c r="AM83" s="380"/>
      <c r="AN83" s="379"/>
      <c r="AO83" s="379"/>
      <c r="AP83" s="380"/>
      <c r="AQ83" s="380"/>
    </row>
    <row r="84" spans="1:43" ht="15" customHeight="1">
      <c r="A84" s="400"/>
      <c r="B84" s="393" t="s">
        <v>1177</v>
      </c>
      <c r="C84" s="2001" t="s">
        <v>1442</v>
      </c>
      <c r="R84" s="412"/>
      <c r="AI84" s="385"/>
      <c r="AJ84" s="396"/>
      <c r="AK84" s="396"/>
      <c r="AL84" s="395"/>
      <c r="AM84" s="395"/>
      <c r="AN84" s="396"/>
      <c r="AO84" s="396"/>
      <c r="AP84" s="395"/>
      <c r="AQ84" s="395"/>
    </row>
    <row r="85" spans="1:43" ht="19.5" customHeight="1">
      <c r="A85" s="400"/>
      <c r="B85" s="393"/>
      <c r="C85" s="3244" t="str">
        <f>J48</f>
        <v/>
      </c>
      <c r="D85" s="3245"/>
      <c r="E85" s="2161" t="s">
        <v>1426</v>
      </c>
      <c r="F85" s="3244" t="str">
        <f>L82</f>
        <v/>
      </c>
      <c r="G85" s="3245"/>
      <c r="H85" s="2386" t="s">
        <v>1208</v>
      </c>
      <c r="I85" s="3244" t="str">
        <f>IF(ISBLANK(H12),"",IF(C85&lt;F85,"0",C85-F85))</f>
        <v/>
      </c>
      <c r="J85" s="3245"/>
      <c r="K85" s="394" t="s">
        <v>609</v>
      </c>
      <c r="L85" s="394" t="s">
        <v>1444</v>
      </c>
      <c r="R85" s="680"/>
      <c r="AJ85" s="379"/>
      <c r="AK85" s="379"/>
      <c r="AL85" s="380"/>
      <c r="AM85" s="380"/>
      <c r="AN85" s="379"/>
      <c r="AO85" s="379"/>
      <c r="AP85" s="380"/>
      <c r="AQ85" s="380"/>
    </row>
    <row r="86" spans="1:43" ht="4.5" customHeight="1">
      <c r="A86" s="400"/>
      <c r="B86" s="393"/>
      <c r="G86" s="2023"/>
      <c r="H86" s="2024"/>
      <c r="I86" s="385"/>
      <c r="J86" s="384"/>
      <c r="K86" s="1985"/>
      <c r="M86" s="384"/>
      <c r="N86" s="384"/>
      <c r="R86" s="680"/>
      <c r="AI86" s="385"/>
      <c r="AJ86" s="379"/>
      <c r="AK86" s="379"/>
      <c r="AL86" s="380"/>
      <c r="AM86" s="380"/>
      <c r="AN86" s="379"/>
      <c r="AO86" s="379"/>
      <c r="AP86" s="380"/>
      <c r="AQ86" s="380"/>
    </row>
    <row r="87" spans="1:43" ht="20.100000000000001" customHeight="1">
      <c r="A87" s="400"/>
      <c r="B87" s="393" t="s">
        <v>1179</v>
      </c>
      <c r="C87" s="394" t="s">
        <v>1445</v>
      </c>
      <c r="H87" s="2025"/>
      <c r="I87" s="2025"/>
      <c r="J87" s="385"/>
      <c r="K87" s="2026"/>
      <c r="L87" s="2026"/>
      <c r="O87" s="2026"/>
      <c r="P87" s="2026"/>
      <c r="Q87" s="383"/>
      <c r="R87" s="680"/>
      <c r="AI87" s="385"/>
      <c r="AJ87" s="379"/>
      <c r="AK87" s="379"/>
      <c r="AL87" s="380"/>
      <c r="AM87" s="380"/>
      <c r="AN87" s="379"/>
      <c r="AO87" s="379"/>
      <c r="AP87" s="380"/>
      <c r="AQ87" s="380"/>
    </row>
    <row r="88" spans="1:43" ht="19.5" customHeight="1">
      <c r="A88" s="400"/>
      <c r="B88" s="393"/>
      <c r="C88" s="3244" t="str">
        <f>I85</f>
        <v/>
      </c>
      <c r="D88" s="3245"/>
      <c r="E88" s="2385" t="s">
        <v>1356</v>
      </c>
      <c r="F88" s="3244" t="str">
        <f>I79</f>
        <v/>
      </c>
      <c r="G88" s="3245"/>
      <c r="H88" s="2386" t="s">
        <v>1208</v>
      </c>
      <c r="I88" s="3244" t="str">
        <f>IF(ISBLANK(H12),"",C88+F88)</f>
        <v/>
      </c>
      <c r="J88" s="3245"/>
      <c r="K88" s="394" t="s">
        <v>609</v>
      </c>
      <c r="R88" s="680"/>
      <c r="AI88" s="385"/>
      <c r="AJ88" s="379"/>
      <c r="AK88" s="379"/>
      <c r="AL88" s="380"/>
      <c r="AM88" s="380"/>
      <c r="AN88" s="379"/>
      <c r="AO88" s="379"/>
      <c r="AP88" s="380"/>
      <c r="AQ88" s="380"/>
    </row>
    <row r="89" spans="1:43" ht="3.75" customHeight="1">
      <c r="A89" s="400"/>
      <c r="B89" s="393"/>
      <c r="H89" s="2025"/>
      <c r="I89" s="2025"/>
      <c r="J89" s="385"/>
      <c r="K89" s="2026"/>
      <c r="L89" s="2026"/>
      <c r="M89" s="385"/>
      <c r="N89" s="2025"/>
      <c r="O89" s="2025"/>
      <c r="P89" s="385"/>
      <c r="R89" s="680"/>
      <c r="AI89" s="385"/>
      <c r="AJ89" s="379"/>
      <c r="AK89" s="379"/>
      <c r="AL89" s="380"/>
      <c r="AM89" s="380"/>
      <c r="AN89" s="379"/>
      <c r="AO89" s="379"/>
      <c r="AP89" s="380"/>
      <c r="AQ89" s="380"/>
    </row>
    <row r="90" spans="1:43" ht="19.5" customHeight="1">
      <c r="A90" s="400"/>
      <c r="B90" s="393" t="s">
        <v>1181</v>
      </c>
      <c r="C90" s="2027" t="s">
        <v>1446</v>
      </c>
      <c r="D90" s="2028"/>
      <c r="E90" s="2028"/>
      <c r="F90" s="2028"/>
      <c r="G90" s="2028"/>
      <c r="M90" s="2022"/>
      <c r="P90" s="383"/>
      <c r="R90" s="680"/>
      <c r="AI90" s="385"/>
      <c r="AJ90" s="379"/>
      <c r="AK90" s="379"/>
      <c r="AL90" s="380"/>
      <c r="AM90" s="380"/>
      <c r="AN90" s="379"/>
      <c r="AO90" s="379"/>
      <c r="AP90" s="380"/>
      <c r="AQ90" s="380"/>
    </row>
    <row r="91" spans="1:43" ht="19.5" customHeight="1">
      <c r="A91" s="400"/>
      <c r="B91" s="394"/>
      <c r="C91" s="3244" t="str">
        <f>I88</f>
        <v/>
      </c>
      <c r="D91" s="3245"/>
      <c r="E91" s="2385" t="s">
        <v>1356</v>
      </c>
      <c r="F91" s="3244" t="str">
        <f>IF(ISBLANK(H37), "", H37)</f>
        <v/>
      </c>
      <c r="G91" s="3245"/>
      <c r="H91" s="2385" t="s">
        <v>1356</v>
      </c>
      <c r="I91" s="3244" t="str">
        <f>I88</f>
        <v/>
      </c>
      <c r="J91" s="3245"/>
      <c r="K91" s="2386" t="s">
        <v>1208</v>
      </c>
      <c r="L91" s="3244" t="str">
        <f>IF(ISBLANK(H12),"",C91+F91+I91)</f>
        <v/>
      </c>
      <c r="M91" s="3245"/>
      <c r="N91" s="394" t="s">
        <v>609</v>
      </c>
      <c r="R91" s="680"/>
      <c r="AJ91" s="379"/>
      <c r="AK91" s="379"/>
      <c r="AL91" s="380"/>
      <c r="AM91" s="380"/>
      <c r="AN91" s="379"/>
      <c r="AO91" s="379"/>
      <c r="AP91" s="380"/>
      <c r="AQ91" s="380"/>
    </row>
    <row r="92" spans="1:43" ht="3.75" customHeight="1">
      <c r="A92" s="400"/>
      <c r="B92" s="393"/>
      <c r="R92" s="680"/>
      <c r="AI92" s="385"/>
      <c r="AJ92" s="379"/>
      <c r="AK92" s="379"/>
      <c r="AL92" s="380"/>
      <c r="AM92" s="380"/>
      <c r="AN92" s="379"/>
      <c r="AO92" s="379"/>
      <c r="AP92" s="380"/>
      <c r="AQ92" s="380"/>
    </row>
    <row r="93" spans="1:43" ht="20.100000000000001" customHeight="1">
      <c r="A93" s="400"/>
      <c r="B93" s="393" t="s">
        <v>1184</v>
      </c>
      <c r="C93" s="2022" t="s">
        <v>1447</v>
      </c>
      <c r="D93" s="2023"/>
      <c r="E93" s="385"/>
      <c r="F93" s="384"/>
      <c r="G93" s="384"/>
      <c r="H93" s="2029"/>
      <c r="I93" s="2029"/>
      <c r="J93" s="385"/>
      <c r="K93" s="2025"/>
      <c r="L93" s="2025"/>
      <c r="M93" s="385"/>
      <c r="N93" s="2025"/>
      <c r="O93" s="2025"/>
      <c r="P93" s="383"/>
      <c r="R93" s="680"/>
      <c r="AI93" s="385"/>
      <c r="AJ93" s="379"/>
      <c r="AK93" s="379"/>
      <c r="AL93" s="380"/>
      <c r="AM93" s="380"/>
      <c r="AN93" s="379"/>
      <c r="AO93" s="379"/>
      <c r="AP93" s="380"/>
      <c r="AQ93" s="380"/>
    </row>
    <row r="94" spans="1:43" ht="19.5" customHeight="1">
      <c r="A94" s="400"/>
      <c r="B94" s="393"/>
      <c r="C94" s="3244" t="str">
        <f>I88</f>
        <v/>
      </c>
      <c r="D94" s="3245"/>
      <c r="E94" s="2385" t="s">
        <v>1356</v>
      </c>
      <c r="F94" s="3244" t="str">
        <f>IF(ISBLANK(H37)," ",MAX(J41,M43))</f>
        <v xml:space="preserve"> </v>
      </c>
      <c r="G94" s="3245"/>
      <c r="H94" s="2385" t="s">
        <v>1356</v>
      </c>
      <c r="I94" s="3244" t="str">
        <f>I88</f>
        <v/>
      </c>
      <c r="J94" s="3245"/>
      <c r="K94" s="2386" t="s">
        <v>1208</v>
      </c>
      <c r="L94" s="3244" t="str">
        <f>IF(ISBLANK(H12),"",C94+F94+I94)</f>
        <v/>
      </c>
      <c r="M94" s="3245"/>
      <c r="N94" s="394" t="s">
        <v>609</v>
      </c>
      <c r="R94" s="680"/>
      <c r="AI94" s="385"/>
      <c r="AJ94" s="379"/>
      <c r="AK94" s="379"/>
      <c r="AL94" s="380"/>
      <c r="AM94" s="380"/>
      <c r="AN94" s="379"/>
      <c r="AO94" s="379"/>
      <c r="AP94" s="380"/>
      <c r="AQ94" s="380"/>
    </row>
    <row r="95" spans="1:43" ht="3.75" customHeight="1">
      <c r="A95" s="400"/>
      <c r="B95" s="393"/>
      <c r="C95" s="383"/>
      <c r="D95" s="383"/>
      <c r="E95" s="383"/>
      <c r="F95" s="383"/>
      <c r="G95" s="383"/>
      <c r="H95" s="2025"/>
      <c r="I95" s="418"/>
      <c r="J95" s="385"/>
      <c r="K95" s="418"/>
      <c r="L95" s="418"/>
      <c r="M95" s="385"/>
      <c r="N95" s="2025"/>
      <c r="O95" s="2025"/>
      <c r="P95" s="383"/>
      <c r="R95" s="680"/>
      <c r="AI95" s="385"/>
      <c r="AJ95" s="379"/>
      <c r="AK95" s="379"/>
      <c r="AL95" s="380"/>
      <c r="AM95" s="380"/>
      <c r="AN95" s="379"/>
      <c r="AO95" s="379"/>
      <c r="AP95" s="380"/>
      <c r="AQ95" s="380"/>
    </row>
    <row r="96" spans="1:43" ht="19.5" customHeight="1">
      <c r="A96" s="400"/>
      <c r="B96" s="393" t="s">
        <v>1186</v>
      </c>
      <c r="C96" s="383" t="s">
        <v>1448</v>
      </c>
      <c r="D96" s="383"/>
      <c r="E96" s="383"/>
      <c r="F96" s="383"/>
      <c r="G96" s="383"/>
      <c r="H96" s="383"/>
      <c r="I96" s="384"/>
      <c r="J96" s="385"/>
      <c r="K96" s="385"/>
      <c r="M96" s="385"/>
      <c r="N96" s="384"/>
      <c r="R96" s="680"/>
      <c r="AI96" s="385"/>
      <c r="AJ96" s="379"/>
      <c r="AK96" s="379"/>
      <c r="AL96" s="380"/>
      <c r="AM96" s="380"/>
      <c r="AN96" s="379"/>
      <c r="AO96" s="379"/>
      <c r="AP96" s="380"/>
      <c r="AQ96" s="380"/>
    </row>
    <row r="97" spans="1:46" ht="20.100000000000001" customHeight="1">
      <c r="A97" s="400"/>
      <c r="B97" s="2030" t="s">
        <v>1237</v>
      </c>
      <c r="C97" s="3244" t="str">
        <f>J48</f>
        <v/>
      </c>
      <c r="D97" s="3245"/>
      <c r="E97" s="2161" t="s">
        <v>1426</v>
      </c>
      <c r="F97" s="3244" t="str">
        <f>IF(ISBLANK(H37), "", H37)</f>
        <v/>
      </c>
      <c r="G97" s="3245"/>
      <c r="H97" s="2161" t="s">
        <v>1449</v>
      </c>
      <c r="I97" s="389">
        <v>2</v>
      </c>
      <c r="J97" s="389" t="s">
        <v>1240</v>
      </c>
      <c r="K97" s="3244" t="str">
        <f>IF(ISBLANK(H12),"",(C97-F97)/2)</f>
        <v/>
      </c>
      <c r="L97" s="3245"/>
      <c r="M97" s="383" t="s">
        <v>609</v>
      </c>
      <c r="R97" s="680"/>
      <c r="AI97" s="385"/>
      <c r="AJ97" s="379"/>
      <c r="AK97" s="379"/>
      <c r="AL97" s="380"/>
      <c r="AM97" s="380"/>
      <c r="AN97" s="379"/>
      <c r="AO97" s="379"/>
      <c r="AP97" s="380"/>
      <c r="AQ97" s="380"/>
    </row>
    <row r="98" spans="1:46" ht="4.3499999999999996" customHeight="1" thickBot="1">
      <c r="A98" s="399"/>
      <c r="B98" s="691"/>
      <c r="C98" s="381"/>
      <c r="D98" s="381"/>
      <c r="E98" s="381"/>
      <c r="F98" s="381"/>
      <c r="G98" s="381"/>
      <c r="H98" s="381"/>
      <c r="I98" s="381"/>
      <c r="J98" s="391"/>
      <c r="K98" s="391"/>
      <c r="L98" s="382"/>
      <c r="M98" s="409"/>
      <c r="N98" s="409"/>
      <c r="O98" s="409"/>
      <c r="P98" s="409"/>
      <c r="Q98" s="409"/>
      <c r="R98" s="684"/>
      <c r="AI98" s="385"/>
      <c r="AJ98" s="379"/>
      <c r="AK98" s="379"/>
      <c r="AL98" s="380"/>
      <c r="AM98" s="380"/>
      <c r="AN98" s="379"/>
      <c r="AO98" s="379"/>
      <c r="AP98" s="380"/>
      <c r="AQ98" s="380"/>
    </row>
    <row r="99" spans="1:46" ht="17.100000000000001" customHeight="1" thickBot="1">
      <c r="A99" s="448" t="s">
        <v>504</v>
      </c>
      <c r="B99" s="646"/>
      <c r="C99" s="446" t="s">
        <v>1450</v>
      </c>
      <c r="D99" s="446"/>
      <c r="E99" s="649"/>
      <c r="F99" s="446"/>
      <c r="G99" s="446"/>
      <c r="H99" s="446"/>
      <c r="I99" s="2689" t="s">
        <v>551</v>
      </c>
      <c r="J99" s="2689"/>
      <c r="K99" s="2689"/>
      <c r="L99" s="2689"/>
      <c r="M99" s="2689"/>
      <c r="N99" s="1362"/>
      <c r="O99" s="2688" t="str">
        <f>IF(ISBLANK(Prelim!S5)," ",Prelim!S5)</f>
        <v xml:space="preserve"> </v>
      </c>
      <c r="P99" s="2688"/>
      <c r="Q99" s="2688"/>
      <c r="R99" s="447"/>
    </row>
    <row r="100" spans="1:46" ht="3.75" customHeight="1">
      <c r="A100" s="400"/>
      <c r="B100" s="394"/>
      <c r="R100" s="680"/>
    </row>
    <row r="101" spans="1:46" ht="3.75" customHeight="1">
      <c r="A101" s="400"/>
      <c r="B101" s="394"/>
      <c r="R101" s="680"/>
    </row>
    <row r="102" spans="1:46" ht="15" customHeight="1">
      <c r="A102" s="413"/>
      <c r="B102" s="394"/>
      <c r="R102" s="680"/>
      <c r="AR102" s="389"/>
      <c r="AS102" s="389"/>
      <c r="AT102" s="414"/>
    </row>
    <row r="103" spans="1:46" ht="15" customHeight="1">
      <c r="A103" s="413"/>
      <c r="B103" s="394"/>
      <c r="R103" s="680"/>
      <c r="AE103" s="385"/>
      <c r="AF103" s="385"/>
      <c r="AG103" s="385"/>
      <c r="AH103" s="385"/>
      <c r="AI103" s="385"/>
      <c r="AR103" s="389"/>
      <c r="AS103" s="389"/>
      <c r="AT103" s="414"/>
    </row>
    <row r="104" spans="1:46" ht="15" customHeight="1">
      <c r="A104" s="413"/>
      <c r="B104" s="394"/>
      <c r="R104" s="680"/>
      <c r="AK104" s="393"/>
      <c r="AR104" s="389"/>
      <c r="AT104" s="414"/>
    </row>
    <row r="105" spans="1:46" ht="15" customHeight="1">
      <c r="A105" s="413"/>
      <c r="B105" s="394"/>
      <c r="R105" s="680"/>
      <c r="AK105" s="393"/>
      <c r="AR105" s="389"/>
      <c r="AT105" s="414"/>
    </row>
    <row r="106" spans="1:46" ht="15" customHeight="1">
      <c r="A106" s="413"/>
      <c r="B106" s="394"/>
      <c r="R106" s="680"/>
      <c r="AK106" s="393"/>
      <c r="AR106" s="389"/>
      <c r="AT106" s="414"/>
    </row>
    <row r="107" spans="1:46" ht="15" customHeight="1">
      <c r="A107" s="413"/>
      <c r="B107" s="394"/>
      <c r="R107" s="680"/>
      <c r="AK107" s="393"/>
      <c r="AL107" s="397"/>
      <c r="AR107" s="389"/>
      <c r="AT107" s="414"/>
    </row>
    <row r="108" spans="1:46" ht="15" customHeight="1">
      <c r="A108" s="413"/>
      <c r="B108" s="394"/>
      <c r="R108" s="680"/>
      <c r="AT108" s="414"/>
    </row>
    <row r="109" spans="1:46" ht="15" customHeight="1">
      <c r="A109" s="413"/>
      <c r="B109" s="394"/>
      <c r="H109" s="656"/>
      <c r="K109" s="657"/>
      <c r="R109" s="680"/>
      <c r="AT109" s="414"/>
    </row>
    <row r="110" spans="1:46" ht="15" customHeight="1">
      <c r="A110" s="413"/>
      <c r="B110" s="394"/>
      <c r="R110" s="680"/>
      <c r="AT110" s="414"/>
    </row>
    <row r="111" spans="1:46" ht="15" customHeight="1">
      <c r="A111" s="413"/>
      <c r="B111" s="394"/>
      <c r="K111" s="383" t="str">
        <f>IF(ISBLANK(H37),"",(F82*F94))</f>
        <v/>
      </c>
      <c r="M111" s="383"/>
      <c r="R111" s="680"/>
      <c r="AT111" s="414"/>
    </row>
    <row r="112" spans="1:46" ht="15" customHeight="1">
      <c r="A112" s="413"/>
      <c r="B112" s="394"/>
      <c r="R112" s="680"/>
      <c r="AT112" s="414"/>
    </row>
    <row r="113" spans="1:46" ht="15" customHeight="1">
      <c r="A113" s="413"/>
      <c r="B113" s="394"/>
      <c r="R113" s="680"/>
      <c r="Z113" s="3298"/>
      <c r="AA113" s="3298"/>
      <c r="AB113" s="1356"/>
      <c r="AT113" s="414"/>
    </row>
    <row r="114" spans="1:46" ht="15" customHeight="1">
      <c r="A114" s="413"/>
      <c r="B114" s="394"/>
      <c r="R114" s="680"/>
    </row>
    <row r="115" spans="1:46" ht="15" customHeight="1">
      <c r="A115" s="413"/>
      <c r="B115" s="394"/>
      <c r="R115" s="680"/>
    </row>
    <row r="116" spans="1:46" ht="15" customHeight="1">
      <c r="A116" s="413"/>
      <c r="B116" s="394"/>
      <c r="R116" s="680"/>
    </row>
    <row r="117" spans="1:46" ht="15" customHeight="1">
      <c r="A117" s="413"/>
      <c r="B117" s="394"/>
      <c r="R117" s="680"/>
    </row>
    <row r="118" spans="1:46" ht="15" customHeight="1">
      <c r="A118" s="413"/>
      <c r="B118" s="394"/>
      <c r="R118" s="680"/>
    </row>
    <row r="119" spans="1:46" ht="12.75" customHeight="1">
      <c r="A119" s="413"/>
      <c r="B119" s="394"/>
      <c r="R119" s="680"/>
    </row>
    <row r="120" spans="1:46" ht="15" customHeight="1">
      <c r="A120" s="413"/>
      <c r="B120" s="394"/>
      <c r="R120" s="680"/>
    </row>
    <row r="121" spans="1:46" ht="15" customHeight="1">
      <c r="A121" s="413"/>
      <c r="B121" s="394"/>
      <c r="R121" s="680"/>
    </row>
    <row r="122" spans="1:46" ht="15" customHeight="1">
      <c r="A122" s="413"/>
      <c r="B122" s="394"/>
      <c r="R122" s="680"/>
    </row>
    <row r="123" spans="1:46" ht="15" customHeight="1">
      <c r="A123" s="413"/>
      <c r="B123" s="394"/>
      <c r="R123" s="680"/>
    </row>
    <row r="124" spans="1:46" ht="15" customHeight="1">
      <c r="A124" s="413"/>
      <c r="B124" s="394"/>
      <c r="R124" s="680"/>
    </row>
    <row r="125" spans="1:46" ht="15" customHeight="1">
      <c r="A125" s="413"/>
      <c r="B125" s="394"/>
      <c r="R125" s="680"/>
    </row>
    <row r="126" spans="1:46" ht="15" customHeight="1">
      <c r="A126" s="413"/>
      <c r="B126" s="394"/>
      <c r="R126" s="680"/>
    </row>
    <row r="127" spans="1:46" ht="15" customHeight="1">
      <c r="A127" s="413"/>
      <c r="B127" s="394"/>
      <c r="R127" s="680"/>
    </row>
    <row r="128" spans="1:46" ht="15" customHeight="1">
      <c r="A128" s="413"/>
      <c r="B128" s="394"/>
      <c r="R128" s="680"/>
    </row>
    <row r="129" spans="1:24" ht="15" customHeight="1">
      <c r="A129" s="413"/>
      <c r="B129" s="394"/>
      <c r="R129" s="680"/>
    </row>
    <row r="130" spans="1:24" ht="15" customHeight="1">
      <c r="A130" s="413"/>
      <c r="B130" s="394"/>
      <c r="R130" s="680"/>
      <c r="U130" s="1514"/>
      <c r="V130" s="418"/>
      <c r="W130" s="418"/>
      <c r="X130" s="418"/>
    </row>
    <row r="131" spans="1:24" ht="15" customHeight="1">
      <c r="A131" s="413"/>
      <c r="B131" s="394"/>
      <c r="R131" s="680"/>
    </row>
    <row r="132" spans="1:24" ht="15" customHeight="1">
      <c r="A132" s="413"/>
      <c r="B132" s="394"/>
      <c r="R132" s="680"/>
    </row>
    <row r="133" spans="1:24" ht="5.25" customHeight="1">
      <c r="A133" s="413"/>
      <c r="B133" s="394"/>
      <c r="O133" s="3120"/>
      <c r="P133" s="3120"/>
      <c r="Q133" s="3120"/>
      <c r="R133" s="3121"/>
    </row>
    <row r="134" spans="1:24" ht="20.100000000000001" customHeight="1">
      <c r="A134" s="413"/>
      <c r="B134" s="394"/>
      <c r="M134" s="3297" t="s">
        <v>1255</v>
      </c>
      <c r="N134" s="3297"/>
      <c r="O134" s="3297"/>
      <c r="P134" s="3297"/>
      <c r="Q134" s="3297"/>
      <c r="R134" s="2031"/>
      <c r="S134" s="1639"/>
    </row>
    <row r="135" spans="1:24" ht="15" customHeight="1">
      <c r="A135" s="413"/>
      <c r="B135" s="394"/>
      <c r="L135" s="3118"/>
      <c r="M135" s="3118"/>
      <c r="N135" s="3118"/>
      <c r="O135" s="3118"/>
      <c r="P135" s="3118"/>
      <c r="Q135" s="3118"/>
      <c r="R135" s="2032"/>
      <c r="S135" s="1556"/>
    </row>
    <row r="136" spans="1:24" ht="6" customHeight="1">
      <c r="A136" s="413"/>
      <c r="B136" s="394"/>
      <c r="R136" s="680"/>
    </row>
    <row r="137" spans="1:24" ht="15" customHeight="1">
      <c r="A137" s="413"/>
      <c r="B137" s="394"/>
      <c r="C137" s="528" t="s">
        <v>1451</v>
      </c>
      <c r="D137" s="528"/>
      <c r="E137" s="528"/>
      <c r="F137" s="1355"/>
      <c r="G137" s="3025" t="str">
        <f>IF(ISBLANK(H12)," ",'Design Details &amp; Summary'!G96)</f>
        <v xml:space="preserve"> </v>
      </c>
      <c r="H137" s="3026"/>
      <c r="I137" s="394" t="s">
        <v>1309</v>
      </c>
      <c r="K137" s="3057" t="s">
        <v>1369</v>
      </c>
      <c r="L137" s="3057"/>
      <c r="M137" s="3057"/>
      <c r="N137" s="3057"/>
      <c r="O137" s="3209"/>
      <c r="P137" s="3210" t="str">
        <f>IF(ISBLANK(H12)," ",('Design Details &amp; Summary'!$M$94))</f>
        <v xml:space="preserve"> </v>
      </c>
      <c r="Q137" s="3210"/>
      <c r="R137" s="2" t="s">
        <v>609</v>
      </c>
      <c r="V137" s="1640"/>
    </row>
    <row r="138" spans="1:24" ht="5.0999999999999996" customHeight="1">
      <c r="A138" s="413"/>
      <c r="B138" s="394"/>
      <c r="K138" s="2017"/>
      <c r="L138" s="2017"/>
      <c r="M138" s="2017"/>
      <c r="N138" s="2017"/>
      <c r="O138" s="2017"/>
      <c r="P138" s="74"/>
      <c r="Q138" s="74"/>
      <c r="R138" s="2"/>
    </row>
    <row r="139" spans="1:24" ht="15" customHeight="1">
      <c r="A139" s="413"/>
      <c r="B139" s="394"/>
      <c r="C139" s="3131" t="s">
        <v>63</v>
      </c>
      <c r="D139" s="3131"/>
      <c r="E139" s="3131"/>
      <c r="F139" s="3241" t="str">
        <f>IF(ISBLANK(H12)," ",(IF(G57="Rock",(G57),(H63))))</f>
        <v xml:space="preserve"> </v>
      </c>
      <c r="G139" s="3241"/>
      <c r="H139" s="3241"/>
      <c r="I139" s="3241"/>
      <c r="K139" s="3057" t="s">
        <v>1370</v>
      </c>
      <c r="L139" s="3057"/>
      <c r="M139" s="3057"/>
      <c r="N139" s="3057"/>
      <c r="O139" s="3209"/>
      <c r="P139" s="3210" t="str">
        <f>IF(ISBLANK(H12)," ",('Design Details &amp; Summary'!$M$94+G137/12))</f>
        <v xml:space="preserve"> </v>
      </c>
      <c r="Q139" s="3210"/>
      <c r="R139" s="2" t="s">
        <v>609</v>
      </c>
    </row>
    <row r="140" spans="1:24" ht="5.0999999999999996" customHeight="1">
      <c r="A140" s="413"/>
      <c r="B140" s="394"/>
      <c r="K140" s="2017"/>
      <c r="L140" s="2017"/>
      <c r="M140" s="2017"/>
      <c r="N140" s="2017"/>
      <c r="O140" s="2017"/>
      <c r="P140" s="74"/>
      <c r="Q140" s="74"/>
      <c r="R140" s="2"/>
    </row>
    <row r="141" spans="1:24" ht="15" customHeight="1">
      <c r="A141" s="413"/>
      <c r="B141" s="394"/>
      <c r="C141" s="3296" t="s">
        <v>1371</v>
      </c>
      <c r="D141" s="3296"/>
      <c r="E141" s="3296"/>
      <c r="F141" s="3236" t="str">
        <f>IF(ISBLANK(H12)," ",(IF(G57="Rock",(C60),(H65))))</f>
        <v xml:space="preserve"> </v>
      </c>
      <c r="G141" s="3236"/>
      <c r="H141" s="3236"/>
      <c r="I141" s="394" t="s">
        <v>1309</v>
      </c>
      <c r="J141" s="3057" t="s">
        <v>1452</v>
      </c>
      <c r="K141" s="3057"/>
      <c r="L141" s="3057"/>
      <c r="M141" s="3057"/>
      <c r="N141" s="3057"/>
      <c r="O141" s="3209"/>
      <c r="P141" s="3210" t="str">
        <f>IF(ISBLANK(H12)," ",('Design Details &amp; Summary'!K98)+(IF(P73&gt;3,P73-3,0)))</f>
        <v xml:space="preserve"> </v>
      </c>
      <c r="Q141" s="3210"/>
      <c r="R141" s="2" t="s">
        <v>609</v>
      </c>
    </row>
    <row r="142" spans="1:24" ht="5.0999999999999996" customHeight="1">
      <c r="A142" s="413"/>
      <c r="B142" s="394"/>
      <c r="C142" s="3296"/>
      <c r="D142" s="3296"/>
      <c r="E142" s="3296"/>
      <c r="F142" s="528"/>
      <c r="K142" s="1453"/>
      <c r="L142" s="1453"/>
      <c r="M142" s="1453"/>
      <c r="N142" s="1453"/>
      <c r="O142" s="1994"/>
      <c r="P142" s="23"/>
      <c r="Q142" s="23"/>
      <c r="R142" s="2"/>
    </row>
    <row r="143" spans="1:24" ht="15" customHeight="1">
      <c r="A143" s="400"/>
      <c r="B143" s="394"/>
      <c r="C143" s="3296"/>
      <c r="D143" s="3296"/>
      <c r="E143" s="3296"/>
      <c r="K143" s="1996"/>
      <c r="L143" s="1996"/>
      <c r="M143" s="1996"/>
      <c r="N143" s="1996"/>
      <c r="O143" s="1996"/>
      <c r="P143" s="23"/>
      <c r="Q143" s="23"/>
      <c r="R143" s="2"/>
    </row>
    <row r="144" spans="1:24" ht="5.0999999999999996" customHeight="1">
      <c r="A144" s="400"/>
      <c r="B144" s="394"/>
      <c r="C144" s="1981"/>
      <c r="D144" s="1981"/>
      <c r="E144" s="1981"/>
      <c r="F144" s="1981"/>
      <c r="G144" s="1554"/>
      <c r="H144" s="527"/>
      <c r="K144" s="2033"/>
      <c r="L144" s="2033"/>
      <c r="M144" s="2033"/>
      <c r="N144" s="2033"/>
      <c r="O144" s="2033"/>
      <c r="P144" s="20"/>
      <c r="Q144" s="20"/>
      <c r="R144" s="2"/>
    </row>
    <row r="145" spans="1:73" ht="15" customHeight="1">
      <c r="A145" s="400"/>
      <c r="B145" s="394"/>
      <c r="C145" s="3239" t="s">
        <v>43</v>
      </c>
      <c r="D145" s="3239"/>
      <c r="E145" s="3239"/>
      <c r="F145" s="3240"/>
      <c r="G145" s="3228" t="str">
        <f>IF(ISBLANK(H12)," ",IF('Design Details &amp; Summary'!AA77=4,'Pres. Dist. STA'!I35,""))</f>
        <v xml:space="preserve"> </v>
      </c>
      <c r="H145" s="2957"/>
      <c r="J145" s="3237" t="s">
        <v>1373</v>
      </c>
      <c r="K145" s="3237"/>
      <c r="L145" s="3237"/>
      <c r="M145" s="3238"/>
      <c r="N145" s="1380" t="str">
        <f>IF(ISBLANK(H12)," ",IF('Design Details &amp; Summary'!AA77=4,'Pres. Dist. STA'!I33,""))</f>
        <v xml:space="preserve"> </v>
      </c>
      <c r="O145" s="1203" t="s">
        <v>1309</v>
      </c>
      <c r="P145" s="23"/>
      <c r="Q145" s="23"/>
      <c r="R145" s="2"/>
    </row>
    <row r="146" spans="1:73" ht="5.0999999999999996" customHeight="1">
      <c r="A146" s="400"/>
      <c r="B146" s="394"/>
      <c r="C146" s="1981"/>
      <c r="D146" s="1981"/>
      <c r="E146" s="1981"/>
      <c r="F146" s="1981"/>
      <c r="G146" s="1554"/>
      <c r="H146" s="527"/>
      <c r="K146" s="1985"/>
      <c r="L146" s="1985"/>
      <c r="M146" s="1985"/>
      <c r="N146" s="1985"/>
      <c r="O146" s="1985"/>
      <c r="P146" s="1985"/>
      <c r="R146" s="680"/>
    </row>
    <row r="147" spans="1:73" ht="15" customHeight="1">
      <c r="A147" s="400"/>
      <c r="B147" s="394"/>
      <c r="C147" s="1981" t="s">
        <v>1308</v>
      </c>
      <c r="D147" s="1981"/>
      <c r="E147" s="1981"/>
      <c r="F147" s="1981"/>
      <c r="G147" s="1380" t="str">
        <f>IF(ISBLANK(H12)," ",IF('Design Details &amp; Summary'!AA77=4,'Pres. Dist. STA'!I31,""))</f>
        <v xml:space="preserve"> </v>
      </c>
      <c r="H147" s="1203" t="s">
        <v>1309</v>
      </c>
      <c r="I147" s="384"/>
      <c r="J147" s="3135" t="s">
        <v>1310</v>
      </c>
      <c r="K147" s="3135"/>
      <c r="L147" s="3135"/>
      <c r="M147" s="3136"/>
      <c r="N147" s="1363" t="str">
        <f>IF(ISBLANK(H12)," ",IF('Design Details &amp; Summary'!AA77=4,('Pres. Dist. STA'!I21)*12,""))</f>
        <v xml:space="preserve"> </v>
      </c>
      <c r="O147" s="1203" t="s">
        <v>1309</v>
      </c>
      <c r="R147" s="680"/>
    </row>
    <row r="148" spans="1:73" ht="5.0999999999999996" customHeight="1">
      <c r="A148" s="400"/>
      <c r="B148" s="394"/>
      <c r="C148" s="1981"/>
      <c r="D148" s="1981"/>
      <c r="E148" s="1981"/>
      <c r="F148" s="1981"/>
      <c r="G148" s="1554"/>
      <c r="H148" s="1203"/>
      <c r="I148" s="384"/>
      <c r="J148" s="1985"/>
      <c r="K148" s="1985"/>
      <c r="L148" s="1985"/>
      <c r="M148" s="1985"/>
      <c r="N148" s="1985"/>
      <c r="O148" s="1203"/>
      <c r="R148" s="680"/>
    </row>
    <row r="149" spans="1:73" ht="14.25" customHeight="1">
      <c r="A149" s="400"/>
      <c r="B149" s="394"/>
      <c r="C149" s="394" t="s">
        <v>1453</v>
      </c>
      <c r="Q149" s="1985"/>
      <c r="R149" s="680"/>
    </row>
    <row r="150" spans="1:73" ht="15" customHeight="1">
      <c r="A150" s="400"/>
      <c r="B150" s="387" t="s">
        <v>719</v>
      </c>
      <c r="H150" s="384"/>
      <c r="I150" s="384"/>
      <c r="J150" s="383"/>
      <c r="K150" s="384"/>
      <c r="L150" s="384"/>
      <c r="M150" s="383"/>
      <c r="N150" s="384"/>
      <c r="O150" s="384"/>
      <c r="P150" s="383"/>
      <c r="R150" s="680"/>
    </row>
    <row r="151" spans="1:73" ht="54.95" customHeight="1">
      <c r="A151" s="400"/>
      <c r="B151" s="387"/>
      <c r="C151" s="3233"/>
      <c r="D151" s="3234"/>
      <c r="E151" s="3234"/>
      <c r="F151" s="3234"/>
      <c r="G151" s="3234"/>
      <c r="H151" s="3234"/>
      <c r="I151" s="3234"/>
      <c r="J151" s="3234"/>
      <c r="K151" s="3234"/>
      <c r="L151" s="3234"/>
      <c r="M151" s="3234"/>
      <c r="N151" s="3234"/>
      <c r="O151" s="3234"/>
      <c r="P151" s="3234"/>
      <c r="Q151" s="3235"/>
      <c r="R151" s="680"/>
    </row>
    <row r="152" spans="1:73" ht="5.0999999999999996" customHeight="1" thickBot="1">
      <c r="A152" s="399"/>
      <c r="B152" s="1893"/>
      <c r="C152" s="409"/>
      <c r="D152" s="409"/>
      <c r="E152" s="409"/>
      <c r="F152" s="409"/>
      <c r="G152" s="409"/>
      <c r="H152" s="409"/>
      <c r="I152" s="409"/>
      <c r="J152" s="409"/>
      <c r="K152" s="409"/>
      <c r="L152" s="409"/>
      <c r="M152" s="409"/>
      <c r="N152" s="409"/>
      <c r="O152" s="409"/>
      <c r="P152" s="409"/>
      <c r="Q152" s="409"/>
      <c r="R152" s="1894"/>
      <c r="BJ152" s="383"/>
      <c r="BK152" s="383"/>
      <c r="BL152" s="383"/>
      <c r="BM152" s="383"/>
      <c r="BN152" s="383"/>
      <c r="BO152" s="383"/>
      <c r="BP152" s="383"/>
      <c r="BQ152" s="383"/>
      <c r="BR152" s="384"/>
      <c r="BS152" s="384"/>
      <c r="BT152" s="385"/>
      <c r="BU152" s="386"/>
    </row>
    <row r="153" spans="1:73" ht="3" customHeight="1">
      <c r="B153" s="1895"/>
      <c r="C153" s="1896"/>
      <c r="D153" s="1896"/>
      <c r="E153" s="1896"/>
      <c r="F153" s="1896"/>
      <c r="G153" s="1896"/>
      <c r="H153" s="1896"/>
      <c r="I153" s="1896"/>
      <c r="J153" s="1896"/>
      <c r="K153" s="1896"/>
      <c r="L153" s="1896"/>
      <c r="M153" s="1896"/>
      <c r="N153" s="1896"/>
      <c r="O153" s="1896"/>
      <c r="P153" s="1896"/>
      <c r="Q153" s="1896"/>
      <c r="R153" s="1895"/>
      <c r="BJ153" s="383"/>
      <c r="BK153" s="383"/>
      <c r="BL153" s="383"/>
      <c r="BM153" s="383"/>
      <c r="BN153" s="383"/>
      <c r="BO153" s="383"/>
      <c r="BP153" s="383"/>
      <c r="BQ153" s="383"/>
      <c r="BR153" s="384"/>
      <c r="BS153" s="384"/>
      <c r="BT153" s="385"/>
      <c r="BU153" s="386"/>
    </row>
    <row r="154" spans="1:73">
      <c r="AW154" s="380"/>
      <c r="AX154" s="379"/>
    </row>
    <row r="155" spans="1:73">
      <c r="A155" s="394"/>
      <c r="B155" s="394"/>
      <c r="AW155" s="379"/>
      <c r="AX155" s="379"/>
    </row>
    <row r="156" spans="1:73">
      <c r="AW156" s="380"/>
      <c r="AX156" s="379"/>
    </row>
    <row r="157" spans="1:73">
      <c r="AW157" s="379"/>
      <c r="AX157" s="380"/>
    </row>
    <row r="158" spans="1:73">
      <c r="AW158" s="380"/>
      <c r="AX158" s="379"/>
    </row>
    <row r="159" spans="1:73">
      <c r="AW159" s="379"/>
      <c r="AX159" s="379"/>
    </row>
    <row r="160" spans="1:73">
      <c r="AW160" s="380"/>
      <c r="AX160" s="379"/>
    </row>
    <row r="161" spans="1:50">
      <c r="AW161" s="379"/>
      <c r="AX161" s="380"/>
    </row>
    <row r="162" spans="1:50">
      <c r="A162" s="394"/>
      <c r="B162" s="394"/>
      <c r="R162" s="394"/>
      <c r="AW162" s="380"/>
      <c r="AX162" s="379"/>
    </row>
    <row r="163" spans="1:50">
      <c r="A163" s="394"/>
      <c r="B163" s="394"/>
      <c r="R163" s="394"/>
      <c r="AW163" s="379"/>
      <c r="AX163" s="379"/>
    </row>
    <row r="164" spans="1:50">
      <c r="A164" s="394"/>
      <c r="B164" s="394"/>
      <c r="R164" s="394"/>
      <c r="AW164" s="380"/>
      <c r="AX164" s="379"/>
    </row>
    <row r="165" spans="1:50">
      <c r="A165" s="394"/>
      <c r="B165" s="394"/>
      <c r="R165" s="394"/>
      <c r="AW165" s="379"/>
      <c r="AX165" s="379"/>
    </row>
    <row r="166" spans="1:50">
      <c r="A166" s="394"/>
      <c r="B166" s="394"/>
      <c r="R166" s="394"/>
      <c r="AW166" s="380"/>
      <c r="AX166" s="380"/>
    </row>
    <row r="167" spans="1:50">
      <c r="A167" s="394"/>
      <c r="B167" s="394"/>
      <c r="R167" s="394"/>
      <c r="AW167" s="379"/>
      <c r="AX167" s="379"/>
    </row>
    <row r="168" spans="1:50">
      <c r="A168" s="394"/>
      <c r="B168" s="394"/>
      <c r="R168" s="394"/>
      <c r="AW168" s="380"/>
      <c r="AX168" s="379"/>
    </row>
    <row r="169" spans="1:50">
      <c r="A169" s="394"/>
      <c r="B169" s="394"/>
      <c r="R169" s="394"/>
      <c r="AW169" s="380"/>
      <c r="AX169" s="379"/>
    </row>
    <row r="170" spans="1:50">
      <c r="A170" s="394"/>
      <c r="B170" s="394"/>
      <c r="R170" s="394"/>
      <c r="AW170" s="379"/>
      <c r="AX170" s="379"/>
    </row>
    <row r="171" spans="1:50">
      <c r="A171" s="394"/>
      <c r="B171" s="394"/>
      <c r="R171" s="394"/>
      <c r="AW171" s="380"/>
      <c r="AX171" s="380"/>
    </row>
    <row r="172" spans="1:50">
      <c r="A172" s="394"/>
      <c r="B172" s="394"/>
      <c r="R172" s="394"/>
      <c r="AW172" s="379"/>
      <c r="AX172" s="379"/>
    </row>
    <row r="173" spans="1:50">
      <c r="A173" s="394"/>
      <c r="B173" s="394"/>
      <c r="R173" s="394"/>
      <c r="AW173" s="380"/>
      <c r="AX173" s="379"/>
    </row>
    <row r="174" spans="1:50">
      <c r="A174" s="394"/>
      <c r="B174" s="394"/>
      <c r="R174" s="394"/>
      <c r="AW174" s="379"/>
      <c r="AX174" s="379"/>
    </row>
    <row r="175" spans="1:50">
      <c r="A175" s="394"/>
      <c r="B175" s="394"/>
      <c r="R175" s="394"/>
      <c r="AW175" s="380"/>
      <c r="AX175" s="379"/>
    </row>
    <row r="176" spans="1:50">
      <c r="A176" s="394"/>
      <c r="B176" s="394"/>
      <c r="R176" s="394"/>
      <c r="AW176" s="379"/>
      <c r="AX176" s="380"/>
    </row>
    <row r="177" spans="1:50">
      <c r="A177" s="394"/>
      <c r="B177" s="394"/>
      <c r="R177" s="394"/>
      <c r="AW177" s="379"/>
      <c r="AX177" s="379"/>
    </row>
    <row r="178" spans="1:50">
      <c r="A178" s="394"/>
      <c r="B178" s="394"/>
      <c r="R178" s="394"/>
      <c r="AW178" s="380"/>
      <c r="AX178" s="379"/>
    </row>
    <row r="179" spans="1:50">
      <c r="A179" s="394"/>
      <c r="B179" s="394"/>
      <c r="R179" s="394"/>
      <c r="AW179" s="380"/>
      <c r="AX179" s="379"/>
    </row>
    <row r="180" spans="1:50">
      <c r="A180" s="394"/>
      <c r="B180" s="394"/>
      <c r="R180" s="394"/>
      <c r="AW180" s="380"/>
      <c r="AX180" s="379"/>
    </row>
    <row r="181" spans="1:50">
      <c r="A181" s="394"/>
      <c r="B181" s="394"/>
      <c r="R181" s="394"/>
      <c r="AW181" s="380"/>
      <c r="AX181" s="379"/>
    </row>
    <row r="182" spans="1:50">
      <c r="A182" s="394"/>
      <c r="B182" s="394"/>
      <c r="R182" s="394"/>
      <c r="AW182" s="380"/>
      <c r="AX182" s="379"/>
    </row>
    <row r="183" spans="1:50">
      <c r="A183" s="394"/>
      <c r="B183" s="394"/>
      <c r="R183" s="394"/>
      <c r="AW183" s="380"/>
      <c r="AX183" s="379"/>
    </row>
    <row r="184" spans="1:50">
      <c r="A184" s="394"/>
      <c r="B184" s="394"/>
      <c r="R184" s="394"/>
      <c r="AW184" s="379"/>
      <c r="AX184" s="379"/>
    </row>
    <row r="185" spans="1:50">
      <c r="A185" s="394"/>
      <c r="B185" s="394"/>
      <c r="R185" s="394"/>
      <c r="AW185" s="379"/>
      <c r="AX185" s="379"/>
    </row>
    <row r="186" spans="1:50">
      <c r="A186" s="394"/>
      <c r="B186" s="394"/>
      <c r="R186" s="394"/>
      <c r="AW186" s="380"/>
      <c r="AX186" s="380"/>
    </row>
    <row r="187" spans="1:50">
      <c r="A187" s="394"/>
      <c r="B187" s="394"/>
      <c r="R187" s="394"/>
      <c r="AW187" s="379"/>
      <c r="AX187" s="379"/>
    </row>
    <row r="188" spans="1:50">
      <c r="A188" s="394"/>
      <c r="B188" s="394"/>
      <c r="R188" s="394"/>
      <c r="AW188" s="379"/>
      <c r="AX188" s="379"/>
    </row>
    <row r="189" spans="1:50">
      <c r="A189" s="394"/>
      <c r="B189" s="394"/>
      <c r="R189" s="394"/>
      <c r="AW189" s="380"/>
      <c r="AX189" s="379"/>
    </row>
    <row r="190" spans="1:50">
      <c r="A190" s="394"/>
      <c r="B190" s="394"/>
      <c r="R190" s="394"/>
      <c r="AW190" s="379"/>
      <c r="AX190" s="379"/>
    </row>
    <row r="191" spans="1:50">
      <c r="A191" s="394"/>
      <c r="B191" s="394"/>
      <c r="R191" s="394"/>
      <c r="AW191" s="379"/>
      <c r="AX191" s="380"/>
    </row>
    <row r="192" spans="1:50">
      <c r="A192" s="394"/>
      <c r="B192" s="394"/>
      <c r="R192" s="394"/>
      <c r="AW192" s="380"/>
      <c r="AX192" s="379"/>
    </row>
    <row r="193" spans="1:50">
      <c r="A193" s="394"/>
      <c r="B193" s="394"/>
      <c r="R193" s="394"/>
      <c r="AW193" s="379"/>
      <c r="AX193" s="379"/>
    </row>
    <row r="194" spans="1:50">
      <c r="A194" s="394"/>
      <c r="B194" s="394"/>
      <c r="R194" s="394"/>
      <c r="AW194" s="379"/>
      <c r="AX194" s="379"/>
    </row>
    <row r="195" spans="1:50">
      <c r="A195" s="394"/>
      <c r="B195" s="394"/>
      <c r="R195" s="394"/>
      <c r="AW195" s="379"/>
      <c r="AX195" s="380"/>
    </row>
    <row r="196" spans="1:50">
      <c r="A196" s="394"/>
      <c r="B196" s="394"/>
      <c r="R196" s="394"/>
      <c r="AW196" s="379"/>
      <c r="AX196" s="380"/>
    </row>
    <row r="197" spans="1:50">
      <c r="A197" s="394"/>
      <c r="B197" s="394"/>
      <c r="R197" s="394"/>
      <c r="AW197" s="379"/>
      <c r="AX197" s="379"/>
    </row>
    <row r="198" spans="1:50">
      <c r="A198" s="394"/>
      <c r="B198" s="394"/>
      <c r="R198" s="394"/>
      <c r="AW198" s="379"/>
      <c r="AX198" s="380"/>
    </row>
    <row r="199" spans="1:50">
      <c r="A199" s="394"/>
      <c r="B199" s="394"/>
      <c r="R199" s="394"/>
      <c r="AW199" s="379"/>
      <c r="AX199" s="379"/>
    </row>
    <row r="200" spans="1:50">
      <c r="A200" s="394"/>
      <c r="B200" s="394"/>
      <c r="R200" s="394"/>
      <c r="AW200" s="379"/>
      <c r="AX200" s="379"/>
    </row>
    <row r="201" spans="1:50">
      <c r="A201" s="394"/>
      <c r="B201" s="394"/>
      <c r="R201" s="394"/>
      <c r="AW201" s="379"/>
      <c r="AX201" s="380"/>
    </row>
    <row r="202" spans="1:50">
      <c r="A202" s="394"/>
      <c r="B202" s="394"/>
      <c r="R202" s="394"/>
      <c r="AW202" s="379"/>
      <c r="AX202" s="379"/>
    </row>
    <row r="203" spans="1:50">
      <c r="A203" s="394"/>
      <c r="B203" s="394"/>
      <c r="R203" s="394"/>
      <c r="AW203" s="379"/>
      <c r="AX203" s="380"/>
    </row>
    <row r="204" spans="1:50">
      <c r="A204" s="394"/>
      <c r="B204" s="394"/>
      <c r="R204" s="394"/>
      <c r="AW204" s="379"/>
      <c r="AX204" s="379"/>
    </row>
    <row r="205" spans="1:50">
      <c r="A205" s="394"/>
      <c r="B205" s="394"/>
      <c r="R205" s="394"/>
      <c r="AW205" s="379"/>
      <c r="AX205" s="379"/>
    </row>
    <row r="206" spans="1:50">
      <c r="A206" s="394"/>
      <c r="B206" s="394"/>
      <c r="R206" s="394"/>
      <c r="AW206" s="379"/>
      <c r="AX206" s="380"/>
    </row>
    <row r="207" spans="1:50">
      <c r="A207" s="394"/>
      <c r="B207" s="394"/>
      <c r="R207" s="394"/>
      <c r="AW207" s="379"/>
      <c r="AX207" s="379"/>
    </row>
    <row r="208" spans="1:50">
      <c r="A208" s="394"/>
      <c r="B208" s="394"/>
      <c r="R208" s="394"/>
      <c r="AX208" s="380"/>
    </row>
    <row r="209" spans="1:50">
      <c r="A209" s="394"/>
      <c r="B209" s="394"/>
      <c r="R209" s="394"/>
      <c r="AX209" s="380"/>
    </row>
    <row r="210" spans="1:50">
      <c r="A210" s="394"/>
      <c r="B210" s="394"/>
      <c r="R210" s="394"/>
      <c r="AX210" s="379"/>
    </row>
    <row r="211" spans="1:50">
      <c r="A211" s="394"/>
      <c r="B211" s="394"/>
      <c r="R211" s="394"/>
      <c r="AX211" s="380"/>
    </row>
    <row r="212" spans="1:50">
      <c r="A212" s="394"/>
      <c r="B212" s="394"/>
      <c r="R212" s="394"/>
      <c r="AX212" s="379"/>
    </row>
    <row r="213" spans="1:50">
      <c r="A213" s="394"/>
      <c r="B213" s="394"/>
      <c r="R213" s="394"/>
      <c r="AX213" s="380"/>
    </row>
    <row r="214" spans="1:50">
      <c r="A214" s="394"/>
      <c r="B214" s="394"/>
      <c r="R214" s="394"/>
      <c r="AX214" s="380"/>
    </row>
    <row r="215" spans="1:50">
      <c r="A215" s="394"/>
      <c r="B215" s="394"/>
      <c r="R215" s="394"/>
      <c r="AX215" s="379"/>
    </row>
    <row r="216" spans="1:50">
      <c r="A216" s="394"/>
      <c r="B216" s="394"/>
      <c r="R216" s="394"/>
      <c r="AX216" s="379"/>
    </row>
    <row r="217" spans="1:50">
      <c r="A217" s="394"/>
      <c r="B217" s="394"/>
      <c r="R217" s="394"/>
      <c r="AX217" s="379"/>
    </row>
    <row r="218" spans="1:50">
      <c r="A218" s="394"/>
      <c r="B218" s="394"/>
      <c r="R218" s="394"/>
      <c r="AX218" s="379"/>
    </row>
    <row r="219" spans="1:50">
      <c r="A219" s="394"/>
      <c r="B219" s="394"/>
      <c r="R219" s="394"/>
      <c r="AX219" s="379"/>
    </row>
    <row r="220" spans="1:50">
      <c r="A220" s="394"/>
      <c r="B220" s="394"/>
      <c r="R220" s="394"/>
      <c r="AX220" s="379"/>
    </row>
    <row r="221" spans="1:50">
      <c r="A221" s="394"/>
      <c r="B221" s="394"/>
      <c r="R221" s="394"/>
      <c r="AX221" s="379"/>
    </row>
  </sheetData>
  <sheetProtection sheet="1" objects="1" scenarios="1"/>
  <customSheetViews>
    <customSheetView guid="{D1431318-1DB8-4C45-813B-5A8065DFC797}" showPageBreaks="1" printArea="1" view="pageBreakPreview">
      <selection activeCell="H14" sqref="H14:I14"/>
      <rowBreaks count="2" manualBreakCount="2">
        <brk id="46" max="17" man="1"/>
        <brk id="100" max="17" man="1"/>
      </rowBreaks>
      <pageMargins left="0" right="0" top="0" bottom="0" header="0" footer="0"/>
      <pageSetup orientation="portrait" blackAndWhite="1" r:id="rId1"/>
    </customSheetView>
  </customSheetViews>
  <mergeCells count="106">
    <mergeCell ref="U66:X66"/>
    <mergeCell ref="D28:E28"/>
    <mergeCell ref="C43:L43"/>
    <mergeCell ref="C141:E143"/>
    <mergeCell ref="C31:J32"/>
    <mergeCell ref="L31:M31"/>
    <mergeCell ref="M134:Q134"/>
    <mergeCell ref="L135:Q135"/>
    <mergeCell ref="Z113:AA113"/>
    <mergeCell ref="E73:F73"/>
    <mergeCell ref="P73:Q73"/>
    <mergeCell ref="O99:Q99"/>
    <mergeCell ref="I79:J79"/>
    <mergeCell ref="F79:G79"/>
    <mergeCell ref="L91:M91"/>
    <mergeCell ref="K97:L97"/>
    <mergeCell ref="L94:M94"/>
    <mergeCell ref="O133:R133"/>
    <mergeCell ref="I99:M99"/>
    <mergeCell ref="O76:P76"/>
    <mergeCell ref="U67:X67"/>
    <mergeCell ref="U60:Z60"/>
    <mergeCell ref="U63:X63"/>
    <mergeCell ref="U64:X65"/>
    <mergeCell ref="Y64:Y65"/>
    <mergeCell ref="J141:O141"/>
    <mergeCell ref="K139:O139"/>
    <mergeCell ref="K137:O137"/>
    <mergeCell ref="P139:Q139"/>
    <mergeCell ref="F1:M1"/>
    <mergeCell ref="K2:L2"/>
    <mergeCell ref="K21:R23"/>
    <mergeCell ref="L28:M28"/>
    <mergeCell ref="P2:R2"/>
    <mergeCell ref="H35:I35"/>
    <mergeCell ref="J48:K48"/>
    <mergeCell ref="N54:Q54"/>
    <mergeCell ref="M43:N43"/>
    <mergeCell ref="I54:M54"/>
    <mergeCell ref="H37:I37"/>
    <mergeCell ref="G41:H41"/>
    <mergeCell ref="J41:K41"/>
    <mergeCell ref="H12:I12"/>
    <mergeCell ref="H28:I28"/>
    <mergeCell ref="H14:I14"/>
    <mergeCell ref="I2:J2"/>
    <mergeCell ref="F28:G28"/>
    <mergeCell ref="H4:I4"/>
    <mergeCell ref="H6:I6"/>
    <mergeCell ref="H8:I8"/>
    <mergeCell ref="H10:I10"/>
    <mergeCell ref="C91:D91"/>
    <mergeCell ref="I91:J91"/>
    <mergeCell ref="F91:G91"/>
    <mergeCell ref="F88:G88"/>
    <mergeCell ref="C88:D88"/>
    <mergeCell ref="C79:D79"/>
    <mergeCell ref="I85:J85"/>
    <mergeCell ref="H73:I73"/>
    <mergeCell ref="F85:G85"/>
    <mergeCell ref="F76:G76"/>
    <mergeCell ref="C76:D76"/>
    <mergeCell ref="I76:J76"/>
    <mergeCell ref="F82:G82"/>
    <mergeCell ref="C82:D82"/>
    <mergeCell ref="C85:D85"/>
    <mergeCell ref="C35:G35"/>
    <mergeCell ref="D65:G65"/>
    <mergeCell ref="H65:I65"/>
    <mergeCell ref="C67:Q67"/>
    <mergeCell ref="M61:Q66"/>
    <mergeCell ref="G39:H39"/>
    <mergeCell ref="K39:L39"/>
    <mergeCell ref="G52:H52"/>
    <mergeCell ref="D48:E48"/>
    <mergeCell ref="G48:H48"/>
    <mergeCell ref="C58:R58"/>
    <mergeCell ref="L52:M52"/>
    <mergeCell ref="C60:D60"/>
    <mergeCell ref="D41:E41"/>
    <mergeCell ref="D52:E52"/>
    <mergeCell ref="D39:E39"/>
    <mergeCell ref="K35:R35"/>
    <mergeCell ref="C151:Q151"/>
    <mergeCell ref="C139:E139"/>
    <mergeCell ref="F141:H141"/>
    <mergeCell ref="J147:M147"/>
    <mergeCell ref="P137:Q137"/>
    <mergeCell ref="P141:Q141"/>
    <mergeCell ref="J145:M145"/>
    <mergeCell ref="C145:F145"/>
    <mergeCell ref="G145:H145"/>
    <mergeCell ref="G137:H137"/>
    <mergeCell ref="F139:I139"/>
    <mergeCell ref="I39:J39"/>
    <mergeCell ref="G57:J57"/>
    <mergeCell ref="C97:D97"/>
    <mergeCell ref="F97:G97"/>
    <mergeCell ref="L82:M82"/>
    <mergeCell ref="I82:J82"/>
    <mergeCell ref="I88:J88"/>
    <mergeCell ref="I94:J94"/>
    <mergeCell ref="F94:G94"/>
    <mergeCell ref="C94:D94"/>
    <mergeCell ref="H63:K63"/>
    <mergeCell ref="L76:M76"/>
  </mergeCells>
  <dataValidations count="4">
    <dataValidation type="list" allowBlank="1" showInputMessage="1" prompt="Typical value is 1.2." sqref="H12:I12" xr:uid="{00000000-0002-0000-1300-000000000000}">
      <formula1>MediaLoadRate</formula1>
    </dataValidation>
    <dataValidation type="decimal" operator="greaterThanOrEqual" allowBlank="1" showInputMessage="1" showErrorMessage="1" error="Enter a size that is larger than the minimum above, if so desired." sqref="M43" xr:uid="{00000000-0002-0000-1300-000003000000}">
      <formula1>F40</formula1>
    </dataValidation>
    <dataValidation allowBlank="1" sqref="L63 H64:L64 L65" xr:uid="{00000000-0002-0000-1300-000004000000}"/>
    <dataValidation type="decimal" operator="lessThanOrEqual" allowBlank="1" showInputMessage="1" showErrorMessage="1" error="Bed width can not exceed 10 feet_x000a_" sqref="H37:I37" xr:uid="{EF6FB705-4ADD-41FE-8F23-280944C068F2}">
      <formula1>10</formula1>
    </dataValidation>
  </dataValidations>
  <pageMargins left="0.5" right="0.25" top="0.5" bottom="0.5" header="0.3" footer="0.3"/>
  <pageSetup scale="97" orientation="portrait" blackAndWhite="1" r:id="rId2"/>
  <rowBreaks count="2" manualBreakCount="2">
    <brk id="44" max="17" man="1"/>
    <brk id="98" max="17" man="1"/>
  </rowBreaks>
  <drawing r:id="rId3"/>
  <legacyDrawing r:id="rId4"/>
  <extLst>
    <ext xmlns:x14="http://schemas.microsoft.com/office/spreadsheetml/2009/9/main" uri="{CCE6A557-97BC-4b89-ADB6-D9C93CAAB3DF}">
      <x14:dataValidations xmlns:xm="http://schemas.microsoft.com/office/excel/2006/main" count="2">
        <x14:dataValidation type="list" allowBlank="1" xr:uid="{00000000-0002-0000-1300-000005000000}">
          <x14:formula1>
            <xm:f>'Drop-Down Lists'!$W$8:$W$14</xm:f>
          </x14:formula1>
          <xm:sqref>C60:D60 H65:I65</xm:sqref>
        </x14:dataValidation>
        <x14:dataValidation type="list" allowBlank="1" showInputMessage="1" xr:uid="{00000000-0002-0000-1300-000006000000}">
          <x14:formula1>
            <xm:f>'Drop-Down Lists'!$BF$2:$BF$16</xm:f>
          </x14:formula1>
          <xm:sqref>H14:I14</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tabColor theme="9" tint="0.39997558519241921"/>
  </sheetPr>
  <dimension ref="A1:AX220"/>
  <sheetViews>
    <sheetView showGridLines="0" showZeros="0" view="pageBreakPreview" zoomScaleNormal="100" zoomScaleSheetLayoutView="100" workbookViewId="0">
      <selection activeCell="H12" sqref="H12:I12"/>
    </sheetView>
  </sheetViews>
  <sheetFormatPr defaultColWidth="8.85546875" defaultRowHeight="15"/>
  <cols>
    <col min="1" max="1" width="2.42578125" style="393" customWidth="1"/>
    <col min="2" max="2" width="2.42578125" style="397" customWidth="1"/>
    <col min="3" max="17" width="5.42578125" style="394" customWidth="1"/>
    <col min="18" max="18" width="5.42578125" style="383" customWidth="1"/>
    <col min="19" max="20" width="2.42578125" style="394" customWidth="1"/>
    <col min="21" max="21" width="6.42578125" style="394" customWidth="1"/>
    <col min="22" max="35" width="5.42578125" style="394" customWidth="1"/>
    <col min="36" max="36" width="2" style="394" customWidth="1"/>
    <col min="37" max="16384" width="8.85546875" style="394"/>
  </cols>
  <sheetData>
    <row r="1" spans="1:37" ht="66" customHeight="1" thickBot="1">
      <c r="B1" s="406"/>
      <c r="C1" s="406"/>
      <c r="D1" s="406"/>
      <c r="F1" s="3266" t="s">
        <v>1454</v>
      </c>
      <c r="G1" s="3266"/>
      <c r="H1" s="3266"/>
      <c r="I1" s="3266"/>
      <c r="J1" s="3266"/>
      <c r="K1" s="3266"/>
      <c r="L1" s="3266"/>
      <c r="M1" s="3266"/>
      <c r="N1" s="406"/>
      <c r="O1" s="404"/>
      <c r="P1" s="404"/>
      <c r="Q1" s="404"/>
      <c r="R1" s="405"/>
      <c r="X1" s="772"/>
      <c r="AK1" s="387"/>
    </row>
    <row r="2" spans="1:37" ht="16.350000000000001" customHeight="1" thickBot="1">
      <c r="A2" s="651" t="s">
        <v>475</v>
      </c>
      <c r="B2" s="646"/>
      <c r="C2" s="446" t="s">
        <v>1163</v>
      </c>
      <c r="D2" s="446"/>
      <c r="E2" s="446"/>
      <c r="F2" s="446"/>
      <c r="G2" s="446"/>
      <c r="H2" s="446"/>
      <c r="I2" s="3286" t="s">
        <v>1164</v>
      </c>
      <c r="J2" s="3286"/>
      <c r="K2" s="3267" t="str">
        <f>IF(ISBLANK('Design Details &amp; Summary'!S3)," ",'Design Details &amp; Summary'!S3)</f>
        <v xml:space="preserve"> </v>
      </c>
      <c r="L2" s="3267"/>
      <c r="M2" s="446"/>
      <c r="N2" s="446"/>
      <c r="O2" s="446"/>
      <c r="P2" s="446"/>
      <c r="Q2" s="446"/>
      <c r="R2" s="1368"/>
      <c r="S2" s="1368" t="str">
        <f>'Drop-Down Lists'!A2</f>
        <v>v 05.01.2026</v>
      </c>
      <c r="T2" s="387"/>
      <c r="U2" s="387"/>
      <c r="V2" s="387"/>
      <c r="W2" s="387"/>
      <c r="X2" s="387"/>
      <c r="Y2" s="387"/>
      <c r="Z2" s="387"/>
      <c r="AA2" s="387"/>
      <c r="AB2" s="387"/>
    </row>
    <row r="3" spans="1:37" ht="3.6" customHeight="1">
      <c r="A3" s="431"/>
      <c r="B3" s="432"/>
      <c r="C3" s="433"/>
      <c r="D3" s="433"/>
      <c r="E3" s="433"/>
      <c r="F3" s="433"/>
      <c r="G3" s="433"/>
      <c r="H3" s="433"/>
      <c r="I3" s="433"/>
      <c r="J3" s="433"/>
      <c r="K3" s="433"/>
      <c r="L3" s="433"/>
      <c r="M3" s="433"/>
      <c r="N3" s="433"/>
      <c r="O3" s="433"/>
      <c r="P3" s="433"/>
      <c r="Q3" s="433"/>
      <c r="R3" s="434"/>
      <c r="S3" s="435"/>
    </row>
    <row r="4" spans="1:37" ht="18" customHeight="1">
      <c r="A4" s="400"/>
      <c r="B4" s="388" t="s">
        <v>1011</v>
      </c>
      <c r="C4" s="383" t="s">
        <v>582</v>
      </c>
      <c r="D4" s="383"/>
      <c r="E4" s="383"/>
      <c r="F4" s="383"/>
      <c r="G4" s="383"/>
      <c r="H4" s="3288" t="str">
        <f>IF('Design Details &amp; Summary'!AA77=0,"",IF('Design Details &amp; Summary'!AA77=4,'Design Details &amp; Summary'!I11,""))</f>
        <v/>
      </c>
      <c r="I4" s="3289"/>
      <c r="J4" s="1999" t="s">
        <v>583</v>
      </c>
      <c r="K4" s="383"/>
      <c r="M4" s="388"/>
      <c r="N4" s="388"/>
      <c r="O4" s="388"/>
      <c r="P4" s="388"/>
      <c r="Q4" s="388"/>
      <c r="R4" s="387"/>
      <c r="S4" s="692"/>
      <c r="U4" s="402"/>
      <c r="V4" s="402"/>
      <c r="W4" s="402"/>
      <c r="X4" s="402"/>
      <c r="Y4" s="402"/>
      <c r="Z4" s="402"/>
      <c r="AA4" s="402"/>
      <c r="AB4" s="402"/>
    </row>
    <row r="5" spans="1:37" ht="3.6" customHeight="1">
      <c r="A5" s="400"/>
      <c r="B5" s="388"/>
      <c r="C5" s="383"/>
      <c r="D5" s="383"/>
      <c r="E5" s="383"/>
      <c r="F5" s="383"/>
      <c r="G5" s="383"/>
      <c r="H5" s="386"/>
      <c r="I5" s="386"/>
      <c r="J5" s="1999"/>
      <c r="K5" s="383"/>
      <c r="M5" s="388"/>
      <c r="N5" s="388"/>
      <c r="O5" s="388"/>
      <c r="P5" s="388"/>
      <c r="Q5" s="388"/>
      <c r="R5" s="387"/>
      <c r="S5" s="692"/>
      <c r="U5" s="402"/>
      <c r="V5" s="402"/>
      <c r="W5" s="402"/>
      <c r="X5" s="402"/>
      <c r="Y5" s="402"/>
      <c r="Z5" s="402"/>
      <c r="AA5" s="402"/>
      <c r="AB5" s="402"/>
    </row>
    <row r="6" spans="1:37" ht="18" customHeight="1">
      <c r="A6" s="400"/>
      <c r="B6" s="388" t="s">
        <v>1019</v>
      </c>
      <c r="C6" s="383" t="s">
        <v>1314</v>
      </c>
      <c r="D6" s="383"/>
      <c r="E6" s="383"/>
      <c r="F6" s="383"/>
      <c r="G6" s="383"/>
      <c r="H6" s="3249" t="str">
        <f>IF('Design Details &amp; Summary'!AA77=0,"",IF('Design Details &amp; Summary'!AA77=4,'Design Details &amp; Summary'!G104,""))</f>
        <v/>
      </c>
      <c r="I6" s="3250"/>
      <c r="J6" s="1999" t="s">
        <v>1403</v>
      </c>
      <c r="K6" s="383"/>
      <c r="M6" s="2000"/>
      <c r="N6" s="2000"/>
      <c r="O6" s="388"/>
      <c r="P6" s="388"/>
      <c r="Q6" s="388"/>
      <c r="R6" s="387"/>
      <c r="S6" s="412"/>
      <c r="U6" s="401"/>
      <c r="V6" s="401"/>
      <c r="W6" s="401"/>
      <c r="X6" s="401"/>
      <c r="Y6" s="401"/>
      <c r="Z6" s="401"/>
      <c r="AA6" s="401"/>
      <c r="AB6" s="401"/>
    </row>
    <row r="7" spans="1:37" ht="3.6" customHeight="1">
      <c r="A7" s="400"/>
      <c r="B7" s="388"/>
      <c r="C7" s="383"/>
      <c r="D7" s="383"/>
      <c r="E7" s="383"/>
      <c r="F7" s="383"/>
      <c r="G7" s="383"/>
      <c r="H7" s="380"/>
      <c r="I7" s="380"/>
      <c r="J7" s="1999"/>
      <c r="K7" s="383"/>
      <c r="L7" s="383"/>
      <c r="M7" s="2000"/>
      <c r="N7" s="2000"/>
      <c r="O7" s="388"/>
      <c r="P7" s="388"/>
      <c r="Q7" s="388"/>
      <c r="R7" s="387"/>
      <c r="S7" s="412"/>
      <c r="U7" s="401"/>
      <c r="V7" s="401"/>
      <c r="W7" s="401"/>
      <c r="X7" s="401"/>
      <c r="Y7" s="401"/>
      <c r="Z7" s="401"/>
      <c r="AA7" s="401"/>
      <c r="AB7" s="401"/>
    </row>
    <row r="8" spans="1:37" ht="18" customHeight="1">
      <c r="A8" s="400"/>
      <c r="B8" s="388" t="s">
        <v>1168</v>
      </c>
      <c r="C8" s="3287" t="s">
        <v>1455</v>
      </c>
      <c r="D8" s="3287"/>
      <c r="E8" s="3287"/>
      <c r="F8" s="3287"/>
      <c r="G8" s="3287"/>
      <c r="H8" s="3244" t="str">
        <f>IF('Design Details &amp; Summary'!AA77=0,"",IF('Design Details &amp; Summary'!AA77=4,('Design Details &amp; Summary'!G94/12),""))</f>
        <v/>
      </c>
      <c r="I8" s="3245"/>
      <c r="J8" s="1999" t="s">
        <v>609</v>
      </c>
      <c r="K8" s="383"/>
      <c r="L8" s="383"/>
      <c r="M8" s="2000"/>
      <c r="N8" s="2000"/>
      <c r="O8" s="388"/>
      <c r="P8" s="388"/>
      <c r="Q8" s="388"/>
      <c r="R8" s="387"/>
      <c r="S8" s="412"/>
      <c r="U8" s="401"/>
      <c r="V8" s="401"/>
      <c r="W8" s="401"/>
      <c r="X8" s="401"/>
      <c r="Y8" s="401"/>
      <c r="Z8" s="401"/>
      <c r="AA8" s="401"/>
      <c r="AB8" s="401"/>
    </row>
    <row r="9" spans="1:37" ht="3.6" customHeight="1">
      <c r="A9" s="400"/>
      <c r="B9" s="388"/>
      <c r="C9" s="383"/>
      <c r="D9" s="383"/>
      <c r="E9" s="383"/>
      <c r="F9" s="383"/>
      <c r="G9" s="383"/>
      <c r="H9" s="380"/>
      <c r="I9" s="380"/>
      <c r="J9" s="1999"/>
      <c r="L9" s="383"/>
      <c r="M9" s="2000"/>
      <c r="N9" s="2000"/>
      <c r="O9" s="388"/>
      <c r="P9" s="388"/>
      <c r="Q9" s="388"/>
      <c r="R9" s="387"/>
      <c r="S9" s="412"/>
      <c r="U9" s="383"/>
      <c r="V9" s="383"/>
      <c r="W9" s="383"/>
      <c r="X9" s="383"/>
      <c r="Y9" s="383"/>
      <c r="Z9" s="403"/>
      <c r="AA9" s="403"/>
    </row>
    <row r="10" spans="1:37" ht="18" customHeight="1">
      <c r="A10" s="400"/>
      <c r="B10" s="388" t="s">
        <v>1172</v>
      </c>
      <c r="C10" s="383" t="s">
        <v>1405</v>
      </c>
      <c r="D10" s="383"/>
      <c r="E10" s="383"/>
      <c r="F10" s="383"/>
      <c r="G10" s="383"/>
      <c r="H10" s="3244" t="str">
        <f>IF('Design Details &amp; Summary'!AA77=0,"",IF('Design Details &amp; Summary'!AA77=4,'Design Details &amp; Summary'!G108,""))</f>
        <v/>
      </c>
      <c r="I10" s="3245"/>
      <c r="J10" s="2001" t="s">
        <v>624</v>
      </c>
      <c r="M10" s="2000"/>
      <c r="N10" s="2000"/>
      <c r="O10" s="388"/>
      <c r="P10" s="388"/>
      <c r="Q10" s="388"/>
      <c r="R10" s="387"/>
      <c r="S10" s="412"/>
      <c r="U10" s="385"/>
      <c r="V10" s="385"/>
      <c r="W10" s="385"/>
      <c r="X10" s="385"/>
      <c r="Y10" s="385"/>
      <c r="Z10" s="379"/>
      <c r="AA10" s="379"/>
      <c r="AB10" s="379"/>
    </row>
    <row r="11" spans="1:37" ht="3.6" customHeight="1">
      <c r="A11" s="400"/>
      <c r="B11" s="388"/>
      <c r="C11" s="383"/>
      <c r="D11" s="383"/>
      <c r="E11" s="383"/>
      <c r="F11" s="383"/>
      <c r="G11" s="383"/>
      <c r="H11" s="403"/>
      <c r="I11" s="403"/>
      <c r="J11" s="2001"/>
      <c r="L11" s="383"/>
      <c r="M11" s="2000"/>
      <c r="N11" s="2000"/>
      <c r="O11" s="388"/>
      <c r="P11" s="388"/>
      <c r="Q11" s="388"/>
      <c r="R11" s="387"/>
      <c r="S11" s="412"/>
      <c r="U11" s="385"/>
      <c r="V11" s="385"/>
      <c r="W11" s="385"/>
      <c r="X11" s="385"/>
      <c r="Y11" s="385"/>
      <c r="Z11" s="379"/>
      <c r="AA11" s="379"/>
      <c r="AB11" s="379"/>
    </row>
    <row r="12" spans="1:37" ht="18" customHeight="1">
      <c r="A12" s="400"/>
      <c r="B12" s="388" t="s">
        <v>1177</v>
      </c>
      <c r="C12" s="383" t="s">
        <v>1406</v>
      </c>
      <c r="D12" s="383"/>
      <c r="E12" s="383"/>
      <c r="F12" s="383"/>
      <c r="G12" s="383"/>
      <c r="H12" s="3284"/>
      <c r="I12" s="3285"/>
      <c r="J12" s="1999" t="s">
        <v>1403</v>
      </c>
      <c r="M12" s="2000"/>
      <c r="N12" s="2000"/>
      <c r="O12" s="388"/>
      <c r="P12" s="388"/>
      <c r="Q12" s="388"/>
      <c r="R12" s="387"/>
      <c r="S12" s="412"/>
    </row>
    <row r="13" spans="1:37" ht="3.6" customHeight="1">
      <c r="A13" s="400"/>
      <c r="B13" s="388"/>
      <c r="C13" s="383"/>
      <c r="D13" s="383"/>
      <c r="E13" s="383"/>
      <c r="F13" s="383"/>
      <c r="G13" s="383"/>
      <c r="H13" s="403"/>
      <c r="I13" s="403"/>
      <c r="L13" s="383"/>
      <c r="M13" s="2000"/>
      <c r="N13" s="2000"/>
      <c r="O13" s="388"/>
      <c r="P13" s="388"/>
      <c r="Q13" s="388"/>
      <c r="R13" s="387"/>
      <c r="S13" s="412"/>
    </row>
    <row r="14" spans="1:37" ht="18" customHeight="1">
      <c r="A14" s="400"/>
      <c r="B14" s="395" t="s">
        <v>1179</v>
      </c>
      <c r="C14" s="383" t="s">
        <v>1407</v>
      </c>
      <c r="D14" s="383"/>
      <c r="E14" s="383"/>
      <c r="F14" s="383"/>
      <c r="G14" s="383"/>
      <c r="H14" s="3299"/>
      <c r="I14" s="3300"/>
      <c r="M14" s="2000"/>
      <c r="N14" s="2000"/>
      <c r="O14" s="380"/>
      <c r="P14" s="380"/>
      <c r="Q14" s="380"/>
      <c r="R14" s="2034"/>
      <c r="S14" s="412"/>
    </row>
    <row r="15" spans="1:37" ht="3.6" customHeight="1">
      <c r="A15" s="400"/>
      <c r="B15" s="395"/>
      <c r="C15" s="383"/>
      <c r="D15" s="383"/>
      <c r="E15" s="383"/>
      <c r="F15" s="383"/>
      <c r="G15" s="383"/>
      <c r="H15" s="380"/>
      <c r="I15" s="380"/>
      <c r="J15" s="383"/>
      <c r="L15" s="2000"/>
      <c r="M15" s="2001"/>
      <c r="N15" s="2000"/>
      <c r="O15" s="380"/>
      <c r="P15" s="380"/>
      <c r="Q15" s="380"/>
      <c r="R15" s="2034"/>
      <c r="S15" s="412"/>
    </row>
    <row r="16" spans="1:37" ht="18" customHeight="1">
      <c r="A16" s="400"/>
      <c r="B16" s="395"/>
      <c r="C16" s="383"/>
      <c r="D16" s="383"/>
      <c r="E16" s="383"/>
      <c r="F16" s="383"/>
      <c r="G16" s="383"/>
      <c r="H16" s="2035"/>
      <c r="I16" s="2035"/>
      <c r="J16" s="383"/>
      <c r="K16" s="383"/>
      <c r="L16" s="1999"/>
      <c r="M16" s="1999"/>
      <c r="N16" s="1999"/>
      <c r="O16" s="1999"/>
      <c r="P16" s="1999"/>
      <c r="Q16" s="1999"/>
      <c r="R16" s="1999"/>
      <c r="S16" s="412"/>
      <c r="U16" s="402"/>
      <c r="V16" s="402"/>
      <c r="W16" s="402"/>
      <c r="X16" s="402"/>
      <c r="Y16" s="402"/>
      <c r="Z16" s="402"/>
      <c r="AA16" s="402"/>
      <c r="AB16" s="402"/>
    </row>
    <row r="17" spans="1:28" ht="20.100000000000001" customHeight="1">
      <c r="A17" s="400"/>
      <c r="B17" s="395"/>
      <c r="C17" s="383"/>
      <c r="D17" s="383"/>
      <c r="E17" s="383"/>
      <c r="F17" s="383"/>
      <c r="G17" s="383"/>
      <c r="H17" s="2035"/>
      <c r="I17" s="2035"/>
      <c r="J17" s="383"/>
      <c r="K17" s="383"/>
      <c r="L17" s="1999"/>
      <c r="M17" s="1999"/>
      <c r="N17" s="1999"/>
      <c r="O17" s="1999"/>
      <c r="P17" s="1999"/>
      <c r="Q17" s="1999"/>
      <c r="R17" s="1999"/>
      <c r="S17" s="412"/>
      <c r="U17" s="402"/>
      <c r="V17" s="402"/>
      <c r="W17" s="402"/>
      <c r="X17" s="402"/>
      <c r="Y17" s="402"/>
      <c r="Z17" s="402"/>
      <c r="AA17" s="402"/>
      <c r="AB17" s="402"/>
    </row>
    <row r="18" spans="1:28" ht="20.100000000000001" customHeight="1">
      <c r="A18" s="400"/>
      <c r="B18" s="395"/>
      <c r="C18" s="383"/>
      <c r="D18" s="383"/>
      <c r="E18" s="383"/>
      <c r="F18" s="383"/>
      <c r="G18" s="383"/>
      <c r="H18" s="2035"/>
      <c r="I18" s="2035"/>
      <c r="J18" s="383"/>
      <c r="K18" s="383"/>
      <c r="L18" s="1999"/>
      <c r="M18" s="1999"/>
      <c r="N18" s="1999"/>
      <c r="O18" s="1999"/>
      <c r="P18" s="1999"/>
      <c r="Q18" s="1999"/>
      <c r="R18" s="1999"/>
      <c r="S18" s="412"/>
      <c r="U18" s="402"/>
      <c r="V18" s="402"/>
      <c r="W18" s="402"/>
      <c r="X18" s="402"/>
      <c r="Y18" s="402"/>
      <c r="Z18" s="402"/>
      <c r="AA18" s="402"/>
      <c r="AB18" s="402"/>
    </row>
    <row r="19" spans="1:28" ht="20.100000000000001" customHeight="1">
      <c r="A19" s="400"/>
      <c r="B19" s="395"/>
      <c r="C19" s="383"/>
      <c r="D19" s="383"/>
      <c r="E19" s="383"/>
      <c r="F19" s="383"/>
      <c r="G19" s="383"/>
      <c r="H19" s="2035"/>
      <c r="I19" s="2035"/>
      <c r="J19" s="383"/>
      <c r="K19" s="383"/>
      <c r="L19" s="1999"/>
      <c r="M19" s="1999"/>
      <c r="N19" s="1999"/>
      <c r="O19" s="1999"/>
      <c r="P19" s="1999"/>
      <c r="Q19" s="1999"/>
      <c r="R19" s="1999"/>
      <c r="S19" s="412"/>
      <c r="U19" s="402"/>
      <c r="V19" s="402"/>
      <c r="W19" s="402"/>
      <c r="X19" s="402"/>
      <c r="Y19" s="402"/>
      <c r="Z19" s="402"/>
      <c r="AA19" s="402"/>
      <c r="AB19" s="402"/>
    </row>
    <row r="20" spans="1:28" ht="20.100000000000001" customHeight="1">
      <c r="A20" s="400"/>
      <c r="B20" s="395"/>
      <c r="C20" s="383"/>
      <c r="D20" s="383"/>
      <c r="E20" s="383"/>
      <c r="F20" s="383"/>
      <c r="G20" s="383"/>
      <c r="H20" s="2035"/>
      <c r="I20" s="2035"/>
      <c r="J20" s="383"/>
      <c r="K20" s="383"/>
      <c r="L20" s="1999"/>
      <c r="M20" s="1999"/>
      <c r="N20" s="1999"/>
      <c r="O20" s="1999"/>
      <c r="P20" s="1999"/>
      <c r="Q20" s="1999"/>
      <c r="R20" s="1999"/>
      <c r="S20" s="412"/>
      <c r="U20" s="402"/>
      <c r="V20" s="402"/>
      <c r="W20" s="402"/>
      <c r="X20" s="402"/>
      <c r="Y20" s="402"/>
      <c r="Z20" s="402"/>
      <c r="AA20" s="402"/>
      <c r="AB20" s="402"/>
    </row>
    <row r="21" spans="1:28" ht="24" customHeight="1">
      <c r="A21" s="400"/>
      <c r="B21" s="395"/>
      <c r="C21" s="383"/>
      <c r="D21" s="383"/>
      <c r="E21" s="383"/>
      <c r="F21" s="383"/>
      <c r="G21" s="383"/>
      <c r="H21" s="2035"/>
      <c r="I21" s="2035"/>
      <c r="J21" s="383"/>
      <c r="K21" s="3259" t="s">
        <v>1408</v>
      </c>
      <c r="L21" s="3259"/>
      <c r="M21" s="3259"/>
      <c r="N21" s="3259"/>
      <c r="O21" s="3259"/>
      <c r="P21" s="3259"/>
      <c r="Q21" s="3259"/>
      <c r="R21" s="3259"/>
      <c r="S21" s="412"/>
      <c r="U21" s="402"/>
      <c r="V21" s="402"/>
      <c r="W21" s="402"/>
      <c r="X21" s="402"/>
      <c r="Y21" s="402"/>
      <c r="Z21" s="402"/>
      <c r="AA21" s="402"/>
      <c r="AB21" s="402"/>
    </row>
    <row r="22" spans="1:28" ht="20.100000000000001" customHeight="1">
      <c r="A22" s="400"/>
      <c r="B22" s="395"/>
      <c r="C22" s="383"/>
      <c r="D22" s="383"/>
      <c r="E22" s="383"/>
      <c r="F22" s="383"/>
      <c r="G22" s="383"/>
      <c r="H22" s="2035"/>
      <c r="I22" s="2035"/>
      <c r="J22" s="2036"/>
      <c r="K22" s="3259"/>
      <c r="L22" s="3259"/>
      <c r="M22" s="3259"/>
      <c r="N22" s="3259"/>
      <c r="O22" s="3259"/>
      <c r="P22" s="3259"/>
      <c r="Q22" s="3259"/>
      <c r="R22" s="3259"/>
      <c r="S22" s="412"/>
      <c r="U22" s="402"/>
      <c r="V22" s="402"/>
      <c r="W22" s="402"/>
      <c r="X22" s="402"/>
      <c r="Y22" s="402"/>
      <c r="Z22" s="402"/>
      <c r="AA22" s="402"/>
      <c r="AB22" s="402"/>
    </row>
    <row r="23" spans="1:28" ht="8.1" customHeight="1" thickBot="1">
      <c r="A23" s="400"/>
      <c r="B23" s="395"/>
      <c r="C23" s="383"/>
      <c r="D23" s="383"/>
      <c r="E23" s="383"/>
      <c r="F23" s="383"/>
      <c r="G23" s="383"/>
      <c r="H23" s="2035"/>
      <c r="I23" s="2035"/>
      <c r="J23" s="648"/>
      <c r="K23" s="3259"/>
      <c r="L23" s="3259"/>
      <c r="M23" s="3259"/>
      <c r="N23" s="3259"/>
      <c r="O23" s="3259"/>
      <c r="P23" s="3259"/>
      <c r="Q23" s="3259"/>
      <c r="R23" s="3259"/>
      <c r="S23" s="412"/>
      <c r="U23" s="402"/>
      <c r="V23" s="402"/>
      <c r="W23" s="402"/>
      <c r="X23" s="402"/>
      <c r="Y23" s="402"/>
      <c r="Z23" s="402"/>
      <c r="AA23" s="402"/>
      <c r="AB23" s="402"/>
    </row>
    <row r="24" spans="1:28" ht="16.350000000000001" customHeight="1" thickBot="1">
      <c r="A24" s="448" t="s">
        <v>481</v>
      </c>
      <c r="B24" s="646"/>
      <c r="C24" s="446" t="s">
        <v>1409</v>
      </c>
      <c r="D24" s="446"/>
      <c r="E24" s="446"/>
      <c r="F24" s="446"/>
      <c r="G24" s="446"/>
      <c r="H24" s="446"/>
      <c r="I24" s="446"/>
      <c r="J24" s="446"/>
      <c r="K24" s="446"/>
      <c r="L24" s="446"/>
      <c r="M24" s="446"/>
      <c r="N24" s="446"/>
      <c r="O24" s="446"/>
      <c r="P24" s="446"/>
      <c r="Q24" s="446"/>
      <c r="R24" s="446"/>
      <c r="S24" s="447"/>
      <c r="U24" s="401"/>
      <c r="V24" s="401"/>
      <c r="W24" s="401"/>
      <c r="X24" s="401"/>
      <c r="Y24" s="401"/>
      <c r="Z24" s="401"/>
      <c r="AA24" s="401"/>
      <c r="AB24" s="401"/>
    </row>
    <row r="25" spans="1:28" ht="18" customHeight="1">
      <c r="A25" s="400"/>
      <c r="B25" s="2003" t="s">
        <v>1011</v>
      </c>
      <c r="C25" s="383" t="s">
        <v>1410</v>
      </c>
      <c r="D25" s="383"/>
      <c r="E25" s="383"/>
      <c r="F25" s="383"/>
      <c r="G25" s="383"/>
      <c r="H25" s="383"/>
      <c r="I25" s="383"/>
      <c r="J25" s="383"/>
      <c r="K25" s="383"/>
      <c r="L25" s="383"/>
      <c r="M25" s="383"/>
      <c r="N25" s="383"/>
      <c r="O25" s="383"/>
      <c r="P25" s="383"/>
      <c r="S25" s="412"/>
      <c r="AB25" s="385"/>
    </row>
    <row r="26" spans="1:28" ht="18" customHeight="1">
      <c r="A26" s="400"/>
      <c r="D26" s="3310" t="str">
        <f>IF(ISBLANK(H4),"",H4)</f>
        <v/>
      </c>
      <c r="E26" s="3311"/>
      <c r="F26" s="3330" t="s">
        <v>1456</v>
      </c>
      <c r="G26" s="3331"/>
      <c r="H26" s="3249" t="str">
        <f>IF(ISBLANK(H12),"",H12)</f>
        <v/>
      </c>
      <c r="I26" s="3250"/>
      <c r="J26" s="383" t="s">
        <v>1457</v>
      </c>
      <c r="L26" s="3244" t="str">
        <f>IF(ISBLANK(H12),"",D26/H26)</f>
        <v/>
      </c>
      <c r="M26" s="3315"/>
      <c r="N26" s="383" t="s">
        <v>1089</v>
      </c>
      <c r="R26" s="394"/>
      <c r="S26" s="412"/>
      <c r="AA26" s="385"/>
      <c r="AB26" s="385"/>
    </row>
    <row r="27" spans="1:28" ht="6" customHeight="1">
      <c r="A27" s="400"/>
      <c r="C27" s="1551"/>
      <c r="D27" s="1551"/>
      <c r="E27" s="1551"/>
      <c r="F27" s="1551"/>
      <c r="G27" s="2000"/>
      <c r="S27" s="412"/>
    </row>
    <row r="28" spans="1:28" ht="18" customHeight="1">
      <c r="A28" s="2037"/>
      <c r="B28" s="1828" t="s">
        <v>1176</v>
      </c>
      <c r="C28" s="1829"/>
      <c r="D28" s="1830"/>
      <c r="E28" s="1830"/>
      <c r="F28" s="1831"/>
      <c r="G28" s="1831"/>
      <c r="H28" s="1832"/>
      <c r="I28" s="1832"/>
      <c r="J28" s="1831"/>
      <c r="K28" s="1829"/>
      <c r="L28" s="1833"/>
      <c r="M28" s="1834"/>
      <c r="N28" s="1831"/>
      <c r="O28" s="1829"/>
      <c r="P28" s="1829"/>
      <c r="Q28" s="1829"/>
      <c r="R28" s="1829"/>
      <c r="S28" s="2007"/>
    </row>
    <row r="29" spans="1:28" ht="18" customHeight="1">
      <c r="A29" s="2038"/>
      <c r="B29" s="2008" t="s">
        <v>1019</v>
      </c>
      <c r="C29" s="3064" t="s">
        <v>1178</v>
      </c>
      <c r="D29" s="3064"/>
      <c r="E29" s="3064"/>
      <c r="F29" s="3064"/>
      <c r="G29" s="3064"/>
      <c r="H29" s="3064"/>
      <c r="I29" s="3064"/>
      <c r="J29" s="3064"/>
      <c r="K29" s="1559"/>
      <c r="L29" s="3008"/>
      <c r="M29" s="3009"/>
      <c r="N29" s="8" t="s">
        <v>1089</v>
      </c>
      <c r="Q29" s="528"/>
      <c r="R29" s="528"/>
      <c r="S29" s="412"/>
    </row>
    <row r="30" spans="1:28" ht="18" customHeight="1">
      <c r="A30" s="2039"/>
      <c r="B30" s="1843"/>
      <c r="C30" s="3101"/>
      <c r="D30" s="3101"/>
      <c r="E30" s="3101"/>
      <c r="F30" s="3101"/>
      <c r="G30" s="3101"/>
      <c r="H30" s="3101"/>
      <c r="I30" s="3101"/>
      <c r="J30" s="3101"/>
      <c r="K30" s="1844"/>
      <c r="L30" s="1844"/>
      <c r="M30" s="1844"/>
      <c r="N30" s="1845"/>
      <c r="O30" s="1846"/>
      <c r="P30" s="1846"/>
      <c r="Q30" s="1846"/>
      <c r="R30" s="1846"/>
      <c r="S30" s="2010"/>
    </row>
    <row r="31" spans="1:28" ht="5.0999999999999996" customHeight="1">
      <c r="A31" s="400"/>
      <c r="B31" s="672"/>
      <c r="C31" s="528"/>
      <c r="D31" s="1962"/>
      <c r="E31" s="1962"/>
      <c r="F31" s="1203"/>
      <c r="G31" s="1203"/>
      <c r="H31" s="1260"/>
      <c r="I31" s="1260"/>
      <c r="J31" s="1203"/>
      <c r="K31" s="528"/>
      <c r="L31" s="1093"/>
      <c r="M31" s="2040"/>
      <c r="N31" s="1203"/>
      <c r="O31" s="528"/>
      <c r="P31" s="528"/>
      <c r="Q31" s="528"/>
      <c r="R31" s="528"/>
      <c r="S31" s="412"/>
    </row>
    <row r="32" spans="1:28" ht="3.95" customHeight="1">
      <c r="A32" s="400"/>
      <c r="B32" s="672"/>
      <c r="C32" s="537"/>
      <c r="D32" s="537"/>
      <c r="E32" s="537"/>
      <c r="F32" s="537"/>
      <c r="G32" s="1553"/>
      <c r="H32" s="528"/>
      <c r="I32" s="528"/>
      <c r="J32" s="528"/>
      <c r="K32" s="528"/>
      <c r="L32" s="528"/>
      <c r="M32" s="528"/>
      <c r="N32" s="528"/>
      <c r="O32" s="528"/>
      <c r="P32" s="528"/>
      <c r="Q32" s="528"/>
      <c r="R32" s="1203"/>
      <c r="S32" s="412"/>
    </row>
    <row r="33" spans="1:47" ht="18" customHeight="1">
      <c r="A33" s="400"/>
      <c r="B33" s="1552" t="s">
        <v>1168</v>
      </c>
      <c r="C33" s="2998" t="s">
        <v>1413</v>
      </c>
      <c r="D33" s="2998"/>
      <c r="E33" s="2998"/>
      <c r="F33" s="2998"/>
      <c r="G33" s="2998"/>
      <c r="H33" s="3065">
        <f>MAX(L26,L29)</f>
        <v>0</v>
      </c>
      <c r="I33" s="3066"/>
      <c r="J33" s="1203" t="s">
        <v>1089</v>
      </c>
      <c r="K33" s="3147" t="s">
        <v>1414</v>
      </c>
      <c r="L33" s="3147"/>
      <c r="M33" s="3147"/>
      <c r="N33" s="3147"/>
      <c r="O33" s="3147"/>
      <c r="P33" s="3147"/>
      <c r="Q33" s="3147"/>
      <c r="R33" s="3147"/>
      <c r="S33" s="412"/>
    </row>
    <row r="34" spans="1:47" ht="6" customHeight="1">
      <c r="A34" s="400"/>
      <c r="C34" s="1551"/>
      <c r="D34" s="1551"/>
      <c r="E34" s="1551"/>
      <c r="F34" s="1551"/>
      <c r="G34" s="2000"/>
      <c r="S34" s="412"/>
    </row>
    <row r="35" spans="1:47" ht="20.100000000000001" customHeight="1">
      <c r="A35" s="400"/>
      <c r="B35" s="2003" t="s">
        <v>1172</v>
      </c>
      <c r="C35" s="383" t="s">
        <v>1415</v>
      </c>
      <c r="D35" s="383"/>
      <c r="E35" s="383"/>
      <c r="F35" s="383"/>
      <c r="H35" s="3284"/>
      <c r="I35" s="3285"/>
      <c r="J35" s="383" t="s">
        <v>609</v>
      </c>
      <c r="K35" s="2015" t="s">
        <v>1458</v>
      </c>
      <c r="L35" s="383"/>
      <c r="S35" s="412"/>
    </row>
    <row r="36" spans="1:47" ht="18" customHeight="1">
      <c r="A36" s="400"/>
      <c r="B36" s="2003" t="s">
        <v>1177</v>
      </c>
      <c r="C36" s="383" t="s">
        <v>1459</v>
      </c>
      <c r="D36" s="383"/>
      <c r="E36" s="383"/>
      <c r="F36" s="383"/>
      <c r="G36" s="383"/>
      <c r="H36" s="383"/>
      <c r="I36" s="383"/>
      <c r="J36" s="383"/>
      <c r="K36" s="383"/>
      <c r="L36" s="383"/>
      <c r="M36" s="383"/>
      <c r="S36" s="412"/>
    </row>
    <row r="37" spans="1:47" ht="20.100000000000001" customHeight="1">
      <c r="A37" s="400"/>
      <c r="B37" s="2003"/>
      <c r="D37" s="3244" t="str">
        <f>IF(ISBLANK(H35),"",H35)</f>
        <v/>
      </c>
      <c r="E37" s="3245"/>
      <c r="F37" s="383" t="s">
        <v>1389</v>
      </c>
      <c r="G37" s="3244" t="str">
        <f>IF(ISBLANK(H26), "", H26)</f>
        <v/>
      </c>
      <c r="H37" s="3245"/>
      <c r="I37" s="383" t="s">
        <v>1457</v>
      </c>
      <c r="K37" s="3244" t="str">
        <f>IF(ISBLANK(H35),"",D37*G37)</f>
        <v/>
      </c>
      <c r="L37" s="3245"/>
      <c r="M37" s="383" t="s">
        <v>1115</v>
      </c>
      <c r="O37" s="2015" t="s">
        <v>1419</v>
      </c>
      <c r="R37" s="394"/>
      <c r="S37" s="412"/>
    </row>
    <row r="38" spans="1:47" ht="18" customHeight="1">
      <c r="A38" s="400"/>
      <c r="B38" s="2003" t="s">
        <v>1179</v>
      </c>
      <c r="C38" s="383" t="s">
        <v>1460</v>
      </c>
      <c r="D38" s="383"/>
      <c r="E38" s="383"/>
      <c r="F38" s="383"/>
      <c r="G38" s="383"/>
      <c r="H38" s="383"/>
      <c r="I38" s="383"/>
      <c r="J38" s="383"/>
      <c r="K38" s="383"/>
      <c r="L38" s="383"/>
      <c r="M38" s="383"/>
      <c r="S38" s="412"/>
    </row>
    <row r="39" spans="1:47" ht="20.100000000000001" customHeight="1">
      <c r="A39" s="400"/>
      <c r="B39" s="2003"/>
      <c r="D39" s="3288" t="str">
        <f>IF(ISBLANK(H12),"",H33)</f>
        <v/>
      </c>
      <c r="E39" s="3289"/>
      <c r="F39" s="2041" t="s">
        <v>1461</v>
      </c>
      <c r="G39" s="3244" t="str">
        <f>IF(ISBLANK(H35), "", H35)</f>
        <v/>
      </c>
      <c r="H39" s="3245"/>
      <c r="I39" s="1999" t="s">
        <v>1230</v>
      </c>
      <c r="J39" s="3244" t="str">
        <f>IF(ISBLANK(H35),"",D39/G39)</f>
        <v/>
      </c>
      <c r="K39" s="3245"/>
      <c r="L39" s="1999" t="s">
        <v>609</v>
      </c>
      <c r="S39" s="412"/>
    </row>
    <row r="40" spans="1:47" ht="5.0999999999999996" customHeight="1">
      <c r="A40" s="400"/>
      <c r="B40" s="2003"/>
      <c r="D40" s="414"/>
      <c r="E40" s="414"/>
      <c r="F40" s="383"/>
      <c r="G40" s="389"/>
      <c r="H40" s="389"/>
      <c r="I40" s="383"/>
      <c r="J40" s="389"/>
      <c r="K40" s="389"/>
      <c r="L40" s="383"/>
      <c r="S40" s="412"/>
    </row>
    <row r="41" spans="1:47" s="375" customFormat="1" ht="18" customHeight="1">
      <c r="A41" s="1353"/>
      <c r="B41" s="3293" t="s">
        <v>1328</v>
      </c>
      <c r="C41" s="3293"/>
      <c r="D41" s="3293"/>
      <c r="E41" s="3293"/>
      <c r="F41" s="3293"/>
      <c r="G41" s="3293"/>
      <c r="H41" s="3293"/>
      <c r="I41" s="3293"/>
      <c r="J41" s="3293"/>
      <c r="K41" s="3314"/>
      <c r="L41" s="3252"/>
      <c r="M41" s="3252"/>
      <c r="N41" s="376" t="s">
        <v>609</v>
      </c>
      <c r="R41" s="376"/>
      <c r="S41" s="1371"/>
    </row>
    <row r="42" spans="1:47" ht="6" customHeight="1" thickBot="1">
      <c r="A42" s="399"/>
      <c r="B42" s="410"/>
      <c r="C42" s="409"/>
      <c r="D42" s="409"/>
      <c r="E42" s="409"/>
      <c r="F42" s="409"/>
      <c r="G42" s="409"/>
      <c r="H42" s="409"/>
      <c r="I42" s="409"/>
      <c r="J42" s="409"/>
      <c r="K42" s="409"/>
      <c r="L42" s="409"/>
      <c r="M42" s="391"/>
      <c r="N42" s="391"/>
      <c r="O42" s="382"/>
      <c r="P42" s="391"/>
      <c r="Q42" s="391"/>
      <c r="R42" s="381"/>
      <c r="S42" s="407"/>
    </row>
    <row r="43" spans="1:47" ht="16.350000000000001" customHeight="1" thickBot="1">
      <c r="A43" s="651" t="s">
        <v>487</v>
      </c>
      <c r="B43" s="646"/>
      <c r="C43" s="446" t="s">
        <v>1462</v>
      </c>
      <c r="D43" s="446"/>
      <c r="E43" s="446"/>
      <c r="F43" s="446"/>
      <c r="G43" s="446"/>
      <c r="H43" s="446"/>
      <c r="I43" s="446"/>
      <c r="J43" s="446"/>
      <c r="K43" s="446"/>
      <c r="L43" s="446"/>
      <c r="M43" s="446"/>
      <c r="N43" s="446"/>
      <c r="O43" s="446"/>
      <c r="P43" s="446"/>
      <c r="Q43" s="446"/>
      <c r="R43" s="446"/>
      <c r="S43" s="447"/>
      <c r="AB43" s="385"/>
      <c r="AS43" s="385"/>
      <c r="AT43" s="385"/>
      <c r="AU43" s="385"/>
    </row>
    <row r="44" spans="1:47" ht="6" customHeight="1">
      <c r="A44" s="431"/>
      <c r="B44" s="432"/>
      <c r="C44" s="433"/>
      <c r="D44" s="433"/>
      <c r="E44" s="433"/>
      <c r="F44" s="433"/>
      <c r="G44" s="433"/>
      <c r="H44" s="433"/>
      <c r="I44" s="433"/>
      <c r="J44" s="433"/>
      <c r="K44" s="433"/>
      <c r="L44" s="433"/>
      <c r="M44" s="689"/>
      <c r="N44" s="689"/>
      <c r="O44" s="690"/>
      <c r="P44" s="689"/>
      <c r="Q44" s="689"/>
      <c r="R44" s="434"/>
      <c r="S44" s="435"/>
    </row>
    <row r="45" spans="1:47" ht="18" customHeight="1">
      <c r="A45" s="400"/>
      <c r="B45" s="393" t="s">
        <v>1011</v>
      </c>
      <c r="C45" s="394" t="s">
        <v>1423</v>
      </c>
      <c r="M45" s="384"/>
      <c r="S45" s="412"/>
    </row>
    <row r="46" spans="1:47" ht="18" customHeight="1">
      <c r="A46" s="400"/>
      <c r="B46" s="393"/>
      <c r="D46" s="3312">
        <f>H35</f>
        <v>0</v>
      </c>
      <c r="E46" s="3313"/>
      <c r="F46" s="383" t="s">
        <v>1229</v>
      </c>
      <c r="G46" s="3312">
        <f>H14</f>
        <v>0</v>
      </c>
      <c r="H46" s="3313"/>
      <c r="I46" s="385" t="s">
        <v>1240</v>
      </c>
      <c r="J46" s="3312">
        <f>IF(ISBLANK(D46),"",D46*G46)</f>
        <v>0</v>
      </c>
      <c r="K46" s="3313"/>
      <c r="L46" s="383" t="s">
        <v>609</v>
      </c>
      <c r="S46" s="412"/>
    </row>
    <row r="47" spans="1:47" ht="5.0999999999999996" customHeight="1">
      <c r="A47" s="400"/>
      <c r="B47" s="393"/>
      <c r="C47" s="384"/>
      <c r="D47" s="384"/>
      <c r="E47" s="385"/>
      <c r="F47" s="384"/>
      <c r="G47" s="384"/>
      <c r="H47" s="385"/>
      <c r="I47" s="384"/>
      <c r="J47" s="384"/>
      <c r="K47" s="385"/>
      <c r="S47" s="412"/>
    </row>
    <row r="48" spans="1:47" ht="18" customHeight="1">
      <c r="A48" s="400"/>
      <c r="B48" s="393" t="s">
        <v>1019</v>
      </c>
      <c r="C48" s="2042" t="s">
        <v>1463</v>
      </c>
      <c r="D48" s="384"/>
      <c r="E48" s="385"/>
      <c r="F48" s="384"/>
      <c r="G48" s="384"/>
      <c r="H48" s="385"/>
      <c r="I48" s="384"/>
      <c r="J48" s="384"/>
      <c r="K48" s="385"/>
      <c r="S48" s="412"/>
    </row>
    <row r="49" spans="1:45" ht="18" customHeight="1">
      <c r="A49" s="400"/>
      <c r="B49" s="393"/>
      <c r="C49" s="394" t="s">
        <v>1464</v>
      </c>
      <c r="S49" s="412"/>
    </row>
    <row r="50" spans="1:45" ht="18" customHeight="1">
      <c r="A50" s="400"/>
      <c r="B50" s="393"/>
      <c r="H50" s="3244">
        <f>IF(ISBLANK(H10),"",J46)</f>
        <v>0</v>
      </c>
      <c r="I50" s="3245"/>
      <c r="J50" s="2161" t="s">
        <v>1426</v>
      </c>
      <c r="K50" s="3244">
        <f>H35</f>
        <v>0</v>
      </c>
      <c r="L50" s="3245"/>
      <c r="M50" s="2161" t="s">
        <v>1230</v>
      </c>
      <c r="N50" s="3244" t="str">
        <f>IF(ISBLANK(H12),"",(H50-K50))</f>
        <v/>
      </c>
      <c r="O50" s="3245"/>
      <c r="P50" s="383" t="s">
        <v>609</v>
      </c>
      <c r="S50" s="412"/>
    </row>
    <row r="51" spans="1:45" ht="6" customHeight="1" thickBot="1">
      <c r="A51" s="399"/>
      <c r="B51" s="392"/>
      <c r="C51" s="391"/>
      <c r="D51" s="391"/>
      <c r="E51" s="382"/>
      <c r="F51" s="391"/>
      <c r="G51" s="391"/>
      <c r="H51" s="382"/>
      <c r="I51" s="391"/>
      <c r="J51" s="391"/>
      <c r="K51" s="382"/>
      <c r="L51" s="409"/>
      <c r="M51" s="409"/>
      <c r="N51" s="409"/>
      <c r="O51" s="409"/>
      <c r="P51" s="409"/>
      <c r="Q51" s="409"/>
      <c r="R51" s="381"/>
      <c r="S51" s="407"/>
    </row>
    <row r="52" spans="1:45" s="528" customFormat="1" ht="18" customHeight="1" thickBot="1">
      <c r="A52" s="543" t="s">
        <v>1428</v>
      </c>
      <c r="B52" s="542"/>
      <c r="C52" s="541" t="s">
        <v>1465</v>
      </c>
      <c r="D52" s="540"/>
      <c r="E52" s="540"/>
      <c r="F52" s="540"/>
      <c r="G52" s="540"/>
      <c r="H52" s="540"/>
      <c r="I52" s="1571"/>
      <c r="J52" s="2689" t="s">
        <v>551</v>
      </c>
      <c r="K52" s="2689"/>
      <c r="L52" s="2689"/>
      <c r="M52" s="2689"/>
      <c r="N52" s="2689"/>
      <c r="O52" s="2688" t="str">
        <f>IF(ISBLANK(Prelim!S5)," ",Prelim!S5)</f>
        <v xml:space="preserve"> </v>
      </c>
      <c r="P52" s="2688"/>
      <c r="Q52" s="2688"/>
      <c r="R52" s="540"/>
      <c r="S52" s="539"/>
      <c r="W52" s="3327"/>
      <c r="X52" s="3327"/>
      <c r="Y52" s="3327"/>
      <c r="Z52" s="3327"/>
      <c r="AA52" s="3327"/>
      <c r="AK52" s="652"/>
      <c r="AM52" s="653"/>
      <c r="AN52" s="654"/>
      <c r="AO52" s="652"/>
      <c r="AQ52" s="654"/>
    </row>
    <row r="53" spans="1:45" s="528" customFormat="1" ht="5.0999999999999996" customHeight="1">
      <c r="A53" s="661"/>
      <c r="B53" s="662"/>
      <c r="C53" s="663"/>
      <c r="D53" s="663"/>
      <c r="E53" s="663"/>
      <c r="F53" s="663"/>
      <c r="G53" s="663"/>
      <c r="H53" s="663"/>
      <c r="I53" s="663"/>
      <c r="J53" s="663"/>
      <c r="K53" s="663"/>
      <c r="L53" s="663"/>
      <c r="M53" s="663"/>
      <c r="N53" s="663"/>
      <c r="O53" s="663"/>
      <c r="P53" s="663"/>
      <c r="Q53" s="663"/>
      <c r="R53" s="663"/>
      <c r="S53" s="664"/>
      <c r="AK53" s="652"/>
      <c r="AM53" s="653"/>
      <c r="AN53" s="654"/>
      <c r="AO53" s="652"/>
      <c r="AQ53" s="654"/>
    </row>
    <row r="54" spans="1:45" s="528" customFormat="1" ht="18" customHeight="1">
      <c r="A54" s="532"/>
      <c r="B54" s="529"/>
      <c r="C54" s="1203" t="s">
        <v>1182</v>
      </c>
      <c r="G54" s="2958" t="str">
        <f>IF('Design Details &amp; Summary'!AA77=0,"",IF('Design Details &amp; Summary'!AA77=4,'Design Details &amp; Summary'!O81,""))</f>
        <v/>
      </c>
      <c r="H54" s="3028"/>
      <c r="I54" s="3028"/>
      <c r="J54" s="2959"/>
      <c r="L54" s="534" t="s">
        <v>1466</v>
      </c>
      <c r="S54" s="531"/>
      <c r="AK54" s="652"/>
      <c r="AM54" s="653"/>
      <c r="AN54" s="654"/>
      <c r="AO54" s="652"/>
      <c r="AQ54" s="654"/>
    </row>
    <row r="55" spans="1:45" s="528" customFormat="1" ht="18" customHeight="1">
      <c r="A55" s="532"/>
      <c r="B55" s="529" t="s">
        <v>1011</v>
      </c>
      <c r="C55" s="3130" t="s">
        <v>1431</v>
      </c>
      <c r="D55" s="3130"/>
      <c r="E55" s="3130"/>
      <c r="F55" s="3130"/>
      <c r="G55" s="3130"/>
      <c r="H55" s="3130"/>
      <c r="I55" s="3130"/>
      <c r="J55" s="3130"/>
      <c r="K55" s="3130"/>
      <c r="L55" s="3130"/>
      <c r="M55" s="3130"/>
      <c r="N55" s="3130"/>
      <c r="O55" s="3130"/>
      <c r="P55" s="3130"/>
      <c r="Q55" s="3130"/>
      <c r="R55" s="3130"/>
      <c r="S55" s="531"/>
      <c r="AK55" s="652"/>
      <c r="AM55" s="653"/>
      <c r="AN55" s="654"/>
      <c r="AO55" s="652"/>
      <c r="AQ55" s="654"/>
    </row>
    <row r="56" spans="1:45" s="528" customFormat="1" ht="3.6" customHeight="1">
      <c r="A56" s="532"/>
      <c r="B56" s="529"/>
      <c r="S56" s="531"/>
      <c r="AK56" s="652"/>
      <c r="AM56" s="653"/>
      <c r="AN56" s="654"/>
      <c r="AO56" s="652"/>
      <c r="AQ56" s="654"/>
    </row>
    <row r="57" spans="1:45" s="528" customFormat="1" ht="18" customHeight="1">
      <c r="A57" s="532"/>
      <c r="B57" s="529"/>
      <c r="C57" s="3252"/>
      <c r="D57" s="3252"/>
      <c r="E57" s="1909" t="s">
        <v>629</v>
      </c>
      <c r="F57" s="3332"/>
      <c r="G57" s="3332"/>
      <c r="H57" s="1909"/>
      <c r="S57" s="531"/>
      <c r="V57" s="3301" t="s">
        <v>1258</v>
      </c>
      <c r="W57" s="3301"/>
      <c r="X57" s="3301"/>
      <c r="Y57" s="3301"/>
      <c r="Z57" s="3301"/>
      <c r="AA57" s="3301"/>
      <c r="AE57" s="1203"/>
      <c r="AF57" s="1203"/>
      <c r="AG57" s="1203"/>
      <c r="AN57" s="654"/>
      <c r="AS57" s="652"/>
    </row>
    <row r="58" spans="1:45" s="528" customFormat="1" ht="3.6" customHeight="1">
      <c r="A58" s="532"/>
      <c r="B58" s="529"/>
      <c r="M58" s="3030" t="s">
        <v>1247</v>
      </c>
      <c r="N58" s="3030"/>
      <c r="O58" s="3030"/>
      <c r="P58" s="3030"/>
      <c r="Q58" s="3030"/>
      <c r="S58" s="531"/>
    </row>
    <row r="59" spans="1:45" s="528" customFormat="1" ht="5.0999999999999996" customHeight="1">
      <c r="A59" s="532"/>
      <c r="B59" s="529"/>
      <c r="M59" s="3030"/>
      <c r="N59" s="3030"/>
      <c r="O59" s="3030"/>
      <c r="P59" s="3030"/>
      <c r="Q59" s="3030"/>
      <c r="S59" s="531"/>
      <c r="AK59" s="652"/>
      <c r="AM59" s="653"/>
      <c r="AN59" s="654"/>
      <c r="AO59" s="652"/>
      <c r="AQ59" s="654"/>
    </row>
    <row r="60" spans="1:45" ht="18" customHeight="1">
      <c r="A60" s="400"/>
      <c r="B60" s="393" t="s">
        <v>1019</v>
      </c>
      <c r="C60" s="383" t="s">
        <v>1432</v>
      </c>
      <c r="D60" s="383"/>
      <c r="E60" s="383"/>
      <c r="F60" s="383"/>
      <c r="G60" s="383"/>
      <c r="H60" s="3246" t="str">
        <f>IF(G54="rock"," ",IF('Design Details &amp; Summary'!AA77=0,"",IF('Design Details &amp; Summary'!AA77=4,'Design Details &amp; Summary'!O83,"")))</f>
        <v/>
      </c>
      <c r="I60" s="3246"/>
      <c r="J60" s="3246"/>
      <c r="K60" s="3246"/>
      <c r="M60" s="3030"/>
      <c r="N60" s="3030"/>
      <c r="O60" s="3030"/>
      <c r="P60" s="3030"/>
      <c r="Q60" s="3030"/>
      <c r="S60" s="412"/>
      <c r="T60" s="655"/>
      <c r="V60" s="3055" t="s">
        <v>122</v>
      </c>
      <c r="W60" s="3056"/>
      <c r="X60" s="3056"/>
      <c r="Y60" s="3056"/>
      <c r="Z60" s="1529">
        <v>12</v>
      </c>
    </row>
    <row r="61" spans="1:45" ht="6" customHeight="1">
      <c r="A61" s="400"/>
      <c r="B61" s="393"/>
      <c r="C61" s="383"/>
      <c r="D61" s="383"/>
      <c r="E61" s="383"/>
      <c r="F61" s="383"/>
      <c r="G61" s="383"/>
      <c r="H61" s="385"/>
      <c r="I61" s="385"/>
      <c r="J61" s="385"/>
      <c r="K61" s="385"/>
      <c r="M61" s="3030"/>
      <c r="N61" s="3030"/>
      <c r="O61" s="3030"/>
      <c r="P61" s="3030"/>
      <c r="Q61" s="3030"/>
      <c r="S61" s="412"/>
      <c r="T61" s="655"/>
      <c r="V61" s="3014" t="s">
        <v>175</v>
      </c>
      <c r="W61" s="3015"/>
      <c r="X61" s="3015"/>
      <c r="Y61" s="3015"/>
      <c r="Z61" s="3004">
        <v>8</v>
      </c>
    </row>
    <row r="62" spans="1:45" ht="18" customHeight="1">
      <c r="A62" s="400"/>
      <c r="B62" s="393"/>
      <c r="C62" s="383"/>
      <c r="D62" s="3260" t="s">
        <v>1467</v>
      </c>
      <c r="E62" s="3260"/>
      <c r="F62" s="3260"/>
      <c r="G62" s="3260"/>
      <c r="H62" s="3252"/>
      <c r="I62" s="3252"/>
      <c r="J62" s="1909" t="s">
        <v>629</v>
      </c>
      <c r="K62" s="385"/>
      <c r="M62" s="3030"/>
      <c r="N62" s="3030"/>
      <c r="O62" s="3030"/>
      <c r="P62" s="3030"/>
      <c r="Q62" s="3030"/>
      <c r="S62" s="412"/>
      <c r="T62" s="655"/>
      <c r="V62" s="3051"/>
      <c r="W62" s="3052"/>
      <c r="X62" s="3052"/>
      <c r="Y62" s="3052"/>
      <c r="Z62" s="3005"/>
    </row>
    <row r="63" spans="1:45" ht="18" customHeight="1">
      <c r="A63" s="400"/>
      <c r="C63" s="394" t="s">
        <v>1434</v>
      </c>
      <c r="M63" s="3030"/>
      <c r="N63" s="3030"/>
      <c r="O63" s="3030"/>
      <c r="P63" s="3030"/>
      <c r="Q63" s="3030"/>
      <c r="S63" s="412"/>
      <c r="V63" s="3011" t="s">
        <v>260</v>
      </c>
      <c r="W63" s="3012"/>
      <c r="X63" s="3012"/>
      <c r="Y63" s="3012"/>
      <c r="Z63" s="1525">
        <v>12</v>
      </c>
      <c r="AA63" s="528"/>
    </row>
    <row r="64" spans="1:45" ht="36" customHeight="1">
      <c r="A64" s="400"/>
      <c r="C64" s="3308"/>
      <c r="D64" s="3308"/>
      <c r="E64" s="3308"/>
      <c r="F64" s="3308"/>
      <c r="G64" s="3308"/>
      <c r="H64" s="3308"/>
      <c r="I64" s="3308"/>
      <c r="J64" s="3308"/>
      <c r="K64" s="3308"/>
      <c r="L64" s="3308"/>
      <c r="M64" s="3308"/>
      <c r="N64" s="3308"/>
      <c r="O64" s="3308"/>
      <c r="P64" s="3308"/>
      <c r="Q64" s="3308"/>
      <c r="R64" s="3308"/>
      <c r="S64" s="412"/>
      <c r="V64" s="3011" t="s">
        <v>286</v>
      </c>
      <c r="W64" s="3012"/>
      <c r="X64" s="3012"/>
      <c r="Y64" s="3012"/>
      <c r="Z64" s="1525">
        <v>16</v>
      </c>
      <c r="AA64" s="528"/>
    </row>
    <row r="65" spans="1:43" ht="6" customHeight="1" thickBot="1">
      <c r="A65" s="399"/>
      <c r="B65" s="410"/>
      <c r="C65" s="391"/>
      <c r="D65" s="391"/>
      <c r="E65" s="382"/>
      <c r="F65" s="391"/>
      <c r="G65" s="391"/>
      <c r="H65" s="409"/>
      <c r="I65" s="409"/>
      <c r="J65" s="409"/>
      <c r="K65" s="409"/>
      <c r="L65" s="409"/>
      <c r="M65" s="409"/>
      <c r="N65" s="409"/>
      <c r="O65" s="409"/>
      <c r="P65" s="409"/>
      <c r="Q65" s="409"/>
      <c r="R65" s="381"/>
      <c r="S65" s="407"/>
      <c r="AA65" s="528"/>
    </row>
    <row r="66" spans="1:43" ht="16.350000000000001" customHeight="1" thickBot="1">
      <c r="A66" s="651" t="s">
        <v>498</v>
      </c>
      <c r="B66" s="646"/>
      <c r="C66" s="446" t="s">
        <v>1435</v>
      </c>
      <c r="D66" s="446"/>
      <c r="E66" s="446"/>
      <c r="F66" s="446"/>
      <c r="G66" s="446"/>
      <c r="H66" s="446"/>
      <c r="I66" s="446"/>
      <c r="J66" s="446"/>
      <c r="K66" s="446"/>
      <c r="L66" s="446"/>
      <c r="M66" s="3286" t="s">
        <v>1164</v>
      </c>
      <c r="N66" s="3286"/>
      <c r="O66" s="3267" t="str">
        <f>IF(ISBLANK('Design Details &amp; Summary'!S3)," ",'Design Details &amp; Summary'!S3)</f>
        <v xml:space="preserve"> </v>
      </c>
      <c r="P66" s="3267"/>
      <c r="Q66" s="446"/>
      <c r="R66" s="446"/>
      <c r="S66" s="447"/>
      <c r="T66" s="387"/>
      <c r="U66" s="387"/>
      <c r="AA66" s="528"/>
      <c r="AB66" s="387"/>
    </row>
    <row r="67" spans="1:43" ht="18" customHeight="1">
      <c r="A67" s="400"/>
      <c r="B67" s="393" t="s">
        <v>1011</v>
      </c>
      <c r="C67" s="394" t="s">
        <v>1436</v>
      </c>
      <c r="S67" s="412"/>
      <c r="AA67" s="528"/>
    </row>
    <row r="68" spans="1:43" ht="20.100000000000001" customHeight="1">
      <c r="A68" s="400"/>
      <c r="B68" s="393"/>
      <c r="C68" s="2165">
        <f>'Design Details &amp; Summary'!G96/12</f>
        <v>0</v>
      </c>
      <c r="D68" s="379" t="s">
        <v>1426</v>
      </c>
      <c r="E68" s="3249" t="str">
        <f>IF(ISBLANK(H12),"",H8)</f>
        <v/>
      </c>
      <c r="F68" s="3250"/>
      <c r="G68" s="379" t="s">
        <v>1208</v>
      </c>
      <c r="H68" s="3249" t="str">
        <f>IF(ISBLANK(H12),"",MAX(1,C68-E68))</f>
        <v/>
      </c>
      <c r="I68" s="3250"/>
      <c r="J68" s="383" t="s">
        <v>609</v>
      </c>
      <c r="K68" s="383" t="s">
        <v>1437</v>
      </c>
      <c r="P68" s="3323"/>
      <c r="Q68" s="3324"/>
      <c r="R68" s="2327" t="s">
        <v>609</v>
      </c>
      <c r="S68" s="412"/>
      <c r="AA68" s="528"/>
      <c r="AI68" s="385"/>
      <c r="AJ68" s="388"/>
      <c r="AK68" s="388"/>
      <c r="AL68" s="388"/>
      <c r="AM68" s="388"/>
      <c r="AN68" s="388"/>
      <c r="AO68" s="388"/>
      <c r="AP68" s="388"/>
      <c r="AQ68" s="388"/>
    </row>
    <row r="69" spans="1:43" ht="18" customHeight="1">
      <c r="A69" s="400"/>
      <c r="B69" s="393" t="s">
        <v>1019</v>
      </c>
      <c r="C69" s="394" t="s">
        <v>1468</v>
      </c>
      <c r="S69" s="412"/>
      <c r="AA69" s="528"/>
      <c r="AI69" s="385"/>
      <c r="AJ69" s="385"/>
      <c r="AK69" s="385"/>
      <c r="AL69" s="385"/>
      <c r="AM69" s="385"/>
      <c r="AN69" s="385"/>
      <c r="AO69" s="385"/>
      <c r="AP69" s="385"/>
      <c r="AQ69" s="385"/>
    </row>
    <row r="70" spans="1:43" ht="20.100000000000001" customHeight="1">
      <c r="A70" s="400"/>
      <c r="B70" s="393"/>
      <c r="C70" s="3249" t="str">
        <f>IF(ISBLANK(H12),"",(MAX(H68,P68)))</f>
        <v/>
      </c>
      <c r="D70" s="3250"/>
      <c r="E70" s="379" t="s">
        <v>1336</v>
      </c>
      <c r="F70" s="3281" t="str">
        <f>IF(ISBLANK(H12)," ",(IF(G54="Rock",(C57/12),(H62/12))))</f>
        <v xml:space="preserve"> </v>
      </c>
      <c r="G70" s="3281"/>
      <c r="H70" s="379" t="s">
        <v>1336</v>
      </c>
      <c r="I70" s="3337"/>
      <c r="J70" s="3338"/>
      <c r="K70" s="379" t="s">
        <v>1336</v>
      </c>
      <c r="L70" s="3249" t="str">
        <f>IF(ISBLANK(H12),"",1)</f>
        <v/>
      </c>
      <c r="M70" s="3250"/>
      <c r="N70" s="379" t="s">
        <v>1279</v>
      </c>
      <c r="O70" s="3249" t="str">
        <f>IF(ISBLANK(H12),"",(C70+F70+I70+L70))</f>
        <v/>
      </c>
      <c r="P70" s="3250"/>
      <c r="Q70" s="383" t="s">
        <v>609</v>
      </c>
      <c r="S70" s="412"/>
      <c r="U70" s="1532" t="s">
        <v>1438</v>
      </c>
      <c r="AI70" s="385"/>
      <c r="AJ70" s="385"/>
      <c r="AK70" s="385"/>
      <c r="AL70" s="385"/>
      <c r="AM70" s="385"/>
      <c r="AN70" s="385"/>
      <c r="AO70" s="385"/>
      <c r="AP70" s="385"/>
      <c r="AQ70" s="385"/>
    </row>
    <row r="71" spans="1:43" ht="8.1" customHeight="1">
      <c r="A71" s="400"/>
      <c r="C71" s="2020"/>
      <c r="D71" s="2020"/>
      <c r="E71" s="2020"/>
      <c r="F71" s="2020"/>
      <c r="G71" s="2020"/>
      <c r="H71" s="2021"/>
      <c r="L71" s="2022"/>
      <c r="M71" s="2022"/>
      <c r="R71" s="2043"/>
      <c r="S71" s="412"/>
      <c r="AI71" s="385"/>
      <c r="AJ71" s="379"/>
      <c r="AK71" s="379"/>
      <c r="AL71" s="380"/>
      <c r="AM71" s="380"/>
      <c r="AN71" s="379"/>
      <c r="AO71" s="379"/>
      <c r="AP71" s="380"/>
      <c r="AQ71" s="380"/>
    </row>
    <row r="72" spans="1:43" ht="20.45" customHeight="1">
      <c r="A72" s="400"/>
      <c r="C72" s="2020"/>
      <c r="D72" s="2020"/>
      <c r="E72" s="2020"/>
      <c r="F72" s="2020"/>
      <c r="G72" s="2020"/>
      <c r="H72" s="2021"/>
      <c r="L72" s="2022"/>
      <c r="M72" s="2022"/>
      <c r="R72" s="2043"/>
      <c r="S72" s="412"/>
      <c r="AI72" s="385"/>
      <c r="AJ72" s="379"/>
      <c r="AK72" s="379"/>
      <c r="AL72" s="380"/>
      <c r="AM72" s="380"/>
      <c r="AN72" s="379"/>
      <c r="AO72" s="379"/>
      <c r="AP72" s="380"/>
      <c r="AQ72" s="380"/>
    </row>
    <row r="73" spans="1:43" ht="20.45" customHeight="1">
      <c r="A73" s="400"/>
      <c r="C73" s="2020"/>
      <c r="D73" s="2020"/>
      <c r="E73" s="2020"/>
      <c r="F73" s="2020"/>
      <c r="G73" s="2020"/>
      <c r="H73" s="2021"/>
      <c r="L73" s="2022"/>
      <c r="M73" s="2022"/>
      <c r="R73" s="2043"/>
      <c r="S73" s="412"/>
      <c r="AI73" s="385"/>
      <c r="AJ73" s="379"/>
      <c r="AK73" s="379"/>
      <c r="AL73" s="380"/>
      <c r="AM73" s="380"/>
      <c r="AN73" s="379"/>
      <c r="AO73" s="379"/>
      <c r="AP73" s="380"/>
      <c r="AQ73" s="380"/>
    </row>
    <row r="74" spans="1:43" ht="5.25" customHeight="1">
      <c r="A74" s="400"/>
      <c r="B74" s="393"/>
      <c r="R74" s="394"/>
      <c r="S74" s="412"/>
      <c r="AI74" s="385"/>
      <c r="AJ74" s="396"/>
      <c r="AK74" s="396"/>
      <c r="AL74" s="395"/>
      <c r="AM74" s="395"/>
      <c r="AN74" s="396"/>
      <c r="AO74" s="396"/>
      <c r="AP74" s="395"/>
      <c r="AQ74" s="395"/>
    </row>
    <row r="75" spans="1:43" ht="19.5" customHeight="1">
      <c r="A75" s="400"/>
      <c r="B75" s="393" t="s">
        <v>1168</v>
      </c>
      <c r="C75" s="2021" t="s">
        <v>1469</v>
      </c>
      <c r="D75" s="2028"/>
      <c r="E75" s="2028"/>
      <c r="F75" s="2028"/>
      <c r="G75" s="2028"/>
      <c r="L75" s="3316"/>
      <c r="M75" s="3317"/>
      <c r="N75" s="2022"/>
      <c r="S75" s="412"/>
      <c r="AI75" s="385"/>
      <c r="AJ75" s="379"/>
      <c r="AK75" s="379"/>
      <c r="AL75" s="380"/>
      <c r="AM75" s="380"/>
      <c r="AN75" s="379"/>
      <c r="AO75" s="379"/>
      <c r="AP75" s="380"/>
      <c r="AQ75" s="380"/>
    </row>
    <row r="76" spans="1:43" ht="18" customHeight="1">
      <c r="A76" s="400"/>
      <c r="B76" s="393" t="s">
        <v>1172</v>
      </c>
      <c r="C76" s="394" t="s">
        <v>1470</v>
      </c>
      <c r="S76" s="412"/>
      <c r="AI76" s="385"/>
      <c r="AJ76" s="379"/>
      <c r="AK76" s="379"/>
      <c r="AL76" s="380"/>
      <c r="AM76" s="380"/>
      <c r="AN76" s="379"/>
      <c r="AO76" s="379"/>
      <c r="AP76" s="380"/>
      <c r="AQ76" s="380"/>
    </row>
    <row r="77" spans="1:43" ht="20.100000000000001" customHeight="1">
      <c r="A77" s="400"/>
      <c r="B77" s="393"/>
      <c r="H77" s="3249">
        <f>L75</f>
        <v>0</v>
      </c>
      <c r="I77" s="3250"/>
      <c r="J77" s="379" t="s">
        <v>1343</v>
      </c>
      <c r="K77" s="3249" t="str">
        <f>O70</f>
        <v/>
      </c>
      <c r="L77" s="3250"/>
      <c r="M77" s="379" t="s">
        <v>1208</v>
      </c>
      <c r="N77" s="3249" t="str">
        <f>IF(ISBLANK(H12),"",H77*K77)</f>
        <v/>
      </c>
      <c r="O77" s="3250"/>
      <c r="P77" s="383" t="s">
        <v>609</v>
      </c>
      <c r="S77" s="412"/>
      <c r="AI77" s="385"/>
      <c r="AJ77" s="379"/>
      <c r="AK77" s="379"/>
      <c r="AL77" s="380"/>
      <c r="AM77" s="380"/>
      <c r="AN77" s="379"/>
      <c r="AO77" s="379"/>
      <c r="AP77" s="380"/>
      <c r="AQ77" s="380"/>
    </row>
    <row r="78" spans="1:43" ht="18" customHeight="1">
      <c r="A78" s="400"/>
      <c r="B78" s="393" t="s">
        <v>1177</v>
      </c>
      <c r="C78" s="394" t="s">
        <v>1471</v>
      </c>
      <c r="G78" s="2023"/>
      <c r="H78" s="2024"/>
      <c r="I78" s="385"/>
      <c r="J78" s="384"/>
      <c r="K78" s="1985"/>
      <c r="M78" s="384"/>
      <c r="N78" s="384"/>
      <c r="S78" s="412"/>
      <c r="AI78" s="385"/>
      <c r="AJ78" s="379"/>
      <c r="AK78" s="379"/>
      <c r="AL78" s="380"/>
      <c r="AM78" s="380"/>
      <c r="AN78" s="379"/>
      <c r="AO78" s="379"/>
      <c r="AP78" s="380"/>
      <c r="AQ78" s="380"/>
    </row>
    <row r="79" spans="1:43" ht="20.100000000000001" customHeight="1">
      <c r="A79" s="400"/>
      <c r="B79" s="393"/>
      <c r="H79" s="3249">
        <f>H35</f>
        <v>0</v>
      </c>
      <c r="I79" s="3250"/>
      <c r="J79" s="379" t="s">
        <v>1389</v>
      </c>
      <c r="K79" s="3244" t="str">
        <f>IF(ISBLANK(H10),"",H10)</f>
        <v/>
      </c>
      <c r="L79" s="3245"/>
      <c r="M79" s="3335" t="s">
        <v>1472</v>
      </c>
      <c r="N79" s="3336"/>
      <c r="O79" s="3249" t="str">
        <f>IF(ISBLANK(H12),"",(H79*K79)/100)</f>
        <v/>
      </c>
      <c r="P79" s="3250"/>
      <c r="Q79" s="383" t="s">
        <v>609</v>
      </c>
      <c r="S79" s="412"/>
      <c r="AI79" s="385"/>
      <c r="AJ79" s="379"/>
      <c r="AK79" s="379"/>
      <c r="AL79" s="380"/>
      <c r="AM79" s="380"/>
      <c r="AN79" s="379"/>
      <c r="AO79" s="379"/>
      <c r="AP79" s="380"/>
      <c r="AQ79" s="380"/>
    </row>
    <row r="80" spans="1:43" ht="18" customHeight="1">
      <c r="A80" s="400"/>
      <c r="B80" s="393" t="s">
        <v>1179</v>
      </c>
      <c r="C80" s="394" t="s">
        <v>1473</v>
      </c>
      <c r="G80" s="2023"/>
      <c r="H80" s="2024"/>
      <c r="I80" s="385"/>
      <c r="J80" s="384"/>
      <c r="K80" s="1985"/>
      <c r="S80" s="412"/>
      <c r="AI80" s="385"/>
      <c r="AJ80" s="379"/>
      <c r="AK80" s="379"/>
      <c r="AL80" s="380"/>
      <c r="AM80" s="380"/>
      <c r="AN80" s="379"/>
      <c r="AO80" s="379"/>
      <c r="AP80" s="380"/>
      <c r="AQ80" s="380"/>
    </row>
    <row r="81" spans="1:43" ht="20.100000000000001" customHeight="1">
      <c r="A81" s="400"/>
      <c r="B81" s="393"/>
      <c r="H81" s="3249" t="str">
        <f>O70</f>
        <v/>
      </c>
      <c r="I81" s="3250"/>
      <c r="J81" s="379" t="s">
        <v>1336</v>
      </c>
      <c r="K81" s="3249" t="str">
        <f>O79</f>
        <v/>
      </c>
      <c r="L81" s="3250"/>
      <c r="M81" s="379" t="s">
        <v>1208</v>
      </c>
      <c r="N81" s="3249" t="str">
        <f>IF(ISBLANK(H12),"",H81+K81)</f>
        <v/>
      </c>
      <c r="O81" s="3250"/>
      <c r="P81" s="383" t="s">
        <v>609</v>
      </c>
      <c r="S81" s="412"/>
      <c r="AI81" s="385"/>
      <c r="AJ81" s="379"/>
      <c r="AK81" s="379"/>
      <c r="AL81" s="380"/>
      <c r="AM81" s="380"/>
      <c r="AN81" s="379"/>
      <c r="AO81" s="379"/>
      <c r="AP81" s="380"/>
      <c r="AQ81" s="380"/>
    </row>
    <row r="82" spans="1:43" ht="4.3499999999999996" customHeight="1">
      <c r="A82" s="400"/>
      <c r="B82" s="393"/>
      <c r="C82" s="384"/>
      <c r="D82" s="384"/>
      <c r="E82" s="385"/>
      <c r="F82" s="384"/>
      <c r="G82" s="384"/>
      <c r="S82" s="412"/>
      <c r="AI82" s="385"/>
      <c r="AJ82" s="379"/>
      <c r="AK82" s="379"/>
      <c r="AL82" s="380"/>
      <c r="AM82" s="380"/>
      <c r="AN82" s="379"/>
      <c r="AO82" s="379"/>
      <c r="AP82" s="380"/>
      <c r="AQ82" s="380"/>
    </row>
    <row r="83" spans="1:43" ht="20.25" customHeight="1">
      <c r="A83" s="400"/>
      <c r="B83" s="394"/>
      <c r="S83" s="412"/>
      <c r="AI83" s="385"/>
      <c r="AJ83" s="379"/>
      <c r="AK83" s="379"/>
      <c r="AL83" s="380"/>
      <c r="AM83" s="380"/>
      <c r="AN83" s="379"/>
      <c r="AO83" s="379"/>
      <c r="AP83" s="380"/>
      <c r="AQ83" s="380"/>
    </row>
    <row r="84" spans="1:43" ht="20.25" customHeight="1">
      <c r="A84" s="400"/>
      <c r="B84" s="394"/>
      <c r="S84" s="412"/>
      <c r="AI84" s="385"/>
      <c r="AJ84" s="379"/>
      <c r="AK84" s="379"/>
      <c r="AL84" s="380"/>
      <c r="AM84" s="380"/>
      <c r="AN84" s="379"/>
      <c r="AO84" s="379"/>
      <c r="AP84" s="380"/>
      <c r="AQ84" s="380"/>
    </row>
    <row r="85" spans="1:43" ht="4.3499999999999996" customHeight="1">
      <c r="A85" s="400"/>
      <c r="B85" s="394"/>
      <c r="S85" s="412"/>
      <c r="AI85" s="385"/>
      <c r="AJ85" s="379"/>
      <c r="AK85" s="379"/>
      <c r="AL85" s="380"/>
      <c r="AM85" s="380"/>
      <c r="AN85" s="379"/>
      <c r="AO85" s="379"/>
      <c r="AP85" s="380"/>
      <c r="AQ85" s="380"/>
    </row>
    <row r="86" spans="1:43" ht="20.100000000000001" customHeight="1">
      <c r="A86" s="400"/>
      <c r="B86" s="393" t="s">
        <v>1181</v>
      </c>
      <c r="C86" s="2027" t="s">
        <v>1474</v>
      </c>
      <c r="D86" s="2027"/>
      <c r="E86" s="2027"/>
      <c r="F86" s="2027"/>
      <c r="G86" s="2027"/>
      <c r="K86" s="2022"/>
      <c r="L86" s="3316"/>
      <c r="M86" s="3317"/>
      <c r="N86" s="2022"/>
      <c r="S86" s="412"/>
      <c r="AI86" s="385"/>
      <c r="AJ86" s="379"/>
      <c r="AK86" s="379"/>
      <c r="AL86" s="380"/>
      <c r="AM86" s="380"/>
      <c r="AN86" s="379"/>
      <c r="AO86" s="379"/>
      <c r="AP86" s="380"/>
      <c r="AQ86" s="380"/>
    </row>
    <row r="87" spans="1:43" ht="18" customHeight="1">
      <c r="A87" s="400"/>
      <c r="B87" s="393" t="s">
        <v>1184</v>
      </c>
      <c r="C87" s="394" t="s">
        <v>1475</v>
      </c>
      <c r="S87" s="412"/>
      <c r="AI87" s="385"/>
      <c r="AJ87" s="379"/>
      <c r="AK87" s="379"/>
      <c r="AL87" s="380"/>
      <c r="AM87" s="380"/>
      <c r="AN87" s="379"/>
      <c r="AO87" s="379"/>
      <c r="AP87" s="380"/>
      <c r="AQ87" s="380"/>
    </row>
    <row r="88" spans="1:43" ht="20.100000000000001" customHeight="1">
      <c r="A88" s="400"/>
      <c r="B88" s="393"/>
      <c r="C88" s="2023"/>
      <c r="D88" s="2023"/>
      <c r="E88" s="385"/>
      <c r="F88" s="384"/>
      <c r="G88" s="384"/>
      <c r="H88" s="3249">
        <f>L86</f>
        <v>0</v>
      </c>
      <c r="I88" s="3250"/>
      <c r="J88" s="379" t="s">
        <v>1282</v>
      </c>
      <c r="K88" s="3249" t="str">
        <f>N81</f>
        <v/>
      </c>
      <c r="L88" s="3250"/>
      <c r="M88" s="379" t="s">
        <v>1208</v>
      </c>
      <c r="N88" s="3249" t="str">
        <f>IF(ISBLANK(H12),"",H88*K88)</f>
        <v/>
      </c>
      <c r="O88" s="3250"/>
      <c r="P88" s="383" t="s">
        <v>609</v>
      </c>
      <c r="S88" s="412"/>
      <c r="AI88" s="385"/>
      <c r="AJ88" s="379"/>
      <c r="AK88" s="379"/>
      <c r="AL88" s="380"/>
      <c r="AM88" s="380"/>
      <c r="AN88" s="379"/>
      <c r="AO88" s="379"/>
      <c r="AP88" s="380"/>
      <c r="AQ88" s="380"/>
    </row>
    <row r="89" spans="1:43" ht="18" customHeight="1">
      <c r="A89" s="400"/>
      <c r="B89" s="393" t="s">
        <v>1186</v>
      </c>
      <c r="C89" s="383" t="s">
        <v>1476</v>
      </c>
      <c r="D89" s="383"/>
      <c r="E89" s="383"/>
      <c r="F89" s="383"/>
      <c r="G89" s="383"/>
      <c r="H89" s="383"/>
      <c r="S89" s="412"/>
      <c r="AI89" s="385"/>
      <c r="AJ89" s="379"/>
      <c r="AK89" s="379"/>
      <c r="AL89" s="380"/>
      <c r="AM89" s="380"/>
      <c r="AN89" s="379"/>
      <c r="AO89" s="379"/>
      <c r="AP89" s="380"/>
      <c r="AQ89" s="380"/>
    </row>
    <row r="90" spans="1:43" ht="20.100000000000001" customHeight="1">
      <c r="A90" s="400"/>
      <c r="B90" s="393"/>
      <c r="C90" s="383"/>
      <c r="D90" s="383"/>
      <c r="E90" s="383"/>
      <c r="F90" s="383"/>
      <c r="G90" s="383"/>
      <c r="H90" s="3249" t="str">
        <f>N50</f>
        <v/>
      </c>
      <c r="I90" s="3250"/>
      <c r="J90" s="379" t="s">
        <v>1336</v>
      </c>
      <c r="K90" s="3249" t="str">
        <f>IF(ISBLANK(H12),"",4)</f>
        <v/>
      </c>
      <c r="L90" s="3250"/>
      <c r="M90" s="379" t="s">
        <v>1208</v>
      </c>
      <c r="N90" s="3249" t="str">
        <f>IF(ISBLANK(H12),"",H90+K90)</f>
        <v/>
      </c>
      <c r="O90" s="3250"/>
      <c r="P90" s="383" t="s">
        <v>609</v>
      </c>
      <c r="S90" s="412"/>
      <c r="AI90" s="385"/>
      <c r="AJ90" s="379"/>
      <c r="AK90" s="379"/>
      <c r="AL90" s="380"/>
      <c r="AM90" s="380"/>
      <c r="AN90" s="379"/>
      <c r="AO90" s="379"/>
      <c r="AP90" s="380"/>
      <c r="AQ90" s="380"/>
    </row>
    <row r="91" spans="1:43" ht="4.3499999999999996" customHeight="1">
      <c r="A91" s="400"/>
      <c r="B91" s="393"/>
      <c r="C91" s="383"/>
      <c r="D91" s="383"/>
      <c r="E91" s="383"/>
      <c r="F91" s="383"/>
      <c r="G91" s="383"/>
      <c r="H91" s="383"/>
      <c r="I91" s="384"/>
      <c r="J91" s="385"/>
      <c r="K91" s="385"/>
      <c r="M91" s="385"/>
      <c r="N91" s="384"/>
      <c r="S91" s="412"/>
      <c r="AI91" s="385"/>
      <c r="AJ91" s="379"/>
      <c r="AK91" s="379"/>
      <c r="AL91" s="380"/>
      <c r="AM91" s="380"/>
      <c r="AN91" s="379"/>
      <c r="AO91" s="379"/>
      <c r="AP91" s="380"/>
      <c r="AQ91" s="380"/>
    </row>
    <row r="92" spans="1:43" ht="20.100000000000001" customHeight="1">
      <c r="A92" s="400"/>
      <c r="B92" s="2003" t="s">
        <v>1224</v>
      </c>
      <c r="C92" s="383" t="s">
        <v>1477</v>
      </c>
      <c r="D92" s="383"/>
      <c r="E92" s="383"/>
      <c r="F92" s="383"/>
      <c r="G92" s="383"/>
      <c r="H92" s="383"/>
      <c r="I92" s="383"/>
      <c r="K92" s="3321">
        <f>MAX(N88,N90)</f>
        <v>0</v>
      </c>
      <c r="L92" s="3322"/>
      <c r="M92" s="383" t="s">
        <v>609</v>
      </c>
      <c r="S92" s="412"/>
      <c r="AI92" s="385"/>
      <c r="AJ92" s="379"/>
      <c r="AK92" s="379"/>
      <c r="AL92" s="380"/>
      <c r="AM92" s="380"/>
      <c r="AN92" s="379"/>
      <c r="AO92" s="379"/>
      <c r="AP92" s="380"/>
      <c r="AQ92" s="380"/>
    </row>
    <row r="93" spans="1:43" ht="4.3499999999999996" customHeight="1">
      <c r="A93" s="400"/>
      <c r="B93" s="2003"/>
      <c r="C93" s="383"/>
      <c r="D93" s="383"/>
      <c r="E93" s="383"/>
      <c r="F93" s="383"/>
      <c r="G93" s="383"/>
      <c r="H93" s="383"/>
      <c r="I93" s="383"/>
      <c r="J93" s="384"/>
      <c r="K93" s="384"/>
      <c r="L93" s="385"/>
      <c r="S93" s="412"/>
      <c r="AI93" s="385"/>
      <c r="AJ93" s="379"/>
      <c r="AK93" s="379"/>
      <c r="AL93" s="380"/>
      <c r="AM93" s="380"/>
      <c r="AN93" s="379"/>
      <c r="AO93" s="379"/>
      <c r="AP93" s="380"/>
      <c r="AQ93" s="380"/>
    </row>
    <row r="94" spans="1:43" ht="20.100000000000001" customHeight="1">
      <c r="A94" s="400"/>
      <c r="B94" s="2003" t="s">
        <v>1227</v>
      </c>
      <c r="C94" s="383" t="s">
        <v>1478</v>
      </c>
      <c r="D94" s="383"/>
      <c r="E94" s="383"/>
      <c r="F94" s="383"/>
      <c r="G94" s="383"/>
      <c r="L94" s="3333"/>
      <c r="M94" s="3334"/>
      <c r="O94" s="2044" t="s">
        <v>1479</v>
      </c>
      <c r="S94" s="412"/>
    </row>
    <row r="95" spans="1:43" ht="18" customHeight="1">
      <c r="A95" s="400"/>
      <c r="B95" s="2003" t="s">
        <v>1480</v>
      </c>
      <c r="C95" s="383" t="s">
        <v>1481</v>
      </c>
      <c r="D95" s="383"/>
      <c r="E95" s="383"/>
      <c r="F95" s="383"/>
      <c r="G95" s="383"/>
      <c r="H95" s="383"/>
      <c r="I95" s="384"/>
      <c r="J95" s="384"/>
      <c r="K95" s="385"/>
      <c r="S95" s="412"/>
    </row>
    <row r="96" spans="1:43" ht="20.100000000000001" customHeight="1">
      <c r="A96" s="400"/>
      <c r="B96" s="2003"/>
      <c r="H96" s="3321">
        <f>L94</f>
        <v>0</v>
      </c>
      <c r="I96" s="3322"/>
      <c r="J96" s="385" t="s">
        <v>1482</v>
      </c>
      <c r="K96" s="3312" t="str">
        <f>N81</f>
        <v/>
      </c>
      <c r="L96" s="3313"/>
      <c r="M96" s="385" t="s">
        <v>1208</v>
      </c>
      <c r="N96" s="3321" t="str">
        <f>IF(ISBLANK(L94),"",H96*K96)</f>
        <v/>
      </c>
      <c r="O96" s="3322"/>
      <c r="P96" s="383" t="s">
        <v>609</v>
      </c>
      <c r="S96" s="412"/>
    </row>
    <row r="97" spans="1:43" ht="18" customHeight="1">
      <c r="A97" s="400"/>
      <c r="B97" s="393" t="s">
        <v>1483</v>
      </c>
      <c r="C97" s="394" t="s">
        <v>1484</v>
      </c>
      <c r="S97" s="412"/>
    </row>
    <row r="98" spans="1:43" ht="20.100000000000001" customHeight="1">
      <c r="A98" s="400"/>
      <c r="B98" s="393"/>
      <c r="G98" s="3328" t="str">
        <f>N77</f>
        <v/>
      </c>
      <c r="H98" s="3329"/>
      <c r="I98" s="2166" t="s">
        <v>1336</v>
      </c>
      <c r="J98" s="3328">
        <f>H35</f>
        <v>0</v>
      </c>
      <c r="K98" s="3329"/>
      <c r="L98" s="2166" t="s">
        <v>1356</v>
      </c>
      <c r="M98" s="3328">
        <f>K92</f>
        <v>0</v>
      </c>
      <c r="N98" s="3329"/>
      <c r="O98" s="2166" t="s">
        <v>1208</v>
      </c>
      <c r="P98" s="3328" t="str">
        <f>IF(ISBLANK(H12),"",G98+J98+M98)</f>
        <v/>
      </c>
      <c r="Q98" s="3329"/>
      <c r="R98" s="383" t="s">
        <v>609</v>
      </c>
      <c r="S98" s="412"/>
    </row>
    <row r="99" spans="1:43" ht="18" customHeight="1">
      <c r="A99" s="400"/>
      <c r="B99" s="393" t="s">
        <v>1485</v>
      </c>
      <c r="C99" s="394" t="s">
        <v>1486</v>
      </c>
      <c r="S99" s="412"/>
    </row>
    <row r="100" spans="1:43" ht="20.100000000000001" customHeight="1">
      <c r="A100" s="400"/>
      <c r="B100" s="393"/>
      <c r="G100" s="3249" t="str">
        <f>N96</f>
        <v/>
      </c>
      <c r="H100" s="3250"/>
      <c r="I100" s="379" t="s">
        <v>1336</v>
      </c>
      <c r="J100" s="3249">
        <f>MAX(J39,L41)</f>
        <v>0</v>
      </c>
      <c r="K100" s="3250"/>
      <c r="L100" s="379" t="s">
        <v>1336</v>
      </c>
      <c r="M100" s="3249" t="str">
        <f>N96</f>
        <v/>
      </c>
      <c r="N100" s="3250"/>
      <c r="O100" s="379" t="s">
        <v>1208</v>
      </c>
      <c r="P100" s="3249" t="str">
        <f>IF(ISBLANK(L94),"",G100+J100+M100)</f>
        <v/>
      </c>
      <c r="Q100" s="3250"/>
      <c r="R100" s="383" t="s">
        <v>609</v>
      </c>
      <c r="S100" s="412"/>
    </row>
    <row r="101" spans="1:43" ht="6" customHeight="1" thickBot="1">
      <c r="A101" s="399"/>
      <c r="B101" s="392"/>
      <c r="C101" s="391"/>
      <c r="D101" s="391"/>
      <c r="E101" s="382"/>
      <c r="F101" s="391"/>
      <c r="G101" s="409"/>
      <c r="H101" s="409"/>
      <c r="I101" s="409"/>
      <c r="J101" s="409"/>
      <c r="K101" s="409"/>
      <c r="L101" s="409"/>
      <c r="M101" s="409"/>
      <c r="N101" s="409"/>
      <c r="O101" s="409"/>
      <c r="P101" s="409"/>
      <c r="Q101" s="409"/>
      <c r="R101" s="381"/>
      <c r="S101" s="407"/>
    </row>
    <row r="102" spans="1:43" ht="16.350000000000001" customHeight="1" thickBot="1">
      <c r="A102" s="448" t="s">
        <v>504</v>
      </c>
      <c r="B102" s="646"/>
      <c r="C102" s="446" t="s">
        <v>1450</v>
      </c>
      <c r="D102" s="446"/>
      <c r="E102" s="649"/>
      <c r="F102" s="446"/>
      <c r="G102" s="446"/>
      <c r="H102" s="446"/>
      <c r="I102" s="2689" t="s">
        <v>551</v>
      </c>
      <c r="J102" s="2689"/>
      <c r="K102" s="2689"/>
      <c r="L102" s="2689"/>
      <c r="M102" s="2689"/>
      <c r="N102" s="1362"/>
      <c r="O102" s="2688" t="str">
        <f>IF(ISBLANK(Prelim!S5)," ",Prelim!S5)</f>
        <v xml:space="preserve"> </v>
      </c>
      <c r="P102" s="2688"/>
      <c r="Q102" s="2688"/>
      <c r="R102" s="446"/>
      <c r="S102" s="447"/>
    </row>
    <row r="103" spans="1:43" ht="7.5" customHeight="1">
      <c r="A103" s="685"/>
      <c r="B103" s="432"/>
      <c r="C103" s="398"/>
      <c r="D103" s="398"/>
      <c r="E103" s="433"/>
      <c r="F103" s="398"/>
      <c r="G103" s="398"/>
      <c r="H103" s="398"/>
      <c r="I103" s="1201"/>
      <c r="J103" s="1201"/>
      <c r="K103" s="1201"/>
      <c r="L103" s="1201"/>
      <c r="M103" s="1201"/>
      <c r="N103" s="1201"/>
      <c r="O103" s="1202"/>
      <c r="P103" s="1202"/>
      <c r="Q103" s="1202"/>
      <c r="R103" s="398"/>
      <c r="S103" s="686"/>
    </row>
    <row r="104" spans="1:43" ht="11.25" customHeight="1">
      <c r="A104" s="400"/>
      <c r="B104" s="394"/>
      <c r="S104" s="412"/>
      <c r="Y104" s="657"/>
    </row>
    <row r="105" spans="1:43" ht="15" customHeight="1">
      <c r="A105" s="400"/>
      <c r="B105" s="394"/>
      <c r="S105" s="412"/>
      <c r="AN105" s="389"/>
      <c r="AO105" s="389"/>
      <c r="AP105" s="414"/>
    </row>
    <row r="106" spans="1:43" ht="15" customHeight="1">
      <c r="A106" s="400"/>
      <c r="B106" s="394"/>
      <c r="S106" s="412"/>
      <c r="X106" s="385"/>
      <c r="Y106" s="385"/>
      <c r="Z106" s="385"/>
      <c r="AA106" s="385"/>
      <c r="AB106" s="385"/>
      <c r="AK106" s="389"/>
      <c r="AL106" s="389"/>
      <c r="AM106" s="414"/>
    </row>
    <row r="107" spans="1:43" ht="15" customHeight="1">
      <c r="A107" s="413"/>
      <c r="B107" s="394"/>
      <c r="S107" s="412"/>
      <c r="AA107" s="393"/>
      <c r="AH107" s="389"/>
      <c r="AJ107" s="414"/>
    </row>
    <row r="108" spans="1:43" ht="15" customHeight="1">
      <c r="A108" s="413"/>
      <c r="B108" s="394"/>
      <c r="H108" s="418"/>
      <c r="S108" s="412"/>
      <c r="AA108" s="393"/>
      <c r="AH108" s="389"/>
      <c r="AJ108" s="414"/>
    </row>
    <row r="109" spans="1:43" ht="15" customHeight="1">
      <c r="A109" s="413"/>
      <c r="B109" s="394"/>
      <c r="S109" s="412"/>
      <c r="V109" s="3309"/>
      <c r="AH109" s="393"/>
      <c r="AO109" s="389"/>
      <c r="AQ109" s="414"/>
    </row>
    <row r="110" spans="1:43" ht="15" customHeight="1">
      <c r="A110" s="413"/>
      <c r="S110" s="412"/>
      <c r="V110" s="3309"/>
      <c r="AE110" s="393"/>
      <c r="AF110" s="397"/>
      <c r="AL110" s="389"/>
      <c r="AN110" s="414"/>
    </row>
    <row r="111" spans="1:43" ht="15" customHeight="1">
      <c r="A111" s="413"/>
      <c r="D111" s="418"/>
      <c r="I111" s="418"/>
      <c r="P111" s="418"/>
      <c r="S111" s="412"/>
      <c r="V111" s="3309"/>
      <c r="AN111" s="414"/>
    </row>
    <row r="112" spans="1:43" ht="15" customHeight="1">
      <c r="A112" s="413"/>
      <c r="S112" s="412"/>
      <c r="V112" s="3309"/>
      <c r="AN112" s="414"/>
    </row>
    <row r="113" spans="1:40" ht="15" customHeight="1">
      <c r="A113" s="413"/>
      <c r="J113" s="2017" t="str">
        <f>IF(ISBLANK(H35)," ",(J98*J100))</f>
        <v xml:space="preserve"> </v>
      </c>
      <c r="S113" s="412"/>
      <c r="V113" s="3309"/>
      <c r="AN113" s="414"/>
    </row>
    <row r="114" spans="1:40" ht="15" customHeight="1">
      <c r="A114" s="413"/>
      <c r="S114" s="412"/>
      <c r="V114" s="3309"/>
      <c r="AN114" s="414"/>
    </row>
    <row r="115" spans="1:40" ht="15" customHeight="1">
      <c r="A115" s="413"/>
      <c r="S115" s="412"/>
      <c r="V115" s="3309"/>
      <c r="AN115" s="414"/>
    </row>
    <row r="116" spans="1:40" ht="15" customHeight="1">
      <c r="A116" s="413"/>
      <c r="S116" s="412"/>
      <c r="V116" s="3309"/>
      <c r="AN116" s="414"/>
    </row>
    <row r="117" spans="1:40" ht="15" customHeight="1">
      <c r="A117" s="413"/>
      <c r="S117" s="412"/>
      <c r="V117" s="3309"/>
    </row>
    <row r="118" spans="1:40" ht="15" customHeight="1">
      <c r="A118" s="413"/>
      <c r="H118" s="418"/>
      <c r="S118" s="412"/>
      <c r="V118" s="3309"/>
    </row>
    <row r="119" spans="1:40" ht="15" customHeight="1">
      <c r="A119" s="413"/>
      <c r="S119" s="412"/>
    </row>
    <row r="120" spans="1:40" ht="15" customHeight="1">
      <c r="A120" s="413"/>
      <c r="S120" s="412"/>
    </row>
    <row r="121" spans="1:40" ht="15" customHeight="1">
      <c r="A121" s="413"/>
      <c r="S121" s="412"/>
    </row>
    <row r="122" spans="1:40" ht="15" customHeight="1">
      <c r="A122" s="413"/>
      <c r="S122" s="412"/>
    </row>
    <row r="123" spans="1:40" ht="15" customHeight="1">
      <c r="A123" s="413"/>
      <c r="H123" s="418"/>
      <c r="S123" s="412"/>
    </row>
    <row r="124" spans="1:40" ht="15" customHeight="1">
      <c r="A124" s="413"/>
      <c r="S124" s="412"/>
      <c r="Y124" s="3138"/>
      <c r="Z124" s="3138"/>
      <c r="AB124" s="656"/>
    </row>
    <row r="125" spans="1:40" ht="11.25" customHeight="1">
      <c r="A125" s="413"/>
      <c r="S125" s="412"/>
    </row>
    <row r="126" spans="1:40" ht="15" customHeight="1">
      <c r="A126" s="413"/>
      <c r="S126" s="412"/>
    </row>
    <row r="127" spans="1:40" ht="15" customHeight="1">
      <c r="A127" s="413"/>
      <c r="S127" s="412"/>
    </row>
    <row r="128" spans="1:40" ht="15" customHeight="1">
      <c r="A128" s="413"/>
      <c r="B128" s="394"/>
      <c r="S128" s="412"/>
    </row>
    <row r="129" spans="1:19" ht="15" customHeight="1">
      <c r="A129" s="413"/>
      <c r="B129" s="394"/>
      <c r="S129" s="412"/>
    </row>
    <row r="130" spans="1:19" ht="15" customHeight="1">
      <c r="A130" s="413"/>
      <c r="B130" s="394"/>
      <c r="S130" s="412"/>
    </row>
    <row r="131" spans="1:19" ht="15" customHeight="1">
      <c r="A131" s="413"/>
      <c r="B131" s="394"/>
      <c r="S131" s="412"/>
    </row>
    <row r="132" spans="1:19" ht="15" customHeight="1">
      <c r="A132" s="413"/>
      <c r="B132" s="394"/>
      <c r="S132" s="412"/>
    </row>
    <row r="133" spans="1:19" ht="15" customHeight="1">
      <c r="A133" s="413"/>
      <c r="B133" s="394"/>
      <c r="S133" s="412"/>
    </row>
    <row r="134" spans="1:19" ht="15" customHeight="1">
      <c r="A134" s="413"/>
      <c r="B134" s="394"/>
      <c r="S134" s="412"/>
    </row>
    <row r="135" spans="1:19" ht="15" customHeight="1">
      <c r="A135" s="413"/>
      <c r="B135" s="394"/>
      <c r="S135" s="412"/>
    </row>
    <row r="136" spans="1:19" ht="15" customHeight="1">
      <c r="A136" s="413"/>
      <c r="B136" s="394"/>
      <c r="S136" s="412"/>
    </row>
    <row r="137" spans="1:19" ht="15" customHeight="1">
      <c r="A137" s="413"/>
      <c r="B137" s="394"/>
      <c r="S137" s="412"/>
    </row>
    <row r="138" spans="1:19" ht="18.75" customHeight="1">
      <c r="A138" s="413"/>
      <c r="B138" s="394"/>
      <c r="O138" s="3120" t="s">
        <v>1487</v>
      </c>
      <c r="P138" s="3120"/>
      <c r="Q138" s="3120"/>
      <c r="R138" s="3120"/>
      <c r="S138" s="412"/>
    </row>
    <row r="139" spans="1:19" ht="15" customHeight="1">
      <c r="A139" s="413"/>
      <c r="B139" s="394"/>
      <c r="C139" s="528" t="s">
        <v>1368</v>
      </c>
      <c r="G139" s="3025" t="str">
        <f>IF(ISBLANK(H12)," ",'Design Details &amp; Summary'!G96)</f>
        <v xml:space="preserve"> </v>
      </c>
      <c r="H139" s="3026"/>
      <c r="I139" s="394" t="s">
        <v>1309</v>
      </c>
      <c r="K139" s="528"/>
      <c r="L139" s="3057" t="s">
        <v>1369</v>
      </c>
      <c r="M139" s="3057"/>
      <c r="N139" s="3057"/>
      <c r="O139" s="3057"/>
      <c r="P139" s="3209"/>
      <c r="Q139" s="3210" t="str">
        <f>IF(ISBLANK(H12)," ",('Design Details &amp; Summary'!$M$94))</f>
        <v xml:space="preserve"> </v>
      </c>
      <c r="R139" s="3210"/>
      <c r="S139" s="2" t="s">
        <v>609</v>
      </c>
    </row>
    <row r="140" spans="1:19" ht="6" customHeight="1">
      <c r="A140" s="413"/>
      <c r="B140" s="394"/>
      <c r="K140" s="528"/>
      <c r="L140" s="1190"/>
      <c r="M140" s="1190"/>
      <c r="N140" s="1190"/>
      <c r="O140" s="1190"/>
      <c r="P140" s="1190"/>
      <c r="Q140" s="74"/>
      <c r="R140" s="74"/>
      <c r="S140" s="2"/>
    </row>
    <row r="141" spans="1:19" ht="15" customHeight="1">
      <c r="A141" s="413"/>
      <c r="B141" s="394"/>
      <c r="C141" s="3131" t="s">
        <v>1049</v>
      </c>
      <c r="D141" s="3131"/>
      <c r="E141" s="3131"/>
      <c r="F141" s="3320"/>
      <c r="G141" s="3241" t="str">
        <f>IF(ISBLANK(H12)," ",(IF(G54="Rock",(G54),(H60))))</f>
        <v xml:space="preserve"> </v>
      </c>
      <c r="H141" s="3241"/>
      <c r="I141" s="3241"/>
      <c r="J141" s="3241"/>
      <c r="K141" s="528"/>
      <c r="L141" s="3057" t="s">
        <v>1370</v>
      </c>
      <c r="M141" s="3057"/>
      <c r="N141" s="3057"/>
      <c r="O141" s="3057"/>
      <c r="P141" s="3209"/>
      <c r="Q141" s="3210" t="str">
        <f>IF(ISBLANK(H12)," ",('Design Details &amp; Summary'!$M$94+G139/12))</f>
        <v xml:space="preserve"> </v>
      </c>
      <c r="R141" s="3210"/>
      <c r="S141" s="2" t="s">
        <v>609</v>
      </c>
    </row>
    <row r="142" spans="1:19" ht="6" customHeight="1">
      <c r="A142" s="413"/>
      <c r="B142" s="394"/>
      <c r="K142" s="528"/>
      <c r="L142" s="1190"/>
      <c r="M142" s="1190"/>
      <c r="N142" s="1190"/>
      <c r="O142" s="1190"/>
      <c r="P142" s="1190"/>
      <c r="Q142" s="74"/>
      <c r="R142" s="74"/>
      <c r="S142" s="2"/>
    </row>
    <row r="143" spans="1:19" ht="15" customHeight="1">
      <c r="A143" s="413"/>
      <c r="B143" s="394"/>
      <c r="C143" s="3296" t="s">
        <v>1371</v>
      </c>
      <c r="D143" s="3296"/>
      <c r="E143" s="3296"/>
      <c r="F143" s="3325" t="str">
        <f>IF(ISBLANK(H12)," ",(IF(G54="Rock",(C57),(H62))))</f>
        <v xml:space="preserve"> </v>
      </c>
      <c r="G143" s="3326"/>
      <c r="H143" s="394" t="s">
        <v>1309</v>
      </c>
      <c r="K143" s="3057" t="s">
        <v>1452</v>
      </c>
      <c r="L143" s="3057"/>
      <c r="M143" s="3057"/>
      <c r="N143" s="3057"/>
      <c r="O143" s="3057"/>
      <c r="P143" s="3209"/>
      <c r="Q143" s="3210" t="str">
        <f>IF(ISBLANK(H12)," ",(('Design Details &amp; Summary'!K98)+(IF(P68&gt;3,P68-3,0))))</f>
        <v xml:space="preserve"> </v>
      </c>
      <c r="R143" s="3210"/>
      <c r="S143" s="2" t="s">
        <v>609</v>
      </c>
    </row>
    <row r="144" spans="1:19" ht="6" customHeight="1">
      <c r="A144" s="413"/>
      <c r="B144" s="394"/>
      <c r="C144" s="3296"/>
      <c r="D144" s="3296"/>
      <c r="E144" s="3296"/>
      <c r="K144" s="528"/>
      <c r="L144" s="1453"/>
      <c r="M144" s="1453"/>
      <c r="N144" s="1453"/>
      <c r="O144" s="1453"/>
      <c r="P144" s="1994"/>
      <c r="Q144" s="23"/>
      <c r="R144" s="23"/>
      <c r="S144" s="2"/>
    </row>
    <row r="145" spans="1:50" ht="15" customHeight="1">
      <c r="A145" s="413"/>
      <c r="B145" s="394"/>
      <c r="C145" s="3296"/>
      <c r="D145" s="3296"/>
      <c r="E145" s="3296"/>
      <c r="Q145" s="23"/>
      <c r="R145" s="23"/>
      <c r="S145" s="2"/>
    </row>
    <row r="146" spans="1:50" ht="6" customHeight="1">
      <c r="A146" s="413"/>
      <c r="B146" s="394"/>
      <c r="K146" s="528"/>
      <c r="L146" s="1997"/>
      <c r="M146" s="1997"/>
      <c r="N146" s="1997"/>
      <c r="O146" s="1997"/>
      <c r="P146" s="1997"/>
      <c r="Q146" s="20"/>
      <c r="R146" s="20"/>
      <c r="S146" s="2"/>
    </row>
    <row r="147" spans="1:50" ht="18" customHeight="1">
      <c r="A147" s="413"/>
      <c r="B147" s="394"/>
      <c r="C147" s="3132" t="s">
        <v>1307</v>
      </c>
      <c r="D147" s="3132"/>
      <c r="E147" s="3132"/>
      <c r="F147" s="3133"/>
      <c r="G147" s="3058" t="str">
        <f>IF(ISBLANK(H12)," ",IF('Design Details &amp; Summary'!AA77=4,'Pres. Dist. STA'!I35,""))</f>
        <v xml:space="preserve"> </v>
      </c>
      <c r="H147" s="2959"/>
      <c r="J147" s="3132" t="s">
        <v>1373</v>
      </c>
      <c r="K147" s="3132"/>
      <c r="L147" s="3132"/>
      <c r="M147" s="3133"/>
      <c r="N147" s="1380" t="str">
        <f>IF(ISBLANK(H12)," ",IF('Design Details &amp; Summary'!AA77=4,'Pres. Dist. STA'!I33,""))</f>
        <v xml:space="preserve"> </v>
      </c>
      <c r="O147" s="1203" t="s">
        <v>1309</v>
      </c>
      <c r="Q147" s="23"/>
      <c r="R147" s="23"/>
      <c r="S147" s="2"/>
    </row>
    <row r="148" spans="1:50" ht="6" customHeight="1">
      <c r="A148" s="413"/>
      <c r="B148" s="394"/>
      <c r="D148" s="527"/>
      <c r="E148" s="527"/>
      <c r="F148" s="528"/>
      <c r="K148" s="1096"/>
      <c r="L148" s="1096"/>
      <c r="M148" s="1096"/>
      <c r="N148" s="1096"/>
      <c r="O148" s="1983"/>
      <c r="P148" s="1983"/>
      <c r="Q148" s="1983"/>
      <c r="S148" s="412"/>
    </row>
    <row r="149" spans="1:50" ht="15" customHeight="1">
      <c r="A149" s="413"/>
      <c r="B149" s="394"/>
      <c r="C149" s="3132" t="s">
        <v>1308</v>
      </c>
      <c r="D149" s="3132"/>
      <c r="E149" s="3132"/>
      <c r="F149" s="3133"/>
      <c r="G149" s="1380" t="str">
        <f>IF(ISBLANK(H12)," ",IF('Design Details &amp; Summary'!AA77=4,'Pres. Dist. STA'!I31,""))</f>
        <v xml:space="preserve"> </v>
      </c>
      <c r="H149" s="1203" t="s">
        <v>1309</v>
      </c>
      <c r="I149" s="384"/>
      <c r="J149" s="3318" t="s">
        <v>1310</v>
      </c>
      <c r="K149" s="3318"/>
      <c r="L149" s="3318"/>
      <c r="M149" s="3319"/>
      <c r="N149" s="1363" t="str">
        <f>IF(ISBLANK(H12)," ",IF('Design Details &amp; Summary'!AA77=4,('Pres. Dist. STA'!I21)*12,""))</f>
        <v xml:space="preserve"> </v>
      </c>
      <c r="O149" s="1203" t="s">
        <v>1309</v>
      </c>
      <c r="S149" s="412"/>
      <c r="Z149" s="528"/>
    </row>
    <row r="150" spans="1:50" ht="6" customHeight="1">
      <c r="A150" s="413"/>
      <c r="B150" s="394"/>
      <c r="C150" s="1981"/>
      <c r="D150" s="1981"/>
      <c r="E150" s="1981"/>
      <c r="F150" s="1981"/>
      <c r="G150" s="1554"/>
      <c r="H150" s="527"/>
      <c r="I150" s="384"/>
      <c r="K150" s="1985"/>
      <c r="L150" s="1985"/>
      <c r="M150" s="1985"/>
      <c r="N150" s="1985"/>
      <c r="O150" s="1985"/>
      <c r="S150" s="412"/>
      <c r="Z150" s="528"/>
    </row>
    <row r="151" spans="1:50" ht="15" customHeight="1">
      <c r="A151" s="413"/>
      <c r="B151" s="394"/>
      <c r="C151" s="394" t="s">
        <v>1453</v>
      </c>
      <c r="Q151" s="1985"/>
      <c r="S151" s="412"/>
    </row>
    <row r="152" spans="1:50" ht="18" customHeight="1">
      <c r="A152" s="400"/>
      <c r="B152" s="387" t="s">
        <v>719</v>
      </c>
      <c r="H152" s="384"/>
      <c r="I152" s="384"/>
      <c r="J152" s="383"/>
      <c r="K152" s="384"/>
      <c r="L152" s="384"/>
      <c r="M152" s="383"/>
      <c r="N152" s="384"/>
      <c r="O152" s="384"/>
      <c r="P152" s="383"/>
      <c r="S152" s="412"/>
    </row>
    <row r="153" spans="1:50" ht="57.95" customHeight="1">
      <c r="A153" s="400"/>
      <c r="B153" s="3308"/>
      <c r="C153" s="3308"/>
      <c r="D153" s="3308"/>
      <c r="E153" s="3308"/>
      <c r="F153" s="3308"/>
      <c r="G153" s="3308"/>
      <c r="H153" s="3308"/>
      <c r="I153" s="3308"/>
      <c r="J153" s="3308"/>
      <c r="K153" s="3308"/>
      <c r="L153" s="3308"/>
      <c r="M153" s="3308"/>
      <c r="N153" s="3308"/>
      <c r="O153" s="3308"/>
      <c r="P153" s="3308"/>
      <c r="Q153" s="3308"/>
      <c r="R153" s="3308"/>
      <c r="S153" s="412"/>
    </row>
    <row r="154" spans="1:50" ht="3.75" customHeight="1" thickBot="1">
      <c r="A154" s="411"/>
      <c r="B154" s="409"/>
      <c r="C154" s="409"/>
      <c r="D154" s="409"/>
      <c r="E154" s="409"/>
      <c r="F154" s="409"/>
      <c r="G154" s="409"/>
      <c r="H154" s="409"/>
      <c r="I154" s="409"/>
      <c r="J154" s="409"/>
      <c r="K154" s="409"/>
      <c r="L154" s="409"/>
      <c r="M154" s="409"/>
      <c r="N154" s="409"/>
      <c r="O154" s="409"/>
      <c r="P154" s="409"/>
      <c r="Q154" s="409"/>
      <c r="R154" s="381"/>
      <c r="S154" s="407"/>
    </row>
    <row r="155" spans="1:50">
      <c r="AW155" s="380"/>
      <c r="AX155" s="379"/>
    </row>
    <row r="156" spans="1:50">
      <c r="AW156" s="379"/>
      <c r="AX156" s="380"/>
    </row>
    <row r="157" spans="1:50">
      <c r="AW157" s="380"/>
      <c r="AX157" s="379"/>
    </row>
    <row r="158" spans="1:50">
      <c r="AW158" s="379"/>
      <c r="AX158" s="379"/>
    </row>
    <row r="159" spans="1:50">
      <c r="AW159" s="380"/>
      <c r="AX159" s="379"/>
    </row>
    <row r="160" spans="1:50">
      <c r="AW160" s="379"/>
      <c r="AX160" s="380"/>
    </row>
    <row r="161" spans="1:50">
      <c r="AW161" s="380"/>
      <c r="AX161" s="379"/>
    </row>
    <row r="162" spans="1:50">
      <c r="AW162" s="379"/>
      <c r="AX162" s="379"/>
    </row>
    <row r="163" spans="1:50">
      <c r="A163" s="394"/>
      <c r="B163" s="394"/>
      <c r="R163" s="394"/>
      <c r="AW163" s="380"/>
      <c r="AX163" s="379"/>
    </row>
    <row r="164" spans="1:50">
      <c r="A164" s="394"/>
      <c r="B164" s="394"/>
      <c r="R164" s="394"/>
      <c r="AW164" s="379"/>
      <c r="AX164" s="379"/>
    </row>
    <row r="165" spans="1:50">
      <c r="A165" s="394"/>
      <c r="B165" s="394"/>
      <c r="R165" s="394"/>
      <c r="AW165" s="380"/>
      <c r="AX165" s="380"/>
    </row>
    <row r="166" spans="1:50">
      <c r="A166" s="394"/>
      <c r="B166" s="394"/>
      <c r="R166" s="394"/>
      <c r="AW166" s="379"/>
      <c r="AX166" s="379"/>
    </row>
    <row r="167" spans="1:50">
      <c r="A167" s="394"/>
      <c r="B167" s="394"/>
      <c r="R167" s="394"/>
      <c r="AW167" s="380"/>
      <c r="AX167" s="379"/>
    </row>
    <row r="168" spans="1:50">
      <c r="A168" s="394"/>
      <c r="B168" s="394"/>
      <c r="R168" s="394"/>
      <c r="AW168" s="380"/>
      <c r="AX168" s="379"/>
    </row>
    <row r="169" spans="1:50">
      <c r="A169" s="394"/>
      <c r="B169" s="394"/>
      <c r="R169" s="394"/>
      <c r="AW169" s="379"/>
      <c r="AX169" s="379"/>
    </row>
    <row r="170" spans="1:50">
      <c r="A170" s="394"/>
      <c r="B170" s="394"/>
      <c r="R170" s="394"/>
      <c r="AW170" s="380"/>
      <c r="AX170" s="380"/>
    </row>
    <row r="171" spans="1:50">
      <c r="A171" s="394"/>
      <c r="B171" s="394"/>
      <c r="R171" s="394"/>
      <c r="AW171" s="379"/>
      <c r="AX171" s="379"/>
    </row>
    <row r="172" spans="1:50">
      <c r="A172" s="394"/>
      <c r="B172" s="394"/>
      <c r="R172" s="394"/>
      <c r="AW172" s="380"/>
      <c r="AX172" s="379"/>
    </row>
    <row r="173" spans="1:50">
      <c r="A173" s="394"/>
      <c r="B173" s="394"/>
      <c r="R173" s="394"/>
      <c r="AW173" s="379"/>
      <c r="AX173" s="379"/>
    </row>
    <row r="174" spans="1:50">
      <c r="A174" s="394"/>
      <c r="B174" s="394"/>
      <c r="R174" s="394"/>
      <c r="AW174" s="380"/>
      <c r="AX174" s="379"/>
    </row>
    <row r="175" spans="1:50">
      <c r="A175" s="394"/>
      <c r="B175" s="394"/>
      <c r="R175" s="394"/>
      <c r="AW175" s="379"/>
      <c r="AX175" s="380"/>
    </row>
    <row r="176" spans="1:50">
      <c r="A176" s="394"/>
      <c r="B176" s="394"/>
      <c r="R176" s="394"/>
      <c r="AW176" s="379"/>
      <c r="AX176" s="379"/>
    </row>
    <row r="177" spans="1:50">
      <c r="A177" s="394"/>
      <c r="B177" s="394"/>
      <c r="R177" s="394"/>
      <c r="AW177" s="380"/>
      <c r="AX177" s="379"/>
    </row>
    <row r="178" spans="1:50">
      <c r="A178" s="394"/>
      <c r="B178" s="394"/>
      <c r="R178" s="394"/>
      <c r="AW178" s="380"/>
      <c r="AX178" s="379"/>
    </row>
    <row r="179" spans="1:50">
      <c r="A179" s="394"/>
      <c r="B179" s="394"/>
      <c r="R179" s="394"/>
      <c r="AW179" s="380"/>
      <c r="AX179" s="379"/>
    </row>
    <row r="180" spans="1:50">
      <c r="A180" s="394"/>
      <c r="B180" s="394"/>
      <c r="R180" s="394"/>
      <c r="AW180" s="380"/>
      <c r="AX180" s="379"/>
    </row>
    <row r="181" spans="1:50">
      <c r="A181" s="394"/>
      <c r="B181" s="394"/>
      <c r="R181" s="394"/>
      <c r="AW181" s="380"/>
      <c r="AX181" s="379"/>
    </row>
    <row r="182" spans="1:50">
      <c r="A182" s="394"/>
      <c r="B182" s="394"/>
      <c r="R182" s="394"/>
      <c r="AW182" s="380"/>
      <c r="AX182" s="379"/>
    </row>
    <row r="183" spans="1:50">
      <c r="A183" s="394"/>
      <c r="B183" s="394"/>
      <c r="R183" s="394"/>
      <c r="AW183" s="379"/>
      <c r="AX183" s="379"/>
    </row>
    <row r="184" spans="1:50">
      <c r="A184" s="394"/>
      <c r="B184" s="394"/>
      <c r="R184" s="394"/>
      <c r="AW184" s="379"/>
      <c r="AX184" s="379"/>
    </row>
    <row r="185" spans="1:50">
      <c r="A185" s="394"/>
      <c r="B185" s="394"/>
      <c r="R185" s="394"/>
      <c r="AW185" s="380"/>
      <c r="AX185" s="380"/>
    </row>
    <row r="186" spans="1:50">
      <c r="A186" s="394"/>
      <c r="B186" s="394"/>
      <c r="R186" s="394"/>
      <c r="AW186" s="379"/>
      <c r="AX186" s="379"/>
    </row>
    <row r="187" spans="1:50">
      <c r="A187" s="394"/>
      <c r="B187" s="394"/>
      <c r="R187" s="394"/>
      <c r="AW187" s="379"/>
      <c r="AX187" s="379"/>
    </row>
    <row r="188" spans="1:50">
      <c r="A188" s="394"/>
      <c r="B188" s="394"/>
      <c r="R188" s="394"/>
      <c r="AW188" s="380"/>
      <c r="AX188" s="379"/>
    </row>
    <row r="189" spans="1:50">
      <c r="A189" s="394"/>
      <c r="B189" s="394"/>
      <c r="R189" s="394"/>
      <c r="AW189" s="379"/>
      <c r="AX189" s="379"/>
    </row>
    <row r="190" spans="1:50">
      <c r="A190" s="394"/>
      <c r="B190" s="394"/>
      <c r="R190" s="394"/>
      <c r="AW190" s="379"/>
      <c r="AX190" s="380"/>
    </row>
    <row r="191" spans="1:50">
      <c r="A191" s="394"/>
      <c r="B191" s="394"/>
      <c r="R191" s="394"/>
      <c r="AW191" s="380"/>
      <c r="AX191" s="379"/>
    </row>
    <row r="192" spans="1:50">
      <c r="A192" s="394"/>
      <c r="B192" s="394"/>
      <c r="R192" s="394"/>
      <c r="AW192" s="379"/>
      <c r="AX192" s="379"/>
    </row>
    <row r="193" spans="1:50">
      <c r="A193" s="394"/>
      <c r="B193" s="394"/>
      <c r="R193" s="394"/>
      <c r="AW193" s="379"/>
      <c r="AX193" s="379"/>
    </row>
    <row r="194" spans="1:50">
      <c r="A194" s="394"/>
      <c r="B194" s="394"/>
      <c r="R194" s="394"/>
      <c r="AW194" s="379"/>
      <c r="AX194" s="380"/>
    </row>
    <row r="195" spans="1:50">
      <c r="A195" s="394"/>
      <c r="B195" s="394"/>
      <c r="R195" s="394"/>
      <c r="AW195" s="379"/>
      <c r="AX195" s="380"/>
    </row>
    <row r="196" spans="1:50">
      <c r="A196" s="394"/>
      <c r="B196" s="394"/>
      <c r="R196" s="394"/>
      <c r="AW196" s="379"/>
      <c r="AX196" s="379"/>
    </row>
    <row r="197" spans="1:50">
      <c r="A197" s="394"/>
      <c r="B197" s="394"/>
      <c r="R197" s="394"/>
      <c r="AW197" s="379"/>
      <c r="AX197" s="380"/>
    </row>
    <row r="198" spans="1:50">
      <c r="A198" s="394"/>
      <c r="B198" s="394"/>
      <c r="R198" s="394"/>
      <c r="AW198" s="379"/>
      <c r="AX198" s="379"/>
    </row>
    <row r="199" spans="1:50">
      <c r="A199" s="394"/>
      <c r="B199" s="394"/>
      <c r="R199" s="394"/>
      <c r="AW199" s="379"/>
      <c r="AX199" s="379"/>
    </row>
    <row r="200" spans="1:50">
      <c r="A200" s="394"/>
      <c r="B200" s="394"/>
      <c r="R200" s="394"/>
      <c r="AW200" s="379"/>
      <c r="AX200" s="380"/>
    </row>
    <row r="201" spans="1:50">
      <c r="A201" s="394"/>
      <c r="B201" s="394"/>
      <c r="R201" s="394"/>
      <c r="AW201" s="379"/>
      <c r="AX201" s="379"/>
    </row>
    <row r="202" spans="1:50">
      <c r="A202" s="394"/>
      <c r="B202" s="394"/>
      <c r="R202" s="394"/>
      <c r="AW202" s="379"/>
      <c r="AX202" s="380"/>
    </row>
    <row r="203" spans="1:50">
      <c r="A203" s="394"/>
      <c r="B203" s="394"/>
      <c r="R203" s="394"/>
      <c r="AW203" s="379"/>
      <c r="AX203" s="379"/>
    </row>
    <row r="204" spans="1:50">
      <c r="A204" s="394"/>
      <c r="B204" s="394"/>
      <c r="R204" s="394"/>
      <c r="AW204" s="379"/>
      <c r="AX204" s="379"/>
    </row>
    <row r="205" spans="1:50">
      <c r="A205" s="394"/>
      <c r="B205" s="394"/>
      <c r="R205" s="394"/>
      <c r="AW205" s="379"/>
      <c r="AX205" s="380"/>
    </row>
    <row r="206" spans="1:50">
      <c r="A206" s="394"/>
      <c r="B206" s="394"/>
      <c r="R206" s="394"/>
      <c r="AW206" s="379"/>
      <c r="AX206" s="379"/>
    </row>
    <row r="207" spans="1:50">
      <c r="A207" s="394"/>
      <c r="B207" s="394"/>
      <c r="R207" s="394"/>
      <c r="AX207" s="380"/>
    </row>
    <row r="208" spans="1:50">
      <c r="A208" s="394"/>
      <c r="B208" s="394"/>
      <c r="R208" s="394"/>
      <c r="AX208" s="380"/>
    </row>
    <row r="209" spans="1:50">
      <c r="A209" s="394"/>
      <c r="B209" s="394"/>
      <c r="R209" s="394"/>
      <c r="AX209" s="379"/>
    </row>
    <row r="210" spans="1:50">
      <c r="A210" s="394"/>
      <c r="B210" s="394"/>
      <c r="R210" s="394"/>
      <c r="AX210" s="380"/>
    </row>
    <row r="211" spans="1:50">
      <c r="A211" s="394"/>
      <c r="B211" s="394"/>
      <c r="R211" s="394"/>
      <c r="AX211" s="379"/>
    </row>
    <row r="212" spans="1:50">
      <c r="A212" s="394"/>
      <c r="B212" s="394"/>
      <c r="R212" s="394"/>
      <c r="AX212" s="380"/>
    </row>
    <row r="213" spans="1:50">
      <c r="A213" s="394"/>
      <c r="B213" s="394"/>
      <c r="R213" s="394"/>
      <c r="AX213" s="380"/>
    </row>
    <row r="214" spans="1:50">
      <c r="A214" s="394"/>
      <c r="B214" s="394"/>
      <c r="R214" s="394"/>
      <c r="AX214" s="379"/>
    </row>
    <row r="215" spans="1:50">
      <c r="A215" s="394"/>
      <c r="B215" s="394"/>
      <c r="R215" s="394"/>
      <c r="AX215" s="379"/>
    </row>
    <row r="216" spans="1:50">
      <c r="A216" s="394"/>
      <c r="B216" s="394"/>
      <c r="R216" s="394"/>
      <c r="AX216" s="379"/>
    </row>
    <row r="217" spans="1:50">
      <c r="A217" s="394"/>
      <c r="B217" s="394"/>
      <c r="R217" s="394"/>
      <c r="AX217" s="379"/>
    </row>
    <row r="218" spans="1:50">
      <c r="A218" s="394"/>
      <c r="B218" s="394"/>
      <c r="R218" s="394"/>
      <c r="AX218" s="379"/>
    </row>
    <row r="219" spans="1:50">
      <c r="A219" s="394"/>
      <c r="B219" s="394"/>
      <c r="R219" s="394"/>
      <c r="AX219" s="379"/>
    </row>
    <row r="220" spans="1:50">
      <c r="A220" s="394"/>
      <c r="B220" s="394"/>
      <c r="R220" s="394"/>
      <c r="AX220" s="379"/>
    </row>
  </sheetData>
  <sheetProtection sheet="1" objects="1" scenarios="1"/>
  <customSheetViews>
    <customSheetView guid="{D1431318-1DB8-4C45-813B-5A8065DFC797}" showPageBreaks="1" zeroValues="0" printArea="1" view="pageBreakPreview">
      <selection activeCell="H12" sqref="H12:I12"/>
      <rowBreaks count="2" manualBreakCount="2">
        <brk id="49" max="18" man="1"/>
        <brk id="99" max="18" man="1"/>
      </rowBreaks>
      <pageMargins left="0" right="0" top="0" bottom="0" header="0" footer="0"/>
      <printOptions horizontalCentered="1"/>
      <pageSetup scale="94" fitToHeight="4" orientation="portrait" blackAndWhite="1" r:id="rId1"/>
      <headerFooter alignWithMargins="0"/>
    </customSheetView>
  </customSheetViews>
  <mergeCells count="116">
    <mergeCell ref="C149:F149"/>
    <mergeCell ref="C143:E145"/>
    <mergeCell ref="C33:G33"/>
    <mergeCell ref="H33:I33"/>
    <mergeCell ref="K33:R33"/>
    <mergeCell ref="Q139:R139"/>
    <mergeCell ref="Q141:R141"/>
    <mergeCell ref="Q143:R143"/>
    <mergeCell ref="G141:J141"/>
    <mergeCell ref="G100:H100"/>
    <mergeCell ref="H96:I96"/>
    <mergeCell ref="G98:H98"/>
    <mergeCell ref="L94:M94"/>
    <mergeCell ref="K90:L90"/>
    <mergeCell ref="D62:G62"/>
    <mergeCell ref="H62:I62"/>
    <mergeCell ref="M66:N66"/>
    <mergeCell ref="K143:P143"/>
    <mergeCell ref="K50:L50"/>
    <mergeCell ref="M79:N79"/>
    <mergeCell ref="I70:J70"/>
    <mergeCell ref="L141:P141"/>
    <mergeCell ref="L139:P139"/>
    <mergeCell ref="G139:H139"/>
    <mergeCell ref="F1:M1"/>
    <mergeCell ref="I102:M102"/>
    <mergeCell ref="O102:Q102"/>
    <mergeCell ref="W52:AA52"/>
    <mergeCell ref="O52:Q52"/>
    <mergeCell ref="P98:Q98"/>
    <mergeCell ref="M98:N98"/>
    <mergeCell ref="P100:Q100"/>
    <mergeCell ref="K96:L96"/>
    <mergeCell ref="N96:O96"/>
    <mergeCell ref="J98:K98"/>
    <mergeCell ref="N90:O90"/>
    <mergeCell ref="N88:O88"/>
    <mergeCell ref="H88:I88"/>
    <mergeCell ref="M100:N100"/>
    <mergeCell ref="L86:M86"/>
    <mergeCell ref="C8:G8"/>
    <mergeCell ref="L41:M41"/>
    <mergeCell ref="F26:G26"/>
    <mergeCell ref="F70:G70"/>
    <mergeCell ref="C55:R55"/>
    <mergeCell ref="C57:D57"/>
    <mergeCell ref="F57:G57"/>
    <mergeCell ref="O79:P79"/>
    <mergeCell ref="B153:R153"/>
    <mergeCell ref="E68:F68"/>
    <mergeCell ref="N81:O81"/>
    <mergeCell ref="O70:P70"/>
    <mergeCell ref="L75:M75"/>
    <mergeCell ref="L70:M70"/>
    <mergeCell ref="H90:I90"/>
    <mergeCell ref="K81:L81"/>
    <mergeCell ref="H81:I81"/>
    <mergeCell ref="K88:L88"/>
    <mergeCell ref="H68:I68"/>
    <mergeCell ref="H79:I79"/>
    <mergeCell ref="K79:L79"/>
    <mergeCell ref="H77:I77"/>
    <mergeCell ref="K77:L77"/>
    <mergeCell ref="N77:O77"/>
    <mergeCell ref="J149:M149"/>
    <mergeCell ref="C141:F141"/>
    <mergeCell ref="K92:L92"/>
    <mergeCell ref="P68:Q68"/>
    <mergeCell ref="C147:F147"/>
    <mergeCell ref="F143:G143"/>
    <mergeCell ref="G147:H147"/>
    <mergeCell ref="J147:M147"/>
    <mergeCell ref="I2:J2"/>
    <mergeCell ref="K2:L2"/>
    <mergeCell ref="K21:R23"/>
    <mergeCell ref="H26:I26"/>
    <mergeCell ref="L26:M26"/>
    <mergeCell ref="H4:I4"/>
    <mergeCell ref="H14:I14"/>
    <mergeCell ref="H12:I12"/>
    <mergeCell ref="H10:I10"/>
    <mergeCell ref="H6:I6"/>
    <mergeCell ref="D26:E26"/>
    <mergeCell ref="H8:I8"/>
    <mergeCell ref="G37:H37"/>
    <mergeCell ref="K37:L37"/>
    <mergeCell ref="D39:E39"/>
    <mergeCell ref="G39:H39"/>
    <mergeCell ref="D37:E37"/>
    <mergeCell ref="J46:K46"/>
    <mergeCell ref="D46:E46"/>
    <mergeCell ref="H35:I35"/>
    <mergeCell ref="G46:H46"/>
    <mergeCell ref="L29:M29"/>
    <mergeCell ref="C29:J30"/>
    <mergeCell ref="B41:K41"/>
    <mergeCell ref="O138:R138"/>
    <mergeCell ref="V61:Y62"/>
    <mergeCell ref="Y124:Z124"/>
    <mergeCell ref="J39:K39"/>
    <mergeCell ref="O66:P66"/>
    <mergeCell ref="C70:D70"/>
    <mergeCell ref="J100:K100"/>
    <mergeCell ref="Z61:Z62"/>
    <mergeCell ref="V63:Y63"/>
    <mergeCell ref="N50:O50"/>
    <mergeCell ref="J52:N52"/>
    <mergeCell ref="C64:R64"/>
    <mergeCell ref="M58:Q63"/>
    <mergeCell ref="V109:V118"/>
    <mergeCell ref="G54:J54"/>
    <mergeCell ref="H60:K60"/>
    <mergeCell ref="V64:Y64"/>
    <mergeCell ref="H50:I50"/>
    <mergeCell ref="V57:AA57"/>
    <mergeCell ref="V60:Y60"/>
  </mergeCells>
  <dataValidations xWindow="285" yWindow="482" count="5">
    <dataValidation type="list" allowBlank="1" showInputMessage="1" prompt="Typical loading rate is 1.2." sqref="H12:I12" xr:uid="{00000000-0002-0000-1400-000000000000}">
      <formula1>MediaLoadRate</formula1>
    </dataValidation>
    <dataValidation allowBlank="1" showInputMessage="1" sqref="H16:I23" xr:uid="{00000000-0002-0000-1400-000001000000}"/>
    <dataValidation type="decimal" operator="greaterThanOrEqual" allowBlank="1" showInputMessage="1" showErrorMessage="1" error="Enter a size that is larger than the minimum above, if so desired." sqref="L41" xr:uid="{00000000-0002-0000-1400-000004000000}">
      <formula1>F38</formula1>
    </dataValidation>
    <dataValidation allowBlank="1" sqref="L60 G61:L61" xr:uid="{00000000-0002-0000-1400-000005000000}"/>
    <dataValidation type="decimal" operator="lessThanOrEqual" allowBlank="1" showInputMessage="1" showErrorMessage="1" error="Enter a size that is larger than the minimum above, if so desired." sqref="H35:I35" xr:uid="{666F2603-DDF4-4E3C-AA59-3992922224A8}">
      <formula1>10</formula1>
    </dataValidation>
  </dataValidations>
  <printOptions horizontalCentered="1"/>
  <pageMargins left="0.4" right="0.15" top="0.4" bottom="0.15" header="0.5" footer="0.5"/>
  <pageSetup scale="95" fitToHeight="4" orientation="portrait" blackAndWhite="1" r:id="rId2"/>
  <headerFooter alignWithMargins="0"/>
  <rowBreaks count="2" manualBreakCount="2">
    <brk id="51" max="18" man="1"/>
    <brk id="101" max="18" man="1"/>
  </rowBreaks>
  <drawing r:id="rId3"/>
  <legacyDrawing r:id="rId4"/>
  <oleObjects>
    <mc:AlternateContent xmlns:mc="http://schemas.openxmlformats.org/markup-compatibility/2006">
      <mc:Choice Requires="x14">
        <oleObject progId="Photoshop.Image.4" shapeId="2348414" r:id="rId5">
          <objectPr defaultSize="0" autoPict="0" r:id="rId6">
            <anchor moveWithCells="1">
              <from>
                <xdr:col>0</xdr:col>
                <xdr:colOff>66675</xdr:colOff>
                <xdr:row>71</xdr:row>
                <xdr:rowOff>0</xdr:rowOff>
              </from>
              <to>
                <xdr:col>18</xdr:col>
                <xdr:colOff>28575</xdr:colOff>
                <xdr:row>73</xdr:row>
                <xdr:rowOff>0</xdr:rowOff>
              </to>
            </anchor>
          </objectPr>
        </oleObject>
      </mc:Choice>
      <mc:Fallback>
        <oleObject progId="Photoshop.Image.4" shapeId="2348414" r:id="rId5"/>
      </mc:Fallback>
    </mc:AlternateContent>
    <mc:AlternateContent xmlns:mc="http://schemas.openxmlformats.org/markup-compatibility/2006">
      <mc:Choice Requires="x14">
        <oleObject progId="Photoshop.Image.4" shapeId="2348440" r:id="rId7">
          <objectPr defaultSize="0" autoPict="0" r:id="rId8">
            <anchor moveWithCells="1">
              <from>
                <xdr:col>0</xdr:col>
                <xdr:colOff>85725</xdr:colOff>
                <xdr:row>81</xdr:row>
                <xdr:rowOff>38100</xdr:rowOff>
              </from>
              <to>
                <xdr:col>18</xdr:col>
                <xdr:colOff>0</xdr:colOff>
                <xdr:row>83</xdr:row>
                <xdr:rowOff>238125</xdr:rowOff>
              </to>
            </anchor>
          </objectPr>
        </oleObject>
      </mc:Choice>
      <mc:Fallback>
        <oleObject progId="Photoshop.Image.4" shapeId="2348440" r:id="rId7"/>
      </mc:Fallback>
    </mc:AlternateContent>
    <mc:AlternateContent xmlns:mc="http://schemas.openxmlformats.org/markup-compatibility/2006">
      <mc:Choice Requires="x14">
        <oleObject progId="Photoshop.Image.4" shapeId="2348441" r:id="rId9">
          <objectPr defaultSize="0" autoPict="0" r:id="rId10">
            <anchor moveWithCells="1">
              <from>
                <xdr:col>19</xdr:col>
                <xdr:colOff>104775</xdr:colOff>
                <xdr:row>70</xdr:row>
                <xdr:rowOff>28575</xdr:rowOff>
              </from>
              <to>
                <xdr:col>36</xdr:col>
                <xdr:colOff>142875</xdr:colOff>
                <xdr:row>72</xdr:row>
                <xdr:rowOff>209550</xdr:rowOff>
              </to>
            </anchor>
          </objectPr>
        </oleObject>
      </mc:Choice>
      <mc:Fallback>
        <oleObject progId="Photoshop.Image.4" shapeId="2348441" r:id="rId9"/>
      </mc:Fallback>
    </mc:AlternateContent>
    <mc:AlternateContent xmlns:mc="http://schemas.openxmlformats.org/markup-compatibility/2006">
      <mc:Choice Requires="x14">
        <oleObject progId="Photoshop.Image.4" shapeId="2348442" r:id="rId11">
          <objectPr defaultSize="0" autoPict="0" r:id="rId12">
            <anchor moveWithCells="1">
              <from>
                <xdr:col>19</xdr:col>
                <xdr:colOff>104775</xdr:colOff>
                <xdr:row>81</xdr:row>
                <xdr:rowOff>38100</xdr:rowOff>
              </from>
              <to>
                <xdr:col>36</xdr:col>
                <xdr:colOff>123825</xdr:colOff>
                <xdr:row>83</xdr:row>
                <xdr:rowOff>238125</xdr:rowOff>
              </to>
            </anchor>
          </objectPr>
        </oleObject>
      </mc:Choice>
      <mc:Fallback>
        <oleObject progId="Photoshop.Image.4" shapeId="2348442" r:id="rId11"/>
      </mc:Fallback>
    </mc:AlternateContent>
  </oleObjects>
  <extLst>
    <ext xmlns:x14="http://schemas.microsoft.com/office/spreadsheetml/2009/9/main" uri="{CCE6A557-97BC-4b89-ADB6-D9C93CAAB3DF}">
      <x14:dataValidations xmlns:xm="http://schemas.microsoft.com/office/excel/2006/main" xWindow="285" yWindow="482" count="3">
        <x14:dataValidation type="list" allowBlank="1" xr:uid="{00000000-0002-0000-1400-000008000000}">
          <x14:formula1>
            <xm:f>'Drop-Down Lists'!$BL$2:$BL$6</xm:f>
          </x14:formula1>
          <xm:sqref>L62</xm:sqref>
        </x14:dataValidation>
        <x14:dataValidation type="list" allowBlank="1" xr:uid="{00000000-0002-0000-1400-000007000000}">
          <x14:formula1>
            <xm:f>'Drop-Down Lists'!$W$8:$W$14</xm:f>
          </x14:formula1>
          <xm:sqref>C57:D57 H62:I62</xm:sqref>
        </x14:dataValidation>
        <x14:dataValidation type="list" allowBlank="1" showInputMessage="1" xr:uid="{00000000-0002-0000-1400-000006000000}">
          <x14:formula1>
            <xm:f>'Drop-Down Lists'!$BF$2:$BF$16</xm:f>
          </x14:formula1>
          <xm:sqref>H14:I14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9" tint="0.39997558519241921"/>
  </sheetPr>
  <dimension ref="A1:BC131"/>
  <sheetViews>
    <sheetView showGridLines="0" showZeros="0" view="pageBreakPreview" zoomScaleNormal="100" zoomScaleSheetLayoutView="100" workbookViewId="0">
      <selection activeCell="F6" sqref="F6"/>
    </sheetView>
  </sheetViews>
  <sheetFormatPr defaultColWidth="9.140625" defaultRowHeight="15"/>
  <cols>
    <col min="1" max="1" width="2" style="378" customWidth="1"/>
    <col min="2" max="2" width="2" style="377" customWidth="1"/>
    <col min="3" max="17" width="6" style="375" customWidth="1"/>
    <col min="18" max="18" width="6" style="376" customWidth="1"/>
    <col min="19" max="19" width="2" style="375" customWidth="1"/>
    <col min="20" max="21" width="2.42578125" style="375" customWidth="1"/>
    <col min="22" max="22" width="6.42578125" style="375" customWidth="1"/>
    <col min="23" max="23" width="5.42578125" style="375" customWidth="1"/>
    <col min="24" max="24" width="10.140625" style="375" customWidth="1"/>
    <col min="25" max="25" width="8" style="375" customWidth="1"/>
    <col min="26" max="36" width="5.42578125" style="375" customWidth="1"/>
    <col min="37" max="37" width="2" style="375" customWidth="1"/>
    <col min="38" max="16384" width="9.140625" style="375"/>
  </cols>
  <sheetData>
    <row r="1" spans="1:51" ht="47.25" customHeight="1" thickBot="1">
      <c r="B1" s="406"/>
      <c r="C1" s="406"/>
      <c r="D1" s="406"/>
      <c r="E1" s="3266" t="s">
        <v>1488</v>
      </c>
      <c r="F1" s="3266"/>
      <c r="G1" s="3266"/>
      <c r="H1" s="3266"/>
      <c r="I1" s="3266"/>
      <c r="J1" s="3266"/>
      <c r="K1" s="3266"/>
      <c r="L1" s="3266"/>
      <c r="M1" s="3266"/>
      <c r="N1" s="3266"/>
      <c r="O1" s="404"/>
      <c r="P1" s="404"/>
      <c r="Q1" s="404"/>
      <c r="R1" s="405"/>
      <c r="S1" s="404"/>
      <c r="U1" s="1412"/>
      <c r="V1" s="1412"/>
      <c r="W1" s="1412"/>
      <c r="X1" s="1412"/>
      <c r="Y1" s="1412"/>
      <c r="Z1" s="1412"/>
      <c r="AA1" s="1412"/>
      <c r="AB1" s="1412"/>
      <c r="AC1" s="1412"/>
      <c r="AD1" s="1412"/>
      <c r="AE1" s="1412"/>
      <c r="AF1" s="1412"/>
      <c r="AG1" s="1412"/>
      <c r="AH1" s="1412"/>
      <c r="AI1" s="1412"/>
      <c r="AJ1" s="1412"/>
      <c r="AK1" s="1412"/>
      <c r="AL1" s="1418"/>
      <c r="AM1" s="1412"/>
    </row>
    <row r="2" spans="1:51" s="1799" customFormat="1" ht="30" customHeight="1" thickBot="1">
      <c r="A2" s="2045"/>
      <c r="B2" s="2046"/>
      <c r="C2" s="2046"/>
      <c r="D2" s="3356" t="s">
        <v>1489</v>
      </c>
      <c r="E2" s="3356"/>
      <c r="F2" s="3356"/>
      <c r="G2" s="3356"/>
      <c r="H2" s="3356"/>
      <c r="I2" s="3356"/>
      <c r="J2" s="3356"/>
      <c r="K2" s="3356"/>
      <c r="L2" s="3356"/>
      <c r="M2" s="3356"/>
      <c r="N2" s="3356"/>
      <c r="O2" s="3356"/>
      <c r="P2" s="3356"/>
      <c r="Q2" s="2047"/>
      <c r="R2" s="2047"/>
      <c r="S2" s="2048"/>
      <c r="W2" s="1800"/>
      <c r="X2" s="1801"/>
      <c r="Y2" s="1801"/>
      <c r="Z2" s="1801"/>
      <c r="AA2" s="1801"/>
      <c r="AB2" s="1801"/>
      <c r="AC2" s="1801"/>
      <c r="AD2" s="1801"/>
      <c r="AE2" s="1551"/>
      <c r="AF2" s="1551"/>
      <c r="AG2" s="1551"/>
      <c r="AH2" s="1551"/>
      <c r="AI2" s="1551"/>
      <c r="AJ2" s="1551"/>
      <c r="AK2" s="1551"/>
      <c r="AL2" s="1551"/>
      <c r="AM2" s="1551"/>
      <c r="AN2" s="1551"/>
      <c r="AO2" s="1551"/>
      <c r="AX2" s="1802"/>
      <c r="AY2" s="1802"/>
    </row>
    <row r="3" spans="1:51" ht="15" customHeight="1" thickBot="1">
      <c r="A3" s="522"/>
      <c r="B3" s="523"/>
      <c r="C3" s="523"/>
      <c r="D3" s="523"/>
      <c r="E3" s="523"/>
      <c r="F3" s="523"/>
      <c r="G3" s="523"/>
      <c r="H3" s="523"/>
      <c r="I3" s="3177" t="s">
        <v>1164</v>
      </c>
      <c r="J3" s="3177"/>
      <c r="K3" s="3178" t="str">
        <f>IF(ISBLANK('Design Details &amp; Summary'!S3)," ",'Design Details &amp; Summary'!S3)</f>
        <v xml:space="preserve"> </v>
      </c>
      <c r="L3" s="3178"/>
      <c r="M3" s="523"/>
      <c r="N3" s="523"/>
      <c r="O3" s="523"/>
      <c r="P3" s="523"/>
      <c r="Q3" s="523"/>
      <c r="R3" s="1367" t="str">
        <f>'Drop-Down Lists'!A2</f>
        <v>v 05.01.2026</v>
      </c>
      <c r="S3" s="524"/>
      <c r="T3" s="1137"/>
      <c r="U3" s="1412"/>
      <c r="V3" s="1412"/>
      <c r="W3" s="1412"/>
      <c r="X3" s="1412"/>
      <c r="Y3" s="1412"/>
      <c r="Z3" s="1412"/>
      <c r="AA3" s="1412"/>
      <c r="AB3" s="1412"/>
      <c r="AC3" s="1412"/>
      <c r="AD3" s="1412"/>
      <c r="AE3" s="1412"/>
      <c r="AF3" s="1412"/>
      <c r="AG3" s="1412"/>
      <c r="AH3" s="1412"/>
      <c r="AI3" s="1412"/>
      <c r="AJ3" s="1412"/>
      <c r="AK3" s="1412"/>
      <c r="AL3" s="1418"/>
      <c r="AM3" s="1412"/>
    </row>
    <row r="4" spans="1:51" ht="15" customHeight="1">
      <c r="A4" s="400"/>
      <c r="B4" s="393" t="s">
        <v>1011</v>
      </c>
      <c r="C4" s="394" t="s">
        <v>1490</v>
      </c>
      <c r="D4" s="394"/>
      <c r="E4" s="394"/>
      <c r="F4" s="394"/>
      <c r="G4" s="394"/>
      <c r="H4" s="385"/>
      <c r="I4" s="394"/>
      <c r="J4" s="394"/>
      <c r="K4" s="388"/>
      <c r="L4" s="388"/>
      <c r="M4" s="388"/>
      <c r="N4" s="388"/>
      <c r="O4" s="388"/>
      <c r="P4" s="394"/>
      <c r="Q4" s="394"/>
      <c r="R4" s="383"/>
      <c r="S4" s="412"/>
      <c r="T4" s="1138"/>
      <c r="U4" s="1412"/>
      <c r="V4" s="1412"/>
      <c r="W4" s="1412"/>
      <c r="X4" s="1412"/>
      <c r="Y4" s="1412"/>
      <c r="Z4" s="1412"/>
      <c r="AA4" s="1412"/>
      <c r="AB4" s="1412"/>
      <c r="AC4" s="1412"/>
      <c r="AD4" s="1412"/>
      <c r="AE4" s="1412"/>
      <c r="AF4" s="1412"/>
      <c r="AG4" s="1412"/>
      <c r="AH4" s="1412"/>
      <c r="AI4" s="1412"/>
      <c r="AJ4" s="1412"/>
      <c r="AK4" s="1412"/>
      <c r="AL4" s="1412"/>
      <c r="AM4" s="1412"/>
    </row>
    <row r="5" spans="1:51" ht="5.0999999999999996" customHeight="1">
      <c r="A5" s="400"/>
      <c r="B5" s="387"/>
      <c r="C5" s="383"/>
      <c r="D5" s="383"/>
      <c r="E5" s="383"/>
      <c r="F5" s="383"/>
      <c r="G5" s="383"/>
      <c r="H5" s="394"/>
      <c r="I5" s="394"/>
      <c r="J5" s="394"/>
      <c r="K5" s="394"/>
      <c r="L5" s="394"/>
      <c r="M5" s="394"/>
      <c r="N5" s="394"/>
      <c r="O5" s="397"/>
      <c r="P5" s="394"/>
      <c r="Q5" s="394"/>
      <c r="R5" s="383"/>
      <c r="S5" s="417"/>
      <c r="U5" s="1412"/>
      <c r="V5" s="1412"/>
      <c r="W5" s="1412"/>
      <c r="X5" s="1412"/>
      <c r="Y5" s="1412"/>
      <c r="Z5" s="1412"/>
      <c r="AA5" s="1412"/>
      <c r="AB5" s="1412"/>
      <c r="AC5" s="1412"/>
      <c r="AD5" s="1412"/>
      <c r="AE5" s="1412"/>
      <c r="AF5" s="1412"/>
      <c r="AG5" s="1412"/>
      <c r="AH5" s="1412"/>
      <c r="AI5" s="1412"/>
      <c r="AJ5" s="1412"/>
      <c r="AK5" s="1412"/>
      <c r="AL5" s="1412"/>
      <c r="AM5" s="1412"/>
    </row>
    <row r="6" spans="1:51" ht="15" customHeight="1">
      <c r="A6" s="400"/>
      <c r="B6" s="2049" t="s">
        <v>1237</v>
      </c>
      <c r="C6" s="3340" t="str">
        <f>IF('Design Details &amp; Summary'!AA77=4,(MAX('Mound ≤ 1%'!C60,'Mound&gt;1%'!C57))," ")</f>
        <v xml:space="preserve"> </v>
      </c>
      <c r="D6" s="3341"/>
      <c r="E6" s="383" t="s">
        <v>1491</v>
      </c>
      <c r="F6" s="1097"/>
      <c r="G6" s="3330" t="s">
        <v>1492</v>
      </c>
      <c r="H6" s="3331"/>
      <c r="I6" s="3244" t="str">
        <f>IF('Design Details &amp; Summary'!AA77=4,MAX('Mound ≤ 1%'!J41,'Mound&gt;1%'!J39)," ")</f>
        <v xml:space="preserve"> </v>
      </c>
      <c r="J6" s="3245"/>
      <c r="K6" s="383" t="s">
        <v>1229</v>
      </c>
      <c r="L6" s="3244" t="str">
        <f>IF('Design Details &amp; Summary'!AA77=4,MAX('Mound ≤ 1%'!H37,'Mound&gt;1%'!H35)," ")</f>
        <v xml:space="preserve"> </v>
      </c>
      <c r="M6" s="3245"/>
      <c r="N6" s="375" t="s">
        <v>609</v>
      </c>
      <c r="O6" s="1985" t="s">
        <v>1240</v>
      </c>
      <c r="P6" s="3244" t="str">
        <f>IF(('Design Details &amp; Summary'!AA77=4),((C6+F6)/12)*I6*L6," ")</f>
        <v xml:space="preserve"> </v>
      </c>
      <c r="Q6" s="3245" t="e">
        <f>((#REF!+#REF!)/12)*B6*E6</f>
        <v>#REF!</v>
      </c>
      <c r="R6" s="383" t="s">
        <v>1241</v>
      </c>
      <c r="S6" s="412"/>
      <c r="T6" s="1138"/>
      <c r="U6" s="1412"/>
      <c r="V6" s="1412"/>
      <c r="W6" s="1412"/>
      <c r="X6" s="1412"/>
      <c r="Y6" s="1412"/>
      <c r="Z6" s="1412"/>
      <c r="AA6" s="1412"/>
      <c r="AB6" s="1412"/>
      <c r="AC6" s="1412"/>
      <c r="AD6" s="1412"/>
      <c r="AE6" s="1412"/>
      <c r="AF6" s="1412"/>
      <c r="AG6" s="1412"/>
      <c r="AH6" s="1412"/>
      <c r="AI6" s="1412"/>
      <c r="AJ6" s="1412"/>
      <c r="AK6" s="1412"/>
      <c r="AL6" s="1412"/>
      <c r="AM6" s="1412"/>
    </row>
    <row r="7" spans="1:51" ht="6" customHeight="1">
      <c r="A7" s="400"/>
      <c r="B7" s="387"/>
      <c r="C7" s="383"/>
      <c r="D7" s="383"/>
      <c r="E7" s="383"/>
      <c r="F7" s="383"/>
      <c r="G7" s="383"/>
      <c r="H7" s="394"/>
      <c r="I7" s="394"/>
      <c r="J7" s="394"/>
      <c r="K7" s="394"/>
      <c r="L7" s="394"/>
      <c r="M7" s="394"/>
      <c r="N7" s="394"/>
      <c r="O7" s="397"/>
      <c r="P7" s="394"/>
      <c r="Q7" s="394"/>
      <c r="R7" s="383"/>
      <c r="S7" s="417"/>
      <c r="U7" s="1412"/>
      <c r="V7" s="1412"/>
      <c r="W7" s="1412"/>
      <c r="X7" s="1412"/>
      <c r="Y7" s="1412"/>
      <c r="Z7" s="1412"/>
      <c r="AA7" s="1412"/>
      <c r="AB7" s="1412"/>
      <c r="AC7" s="1412"/>
      <c r="AD7" s="1412"/>
      <c r="AE7" s="1412"/>
      <c r="AF7" s="1412"/>
      <c r="AG7" s="1412"/>
      <c r="AH7" s="1412"/>
      <c r="AI7" s="1412"/>
      <c r="AJ7" s="1412"/>
      <c r="AK7" s="1412"/>
      <c r="AL7" s="1412"/>
      <c r="AM7" s="1412"/>
    </row>
    <row r="8" spans="1:51" ht="15" customHeight="1">
      <c r="A8" s="400"/>
      <c r="B8" s="397"/>
      <c r="C8" s="383" t="s">
        <v>1493</v>
      </c>
      <c r="D8" s="383"/>
      <c r="E8" s="383"/>
      <c r="F8" s="383"/>
      <c r="G8" s="383"/>
      <c r="H8" s="394"/>
      <c r="I8" s="394"/>
      <c r="J8" s="394"/>
      <c r="K8" s="3244" t="str">
        <f>IF('Design Details &amp; Summary'!AA77=0,"",IF('Design Details &amp; Summary'!AA77=1,"",IF('Design Details &amp; Summary'!AA77=2,"",IF('Design Details &amp; Summary'!AA77=3,"",IF('Design Details &amp; Summary'!AA77=5,"",IF('Design Details &amp; Summary'!AA77=4,P6))))))</f>
        <v/>
      </c>
      <c r="L8" s="3245"/>
      <c r="M8" s="3330" t="s">
        <v>1494</v>
      </c>
      <c r="N8" s="3287"/>
      <c r="O8" s="385" t="s">
        <v>1240</v>
      </c>
      <c r="P8" s="3244" t="str">
        <f>IF('Design Details &amp; Summary'!AA77=0,"",IF('Design Details &amp; Summary'!AA77=1,"",IF('Design Details &amp; Summary'!AA77=2,"",IF('Design Details &amp; Summary'!AA77=3,"",IF('Design Details &amp; Summary'!AA77=5,"",IF('Design Details &amp; Summary'!AA77=4,K8/27))))))</f>
        <v/>
      </c>
      <c r="Q8" s="3245"/>
      <c r="R8" s="383" t="s">
        <v>1243</v>
      </c>
      <c r="S8" s="412"/>
      <c r="U8" s="1412"/>
      <c r="V8" s="1412"/>
      <c r="W8" s="1381">
        <f>IF(ISBLANK('Mound&gt;1%'!H12),0,(('Mound&gt;1%'!C70)+('Mound&gt;1%'!C70+'Mound&gt;1%'!O79))/2)</f>
        <v>0</v>
      </c>
      <c r="X8" s="1381">
        <f>IF(ISBLANK('Mound ≤ 1%'!H12),0,('Mound ≤ 1%'!C76))</f>
        <v>0</v>
      </c>
      <c r="Y8" s="1412"/>
      <c r="Z8" s="1412"/>
      <c r="AA8" s="1412"/>
      <c r="AB8" s="1412"/>
      <c r="AC8" s="1412"/>
      <c r="AD8" s="1412"/>
      <c r="AE8" s="1412"/>
      <c r="AF8" s="1412"/>
      <c r="AG8" s="1412"/>
      <c r="AH8" s="1412"/>
      <c r="AI8" s="1412"/>
      <c r="AJ8" s="1412"/>
      <c r="AK8" s="1412"/>
      <c r="AL8" s="1412"/>
      <c r="AM8" s="1412"/>
    </row>
    <row r="9" spans="1:51" ht="5.0999999999999996" customHeight="1">
      <c r="A9" s="400"/>
      <c r="B9" s="397"/>
      <c r="C9" s="394"/>
      <c r="D9" s="383"/>
      <c r="E9" s="383"/>
      <c r="F9" s="383"/>
      <c r="G9" s="383"/>
      <c r="H9" s="384"/>
      <c r="I9" s="384"/>
      <c r="J9" s="394"/>
      <c r="K9" s="394"/>
      <c r="L9" s="394"/>
      <c r="M9" s="394"/>
      <c r="N9" s="394"/>
      <c r="O9" s="397"/>
      <c r="P9" s="394"/>
      <c r="Q9" s="394"/>
      <c r="R9" s="383"/>
      <c r="S9" s="412"/>
      <c r="U9" s="1412"/>
      <c r="V9" s="1412"/>
      <c r="W9" s="1412"/>
      <c r="X9" s="1412"/>
      <c r="Y9" s="1412"/>
      <c r="Z9" s="1412"/>
      <c r="AA9" s="1412"/>
      <c r="AB9" s="1412"/>
      <c r="AC9" s="1412"/>
      <c r="AD9" s="1412"/>
      <c r="AE9" s="1412"/>
      <c r="AF9" s="1412"/>
      <c r="AG9" s="1412"/>
      <c r="AH9" s="1412"/>
      <c r="AI9" s="1412"/>
      <c r="AJ9" s="1412"/>
      <c r="AK9" s="1412"/>
      <c r="AL9" s="1412"/>
      <c r="AM9" s="1412"/>
    </row>
    <row r="10" spans="1:51" ht="15" customHeight="1">
      <c r="A10" s="400"/>
      <c r="B10" s="397"/>
      <c r="C10" s="394" t="s">
        <v>1495</v>
      </c>
      <c r="D10" s="394"/>
      <c r="E10" s="394"/>
      <c r="F10" s="394"/>
      <c r="G10" s="394"/>
      <c r="H10" s="394"/>
      <c r="I10" s="394"/>
      <c r="J10" s="394"/>
      <c r="K10" s="3244" t="str">
        <f>IF('Design Details &amp; Summary'!AA77=0,"",IF('Design Details &amp; Summary'!AA77=1,"",IF('Design Details &amp; Summary'!AA77=2,"",IF('Design Details &amp; Summary'!AA77=3,"",IF('Design Details &amp; Summary'!AA77=5,"",IF('Design Details &amp; Summary'!AA77=4,P8))))))</f>
        <v/>
      </c>
      <c r="L10" s="3245"/>
      <c r="M10" s="3330" t="s">
        <v>1496</v>
      </c>
      <c r="N10" s="3287"/>
      <c r="O10" s="385" t="s">
        <v>1240</v>
      </c>
      <c r="P10" s="3244" t="str">
        <f>IF('Design Details &amp; Summary'!AA77=0,"",IF('Design Details &amp; Summary'!AA77=1,"",IF('Design Details &amp; Summary'!AA77=2,"",IF('Design Details &amp; Summary'!AA77=3,"",IF('Design Details &amp; Summary'!AA77=5,"",IF('Design Details &amp; Summary'!AA77=4,K10*1.3))))))</f>
        <v/>
      </c>
      <c r="Q10" s="3245"/>
      <c r="R10" s="383" t="s">
        <v>1243</v>
      </c>
      <c r="S10" s="412"/>
      <c r="U10" s="1412"/>
      <c r="V10" s="1412"/>
      <c r="W10" s="1412"/>
      <c r="X10" s="1412"/>
      <c r="Y10" s="1412"/>
      <c r="Z10" s="1412"/>
      <c r="AA10" s="1412"/>
      <c r="AB10" s="1412"/>
      <c r="AC10" s="1412"/>
      <c r="AD10" s="1412"/>
      <c r="AE10" s="1412"/>
      <c r="AF10" s="1412"/>
      <c r="AG10" s="1412"/>
      <c r="AH10" s="1412"/>
      <c r="AI10" s="1412"/>
      <c r="AJ10" s="1412"/>
      <c r="AK10" s="1412"/>
      <c r="AL10" s="1412"/>
      <c r="AM10" s="1412"/>
    </row>
    <row r="11" spans="1:51" ht="5.0999999999999996" customHeight="1" thickBot="1">
      <c r="A11" s="399"/>
      <c r="B11" s="408"/>
      <c r="C11" s="381"/>
      <c r="D11" s="381"/>
      <c r="E11" s="381"/>
      <c r="F11" s="381"/>
      <c r="G11" s="381"/>
      <c r="H11" s="409"/>
      <c r="I11" s="409"/>
      <c r="J11" s="409"/>
      <c r="K11" s="409"/>
      <c r="L11" s="409"/>
      <c r="M11" s="409"/>
      <c r="N11" s="409"/>
      <c r="O11" s="409"/>
      <c r="P11" s="391"/>
      <c r="Q11" s="382"/>
      <c r="R11" s="381"/>
      <c r="S11" s="407"/>
      <c r="U11" s="1412"/>
      <c r="V11" s="1412"/>
      <c r="W11" s="1412"/>
      <c r="X11" s="1412"/>
      <c r="Y11" s="1412"/>
      <c r="Z11" s="1412"/>
      <c r="AA11" s="1412"/>
      <c r="AB11" s="1412"/>
      <c r="AC11" s="1412"/>
      <c r="AD11" s="1412"/>
      <c r="AE11" s="1412"/>
      <c r="AF11" s="1412"/>
      <c r="AG11" s="1412"/>
      <c r="AH11" s="1412"/>
      <c r="AI11" s="1412"/>
      <c r="AJ11" s="1412"/>
      <c r="AK11" s="1412"/>
      <c r="AL11" s="1412"/>
      <c r="AM11" s="1412"/>
    </row>
    <row r="12" spans="1:51" ht="15" customHeight="1">
      <c r="A12" s="431"/>
      <c r="B12" s="432" t="s">
        <v>1019</v>
      </c>
      <c r="C12" s="433" t="s">
        <v>1497</v>
      </c>
      <c r="D12" s="433"/>
      <c r="E12" s="433"/>
      <c r="F12" s="433"/>
      <c r="G12" s="433"/>
      <c r="H12" s="433"/>
      <c r="I12" s="433"/>
      <c r="J12" s="433"/>
      <c r="K12" s="433"/>
      <c r="L12" s="433"/>
      <c r="M12" s="433"/>
      <c r="N12" s="433"/>
      <c r="O12" s="433"/>
      <c r="P12" s="433"/>
      <c r="Q12" s="433"/>
      <c r="R12" s="434"/>
      <c r="S12" s="435"/>
      <c r="U12" s="1412"/>
      <c r="V12" s="1412"/>
      <c r="W12" s="1412"/>
      <c r="X12" s="1412"/>
      <c r="Y12" s="1412"/>
      <c r="Z12" s="1412"/>
      <c r="AA12" s="1412"/>
      <c r="AB12" s="1412"/>
      <c r="AC12" s="1412"/>
      <c r="AD12" s="1412"/>
      <c r="AE12" s="1412"/>
      <c r="AF12" s="1412"/>
      <c r="AG12" s="1412"/>
      <c r="AH12" s="1412"/>
      <c r="AI12" s="1412"/>
      <c r="AJ12" s="1412"/>
      <c r="AK12" s="1412"/>
      <c r="AL12" s="1412"/>
      <c r="AM12" s="1412"/>
    </row>
    <row r="13" spans="1:51" ht="15" customHeight="1">
      <c r="A13" s="400"/>
      <c r="B13" s="397"/>
      <c r="C13" s="2050" t="s">
        <v>1498</v>
      </c>
      <c r="D13" s="394"/>
      <c r="E13" s="394"/>
      <c r="F13" s="394"/>
      <c r="G13" s="394"/>
      <c r="H13" s="394"/>
      <c r="I13" s="394"/>
      <c r="J13" s="394"/>
      <c r="K13" s="394"/>
      <c r="L13" s="394"/>
      <c r="M13" s="394"/>
      <c r="N13" s="394"/>
      <c r="O13" s="394"/>
      <c r="P13" s="394"/>
      <c r="Q13" s="394"/>
      <c r="R13" s="383"/>
      <c r="S13" s="412"/>
      <c r="U13" s="1412"/>
      <c r="V13" s="1412"/>
      <c r="W13" s="1412"/>
      <c r="X13" s="1412"/>
      <c r="Y13" s="1412"/>
      <c r="Z13" s="1412"/>
      <c r="AA13" s="1412"/>
      <c r="AB13" s="1412"/>
      <c r="AC13" s="1412"/>
      <c r="AD13" s="1412"/>
      <c r="AE13" s="1412"/>
      <c r="AF13" s="1412"/>
      <c r="AG13" s="1412"/>
      <c r="AH13" s="1412"/>
      <c r="AI13" s="1412"/>
      <c r="AJ13" s="1412"/>
      <c r="AK13" s="1412"/>
      <c r="AL13" s="1412"/>
      <c r="AM13" s="1412"/>
    </row>
    <row r="14" spans="1:51" ht="15" customHeight="1">
      <c r="A14" s="400"/>
      <c r="B14" s="397"/>
      <c r="E14" s="655"/>
      <c r="F14" s="394"/>
      <c r="G14" s="3244" t="str">
        <f>IF('Design Details &amp; Summary'!AA77=0,"",IF('Design Details &amp; Summary'!AA77=1,"",IF('Design Details &amp; Summary'!AA77=2,"",IF('Design Details &amp; Summary'!AA77=3,"",IF('Design Details &amp; Summary'!AA77=5,"",IF('Design Details &amp; Summary'!AA77=4,MAX(W8,X8)))))))</f>
        <v/>
      </c>
      <c r="H14" s="3245"/>
      <c r="I14" s="383" t="s">
        <v>1389</v>
      </c>
      <c r="J14" s="3244" t="str">
        <f>IF('Design Details &amp; Summary'!AA77=0,"",IF('Design Details &amp; Summary'!AA77=1,"",IF('Design Details &amp; Summary'!AA77=2,"",IF('Design Details &amp; Summary'!AA77=3,"",IF('Design Details &amp; Summary'!AA77=5,"",IF('Design Details &amp; Summary'!AA77=4,MAX('Mound ≤ 1%'!H37,'Mound&gt;1%'!H35)))))))</f>
        <v/>
      </c>
      <c r="K14" s="3245"/>
      <c r="L14" s="383" t="s">
        <v>1389</v>
      </c>
      <c r="M14" s="3344" t="str">
        <f>IF('Design Details &amp; Summary'!AA77=0,"",IF('Design Details &amp; Summary'!AA77=1,"",IF('Design Details &amp; Summary'!AA77=2,"",IF('Design Details &amp; Summary'!AA77=3,"",IF('Design Details &amp; Summary'!AA77=5,"",IF('Design Details &amp; Summary'!AA77=4,MAX('Mound ≤ 1%'!F94,'Mound&gt;1%'!J100)))))))</f>
        <v/>
      </c>
      <c r="N14" s="3339"/>
      <c r="O14" s="2042" t="s">
        <v>1208</v>
      </c>
      <c r="P14" s="3288" t="str">
        <f>IF('Design Details &amp; Summary'!AA77=0,"",IF('Design Details &amp; Summary'!AA77=1,"",IF('Design Details &amp; Summary'!AA77=2,"",IF('Design Details &amp; Summary'!AA77=3,"",IF('Design Details &amp; Summary'!AA77=5,"",IF('Design Details &amp; Summary'!AA77=4,G14*J14*M14))))))</f>
        <v/>
      </c>
      <c r="Q14" s="3289"/>
      <c r="R14" s="383" t="s">
        <v>1241</v>
      </c>
      <c r="S14" s="412"/>
      <c r="U14" s="1412"/>
      <c r="V14" s="1412"/>
      <c r="W14" s="1412"/>
      <c r="X14" s="1412"/>
      <c r="Y14" s="1412"/>
      <c r="Z14" s="1412"/>
      <c r="AA14" s="1412"/>
      <c r="AB14" s="1412"/>
      <c r="AC14" s="1412"/>
      <c r="AD14" s="1412"/>
      <c r="AE14" s="1412"/>
      <c r="AF14" s="1412"/>
      <c r="AG14" s="1412"/>
      <c r="AH14" s="1412"/>
      <c r="AI14" s="1412"/>
      <c r="AJ14" s="1412"/>
      <c r="AK14" s="1412"/>
      <c r="AL14" s="1412"/>
      <c r="AM14" s="1412"/>
    </row>
    <row r="15" spans="1:51" ht="5.0999999999999996" customHeight="1">
      <c r="A15" s="400"/>
      <c r="B15" s="397"/>
      <c r="C15" s="394"/>
      <c r="D15" s="394"/>
      <c r="E15" s="394"/>
      <c r="F15" s="394"/>
      <c r="G15" s="394"/>
      <c r="H15" s="394"/>
      <c r="I15" s="394"/>
      <c r="J15" s="394"/>
      <c r="K15" s="394"/>
      <c r="L15" s="394"/>
      <c r="M15" s="394"/>
      <c r="N15" s="394"/>
      <c r="O15" s="394"/>
      <c r="P15" s="394"/>
      <c r="Q15" s="394"/>
      <c r="R15" s="383"/>
      <c r="S15" s="412"/>
      <c r="U15" s="1412"/>
      <c r="V15" s="1412"/>
      <c r="W15" s="1412"/>
      <c r="X15" s="1412"/>
      <c r="Y15" s="1412"/>
      <c r="Z15" s="1412"/>
      <c r="AA15" s="1412"/>
      <c r="AB15" s="1412"/>
      <c r="AC15" s="1412"/>
      <c r="AD15" s="1412"/>
      <c r="AE15" s="1412"/>
      <c r="AF15" s="1412"/>
      <c r="AG15" s="1412"/>
      <c r="AH15" s="1412"/>
      <c r="AI15" s="1412"/>
      <c r="AJ15" s="1412"/>
      <c r="AK15" s="1412"/>
      <c r="AL15" s="1412"/>
      <c r="AM15" s="1412"/>
    </row>
    <row r="16" spans="1:51" ht="15" customHeight="1">
      <c r="A16" s="400"/>
      <c r="B16" s="397"/>
      <c r="C16" s="449" t="s">
        <v>1499</v>
      </c>
      <c r="D16" s="450"/>
      <c r="E16" s="450"/>
      <c r="F16" s="450"/>
      <c r="G16" s="450"/>
      <c r="H16" s="450"/>
      <c r="I16" s="450"/>
      <c r="J16" s="450"/>
      <c r="K16" s="450"/>
      <c r="L16" s="450"/>
      <c r="M16" s="450"/>
      <c r="N16" s="450"/>
      <c r="O16" s="450"/>
      <c r="P16" s="450"/>
      <c r="Q16" s="450"/>
      <c r="R16" s="451"/>
      <c r="S16" s="412"/>
      <c r="U16" s="1412"/>
      <c r="V16" s="1412"/>
      <c r="W16" s="1412"/>
      <c r="X16" s="1412"/>
      <c r="Y16" s="1412"/>
      <c r="Z16" s="1412"/>
      <c r="AA16" s="1412"/>
      <c r="AB16" s="1412"/>
      <c r="AC16" s="1412"/>
      <c r="AD16" s="1412"/>
      <c r="AE16" s="1412"/>
      <c r="AF16" s="1412"/>
      <c r="AG16" s="1412"/>
      <c r="AH16" s="1412"/>
      <c r="AI16" s="1412"/>
      <c r="AJ16" s="1412"/>
      <c r="AK16" s="1412"/>
      <c r="AL16" s="1412"/>
      <c r="AM16" s="1412"/>
    </row>
    <row r="17" spans="1:55" ht="15" customHeight="1">
      <c r="A17" s="400"/>
      <c r="B17" s="397"/>
      <c r="C17" s="427" t="s">
        <v>1500</v>
      </c>
      <c r="D17" s="394"/>
      <c r="E17" s="394"/>
      <c r="F17" s="394"/>
      <c r="G17" s="394"/>
      <c r="H17" s="394"/>
      <c r="I17" s="394"/>
      <c r="J17" s="394"/>
      <c r="K17" s="394"/>
      <c r="L17" s="394"/>
      <c r="M17" s="394"/>
      <c r="N17" s="394"/>
      <c r="O17" s="394"/>
      <c r="P17" s="394"/>
      <c r="Q17" s="394"/>
      <c r="R17" s="1365"/>
      <c r="S17" s="412"/>
      <c r="U17" s="1412"/>
      <c r="V17" s="1412"/>
      <c r="W17" s="1412"/>
      <c r="X17" s="1412"/>
      <c r="Y17" s="1412"/>
      <c r="Z17" s="1412"/>
      <c r="AA17" s="1412"/>
      <c r="AB17" s="1412"/>
      <c r="AC17" s="1412"/>
      <c r="AD17" s="1412"/>
      <c r="AE17" s="1412"/>
      <c r="AF17" s="1412"/>
      <c r="AG17" s="1412"/>
      <c r="AH17" s="1412"/>
      <c r="AI17" s="1412"/>
      <c r="AJ17" s="1412"/>
      <c r="AK17" s="1412"/>
      <c r="AL17" s="1412"/>
      <c r="AM17" s="1412"/>
    </row>
    <row r="18" spans="1:55" ht="15" customHeight="1">
      <c r="A18" s="400"/>
      <c r="B18" s="397"/>
      <c r="C18" s="427"/>
      <c r="D18" s="3249" t="str">
        <f>IF(ISBLANK('Mound ≤ 1%'!H12),"",'Mound ≤ 1%'!O76)</f>
        <v/>
      </c>
      <c r="E18" s="3339"/>
      <c r="F18" s="385" t="s">
        <v>1501</v>
      </c>
      <c r="G18" s="390" t="s">
        <v>1343</v>
      </c>
      <c r="H18" s="3249" t="str">
        <f>'Mound ≤ 1%'!L52</f>
        <v/>
      </c>
      <c r="I18" s="3339"/>
      <c r="J18" s="385" t="s">
        <v>1343</v>
      </c>
      <c r="K18" s="3344" t="str">
        <f>'Mound ≤ 1%'!F94</f>
        <v xml:space="preserve"> </v>
      </c>
      <c r="L18" s="3339"/>
      <c r="M18" s="394" t="s">
        <v>609</v>
      </c>
      <c r="N18" s="385" t="s">
        <v>1240</v>
      </c>
      <c r="O18" s="3244" t="str">
        <f>IF(ISBLANK('Mound ≤ 1%'!H12),"",MAX(6,(D18-1)*H18*K18))</f>
        <v/>
      </c>
      <c r="P18" s="3245"/>
      <c r="Q18" s="394"/>
      <c r="R18" s="1365"/>
      <c r="S18" s="412"/>
      <c r="U18" s="1412"/>
      <c r="V18" s="1412"/>
      <c r="W18" s="1412"/>
      <c r="X18" s="1412"/>
      <c r="Y18" s="1412"/>
      <c r="Z18" s="1412"/>
      <c r="AA18" s="1412"/>
      <c r="AB18" s="1412"/>
      <c r="AC18" s="1412"/>
      <c r="AD18" s="1412"/>
      <c r="AE18" s="1412"/>
      <c r="AF18" s="1412"/>
      <c r="AG18" s="1412"/>
      <c r="AH18" s="1412"/>
      <c r="AI18" s="1412"/>
      <c r="AJ18" s="1412"/>
      <c r="AK18" s="1412"/>
      <c r="AL18" s="1412"/>
      <c r="AM18" s="1412"/>
    </row>
    <row r="19" spans="1:55" ht="5.0999999999999996" customHeight="1">
      <c r="A19" s="400"/>
      <c r="B19" s="397"/>
      <c r="C19" s="427"/>
      <c r="D19" s="394"/>
      <c r="E19" s="394"/>
      <c r="F19" s="394"/>
      <c r="G19" s="394"/>
      <c r="H19" s="394"/>
      <c r="I19" s="394"/>
      <c r="J19" s="394"/>
      <c r="K19" s="394"/>
      <c r="L19" s="394"/>
      <c r="M19" s="394"/>
      <c r="N19" s="394"/>
      <c r="O19" s="394"/>
      <c r="P19" s="394"/>
      <c r="Q19" s="394"/>
      <c r="R19" s="1365"/>
      <c r="S19" s="412"/>
      <c r="U19" s="1412"/>
      <c r="V19" s="1412"/>
      <c r="W19" s="1412"/>
      <c r="X19" s="1412"/>
      <c r="Y19" s="1412"/>
      <c r="Z19" s="1412"/>
      <c r="AA19" s="1412"/>
      <c r="AB19" s="1412"/>
      <c r="AC19" s="1412"/>
      <c r="AD19" s="1412"/>
      <c r="AE19" s="1412"/>
      <c r="AF19" s="1412"/>
      <c r="AG19" s="1412"/>
      <c r="AH19" s="1412"/>
      <c r="AI19" s="1412"/>
      <c r="AJ19" s="1412"/>
      <c r="AK19" s="1412"/>
      <c r="AL19" s="1412"/>
      <c r="AM19" s="1412"/>
    </row>
    <row r="20" spans="1:55" ht="15" customHeight="1">
      <c r="A20" s="400"/>
      <c r="B20" s="397"/>
      <c r="C20" s="427" t="s">
        <v>1502</v>
      </c>
      <c r="D20" s="394"/>
      <c r="E20" s="394"/>
      <c r="F20" s="394"/>
      <c r="G20" s="394"/>
      <c r="H20" s="394"/>
      <c r="I20" s="394"/>
      <c r="J20" s="394"/>
      <c r="K20" s="394"/>
      <c r="L20" s="394"/>
      <c r="M20" s="394"/>
      <c r="N20" s="394"/>
      <c r="O20" s="394"/>
      <c r="P20" s="394"/>
      <c r="Q20" s="394"/>
      <c r="R20" s="1365"/>
      <c r="S20" s="412"/>
      <c r="U20" s="1412"/>
      <c r="V20" s="1412"/>
      <c r="W20" s="1412"/>
      <c r="X20" s="1412"/>
      <c r="Y20" s="1412"/>
      <c r="Z20" s="1412"/>
      <c r="AA20" s="1412"/>
      <c r="AB20" s="1412"/>
      <c r="AC20" s="1412"/>
      <c r="AD20" s="1412"/>
      <c r="AE20" s="1412"/>
      <c r="AF20" s="1412"/>
      <c r="AG20" s="1412"/>
      <c r="AH20" s="1412"/>
      <c r="AI20" s="1412"/>
      <c r="AJ20" s="1412"/>
      <c r="AK20" s="1412"/>
      <c r="AL20" s="1412"/>
      <c r="AM20" s="1412"/>
    </row>
    <row r="21" spans="1:55" ht="15" customHeight="1">
      <c r="A21" s="400"/>
      <c r="B21" s="397"/>
      <c r="C21" s="427"/>
      <c r="D21" s="3249" t="str">
        <f>'Mound ≤ 1%'!O76</f>
        <v/>
      </c>
      <c r="E21" s="3339"/>
      <c r="F21" s="385" t="s">
        <v>1501</v>
      </c>
      <c r="G21" s="390" t="s">
        <v>1343</v>
      </c>
      <c r="H21" s="3249" t="str">
        <f>'Mound ≤ 1%'!L52</f>
        <v/>
      </c>
      <c r="I21" s="3339"/>
      <c r="J21" s="385" t="s">
        <v>1343</v>
      </c>
      <c r="K21" s="3288">
        <f>'Mound ≤ 1%'!H37</f>
        <v>0</v>
      </c>
      <c r="L21" s="3339"/>
      <c r="M21" s="394" t="s">
        <v>609</v>
      </c>
      <c r="N21" s="385" t="s">
        <v>1240</v>
      </c>
      <c r="O21" s="3244" t="str">
        <f>IF(ISBLANK('Mound ≤ 1%'!H12),"",MAX(6,(D21-1)*H21*K21))</f>
        <v/>
      </c>
      <c r="P21" s="3245"/>
      <c r="Q21" s="394"/>
      <c r="R21" s="1365"/>
      <c r="S21" s="412"/>
      <c r="U21" s="1412"/>
      <c r="V21" s="1412"/>
      <c r="W21" s="1413"/>
      <c r="X21" s="1412"/>
      <c r="Y21" s="1412"/>
      <c r="Z21" s="1412"/>
      <c r="AA21" s="1412"/>
      <c r="AB21" s="1412"/>
      <c r="AC21" s="1412"/>
      <c r="AD21" s="1412"/>
      <c r="AE21" s="1412"/>
      <c r="AF21" s="1412"/>
      <c r="AG21" s="1412"/>
      <c r="AH21" s="1412"/>
      <c r="AI21" s="1412"/>
      <c r="AJ21" s="1412"/>
      <c r="AK21" s="1412"/>
      <c r="AL21" s="1412"/>
      <c r="AM21" s="1412"/>
    </row>
    <row r="22" spans="1:55" ht="5.0999999999999996" customHeight="1">
      <c r="A22" s="400"/>
      <c r="B22" s="397"/>
      <c r="C22" s="427"/>
      <c r="D22" s="379"/>
      <c r="E22" s="385"/>
      <c r="F22" s="385"/>
      <c r="G22" s="390"/>
      <c r="H22" s="379"/>
      <c r="I22" s="385"/>
      <c r="J22" s="394"/>
      <c r="K22" s="385"/>
      <c r="L22" s="385"/>
      <c r="M22" s="394"/>
      <c r="N22" s="394"/>
      <c r="O22" s="379"/>
      <c r="P22" s="385"/>
      <c r="Q22" s="394"/>
      <c r="R22" s="1365"/>
      <c r="S22" s="412"/>
      <c r="U22" s="1412"/>
      <c r="V22" s="1412"/>
      <c r="W22" s="1413"/>
      <c r="X22" s="1412"/>
      <c r="Y22" s="1412"/>
      <c r="Z22" s="1412"/>
      <c r="AA22" s="1412"/>
      <c r="AB22" s="1412"/>
      <c r="AC22" s="1412"/>
      <c r="AD22" s="1412"/>
      <c r="AE22" s="1412"/>
      <c r="AF22" s="1412"/>
      <c r="AG22" s="1412"/>
      <c r="AH22" s="1412"/>
      <c r="AI22" s="1412"/>
      <c r="AJ22" s="1412"/>
      <c r="AK22" s="1412"/>
      <c r="AL22" s="1412"/>
      <c r="AM22" s="1412"/>
    </row>
    <row r="23" spans="1:55" ht="15" customHeight="1">
      <c r="A23" s="400"/>
      <c r="B23" s="397"/>
      <c r="C23" s="426" t="s">
        <v>1503</v>
      </c>
      <c r="D23" s="394"/>
      <c r="E23" s="394"/>
      <c r="F23" s="394"/>
      <c r="G23" s="394"/>
      <c r="H23" s="394"/>
      <c r="I23" s="394"/>
      <c r="J23" s="394"/>
      <c r="K23" s="394"/>
      <c r="L23" s="394"/>
      <c r="M23" s="394"/>
      <c r="N23" s="394"/>
      <c r="O23" s="394"/>
      <c r="P23" s="394"/>
      <c r="Q23" s="394"/>
      <c r="R23" s="1365"/>
      <c r="S23" s="412"/>
      <c r="U23" s="1412"/>
      <c r="V23" s="1412"/>
      <c r="W23" s="1413"/>
      <c r="X23" s="1412"/>
      <c r="Y23" s="1412"/>
      <c r="Z23" s="1412"/>
      <c r="AA23" s="1412"/>
      <c r="AB23" s="1412"/>
      <c r="AC23" s="1412"/>
      <c r="AD23" s="1412"/>
      <c r="AE23" s="1412"/>
      <c r="AF23" s="1412"/>
      <c r="AG23" s="1412"/>
      <c r="AH23" s="1412"/>
      <c r="AI23" s="1412"/>
      <c r="AJ23" s="1412"/>
      <c r="AK23" s="1412"/>
      <c r="AL23" s="1412"/>
      <c r="AM23" s="1412"/>
    </row>
    <row r="24" spans="1:55" ht="15" customHeight="1">
      <c r="A24" s="400"/>
      <c r="B24" s="397"/>
      <c r="C24" s="427"/>
      <c r="F24" s="3244" t="str">
        <f>O18</f>
        <v/>
      </c>
      <c r="G24" s="3245"/>
      <c r="H24" s="385" t="s">
        <v>1504</v>
      </c>
      <c r="I24" s="3244" t="str">
        <f>O21</f>
        <v/>
      </c>
      <c r="J24" s="3245"/>
      <c r="K24" s="385" t="s">
        <v>1504</v>
      </c>
      <c r="L24" s="3358" t="str">
        <f>IF(ISBLANK('Mound ≤ 1%'!H12),"",P14)</f>
        <v/>
      </c>
      <c r="M24" s="3359"/>
      <c r="N24" s="385" t="s">
        <v>1505</v>
      </c>
      <c r="O24" s="3244" t="str">
        <f>IF(ISBLANK('Mound ≤ 1%'!H12),"",O18+O21+P14)</f>
        <v/>
      </c>
      <c r="P24" s="3245"/>
      <c r="Q24" s="383" t="s">
        <v>1241</v>
      </c>
      <c r="R24" s="425"/>
      <c r="S24" s="412"/>
      <c r="U24" s="1412"/>
      <c r="V24" s="1412"/>
      <c r="W24" s="1412"/>
      <c r="X24" s="1412"/>
      <c r="Y24" s="1412"/>
      <c r="Z24" s="1412"/>
      <c r="AA24" s="1412"/>
      <c r="AB24" s="1412"/>
      <c r="AC24" s="1412"/>
      <c r="AD24" s="1412"/>
      <c r="AE24" s="1412"/>
      <c r="AF24" s="1412"/>
      <c r="AG24" s="1412"/>
      <c r="AH24" s="1412"/>
      <c r="AI24" s="1412"/>
      <c r="AJ24" s="1412"/>
      <c r="AK24" s="1412"/>
      <c r="AL24" s="1412"/>
      <c r="AM24" s="1412"/>
    </row>
    <row r="25" spans="1:55" ht="5.0999999999999996" customHeight="1">
      <c r="A25" s="400"/>
      <c r="B25" s="397"/>
      <c r="C25" s="424"/>
      <c r="D25" s="420"/>
      <c r="E25" s="420"/>
      <c r="F25" s="423"/>
      <c r="G25" s="419"/>
      <c r="H25" s="420"/>
      <c r="I25" s="423"/>
      <c r="J25" s="420"/>
      <c r="K25" s="420"/>
      <c r="L25" s="423"/>
      <c r="M25" s="420"/>
      <c r="N25" s="420"/>
      <c r="O25" s="422"/>
      <c r="P25" s="420"/>
      <c r="Q25" s="420"/>
      <c r="R25" s="421"/>
      <c r="S25" s="412"/>
      <c r="U25" s="1412"/>
      <c r="V25" s="1412"/>
      <c r="W25" s="1413"/>
      <c r="X25" s="1412"/>
      <c r="Y25" s="1412"/>
      <c r="Z25" s="1412"/>
      <c r="AA25" s="1412"/>
      <c r="AB25" s="1412"/>
      <c r="AC25" s="1412"/>
      <c r="AD25" s="1412"/>
      <c r="AE25" s="1412"/>
      <c r="AF25" s="1412"/>
      <c r="AG25" s="1412"/>
      <c r="AH25" s="1412"/>
      <c r="AI25" s="1412"/>
      <c r="AJ25" s="1412"/>
      <c r="AK25" s="1412"/>
      <c r="AL25" s="1412"/>
      <c r="AM25" s="1412"/>
    </row>
    <row r="26" spans="1:55" ht="15" customHeight="1">
      <c r="A26" s="400"/>
      <c r="B26" s="397"/>
      <c r="C26" s="449" t="s">
        <v>1506</v>
      </c>
      <c r="D26" s="452"/>
      <c r="E26" s="452"/>
      <c r="F26" s="453"/>
      <c r="G26" s="452"/>
      <c r="H26" s="452"/>
      <c r="I26" s="453"/>
      <c r="J26" s="452"/>
      <c r="K26" s="452"/>
      <c r="L26" s="453"/>
      <c r="M26" s="452"/>
      <c r="N26" s="452"/>
      <c r="O26" s="454"/>
      <c r="P26" s="452"/>
      <c r="Q26" s="452"/>
      <c r="R26" s="451"/>
      <c r="S26" s="412"/>
      <c r="U26" s="1412"/>
      <c r="V26" s="1412"/>
      <c r="W26" s="1413"/>
      <c r="X26" s="1412"/>
      <c r="Y26" s="1412"/>
      <c r="Z26" s="1412"/>
      <c r="AA26" s="1412"/>
      <c r="AB26" s="1412"/>
      <c r="AC26" s="1412"/>
      <c r="AD26" s="1412"/>
      <c r="AE26" s="1412"/>
      <c r="AF26" s="1412"/>
      <c r="AG26" s="1412"/>
      <c r="AH26" s="1412"/>
      <c r="AI26" s="1412"/>
      <c r="AJ26" s="1412"/>
      <c r="AK26" s="1412"/>
      <c r="AL26" s="1412"/>
      <c r="AM26" s="1412"/>
    </row>
    <row r="27" spans="1:55" ht="15" customHeight="1">
      <c r="A27" s="400"/>
      <c r="B27" s="397"/>
      <c r="C27" s="429" t="s">
        <v>1507</v>
      </c>
      <c r="D27" s="2051"/>
      <c r="E27" s="2051"/>
      <c r="F27" s="2051"/>
      <c r="G27" s="2051"/>
      <c r="H27" s="2051"/>
      <c r="I27" s="2051"/>
      <c r="J27" s="2051"/>
      <c r="K27" s="2051"/>
      <c r="L27" s="2051"/>
      <c r="M27" s="2051"/>
      <c r="N27" s="2051"/>
      <c r="O27" s="2051"/>
      <c r="P27" s="2051"/>
      <c r="Q27" s="2051"/>
      <c r="R27" s="428"/>
      <c r="S27" s="412"/>
      <c r="U27" s="1412"/>
      <c r="V27" s="1412"/>
      <c r="W27" s="1413"/>
      <c r="X27" s="1412"/>
      <c r="Y27" s="1412"/>
      <c r="Z27" s="1412"/>
      <c r="AA27" s="1412"/>
      <c r="AB27" s="1412"/>
      <c r="AC27" s="1412"/>
      <c r="AD27" s="1412"/>
      <c r="AE27" s="1412"/>
      <c r="AF27" s="1412"/>
      <c r="AG27" s="1412"/>
      <c r="AH27" s="1412"/>
      <c r="AI27" s="1412"/>
      <c r="AJ27" s="1412"/>
      <c r="AK27" s="1412"/>
      <c r="AL27" s="1412"/>
      <c r="AM27" s="1412"/>
    </row>
    <row r="28" spans="1:55" ht="15" customHeight="1">
      <c r="A28" s="400"/>
      <c r="B28" s="397"/>
      <c r="C28" s="427"/>
      <c r="D28" s="394"/>
      <c r="E28" s="2017" t="s">
        <v>1508</v>
      </c>
      <c r="F28" s="3244" t="str">
        <f>IF(ISBLANK('Mound&gt;1%'!H12),"",'Mound&gt;1%'!O70)</f>
        <v/>
      </c>
      <c r="G28" s="3245"/>
      <c r="H28" s="1369" t="s">
        <v>1501</v>
      </c>
      <c r="I28" s="385" t="s">
        <v>1343</v>
      </c>
      <c r="J28" s="3287" t="s">
        <v>1509</v>
      </c>
      <c r="K28" s="3342"/>
      <c r="L28" s="3343"/>
      <c r="M28" s="3244">
        <f>IF(ISBLANK('Mound&gt;1%'!J100),"",'Mound&gt;1%'!J100)</f>
        <v>0</v>
      </c>
      <c r="N28" s="3245"/>
      <c r="O28" s="2052" t="s">
        <v>1510</v>
      </c>
      <c r="P28" s="3244" t="str">
        <f>IF(ISBLANK('Mound&gt;1%'!H12),"",((F28-1)*3*M28)/2)</f>
        <v/>
      </c>
      <c r="Q28" s="3245"/>
      <c r="R28" s="1365" t="s">
        <v>1241</v>
      </c>
      <c r="S28" s="412"/>
      <c r="U28" s="1412"/>
      <c r="V28" s="1412"/>
      <c r="W28" s="1414"/>
      <c r="X28" s="1414"/>
      <c r="Y28" s="1415"/>
      <c r="Z28" s="1414"/>
      <c r="AA28" s="1414"/>
      <c r="AB28" s="1415"/>
      <c r="AC28" s="1414"/>
      <c r="AD28" s="1414"/>
      <c r="AE28" s="1415"/>
      <c r="AF28" s="1414"/>
      <c r="AG28" s="1414"/>
      <c r="AH28" s="1415"/>
      <c r="AI28" s="1414"/>
      <c r="AJ28" s="1414"/>
      <c r="AK28" s="1415"/>
      <c r="AL28" s="1414"/>
      <c r="AM28" s="1414"/>
      <c r="AN28" s="385"/>
      <c r="BC28" s="394"/>
    </row>
    <row r="29" spans="1:55" ht="5.0999999999999996" customHeight="1">
      <c r="A29" s="400"/>
      <c r="B29" s="397"/>
      <c r="C29" s="427"/>
      <c r="D29" s="394"/>
      <c r="E29" s="394"/>
      <c r="F29" s="394"/>
      <c r="G29" s="394"/>
      <c r="H29" s="394"/>
      <c r="I29" s="394"/>
      <c r="J29" s="394"/>
      <c r="K29" s="394"/>
      <c r="L29" s="394"/>
      <c r="M29" s="394"/>
      <c r="N29" s="394"/>
      <c r="O29" s="394"/>
      <c r="P29" s="394"/>
      <c r="Q29" s="394"/>
      <c r="R29" s="1365"/>
      <c r="S29" s="412"/>
      <c r="U29" s="1414"/>
      <c r="V29" s="1415"/>
      <c r="W29" s="1412"/>
      <c r="X29" s="1412"/>
      <c r="Y29" s="1412"/>
      <c r="Z29" s="1412"/>
      <c r="AA29" s="1412"/>
      <c r="AB29" s="1412"/>
      <c r="AC29" s="1412"/>
      <c r="AD29" s="1412"/>
      <c r="AE29" s="1412"/>
      <c r="AF29" s="1412"/>
      <c r="AG29" s="1412"/>
      <c r="AH29" s="1412"/>
      <c r="AI29" s="1412"/>
      <c r="AJ29" s="1412"/>
      <c r="AK29" s="1412"/>
      <c r="AL29" s="1412"/>
      <c r="AM29" s="1412"/>
    </row>
    <row r="30" spans="1:55" ht="15" customHeight="1">
      <c r="A30" s="400"/>
      <c r="B30" s="397"/>
      <c r="C30" s="426" t="s">
        <v>1511</v>
      </c>
      <c r="D30" s="394"/>
      <c r="E30" s="394"/>
      <c r="F30" s="394"/>
      <c r="G30" s="394"/>
      <c r="H30" s="394"/>
      <c r="I30" s="394"/>
      <c r="J30" s="394"/>
      <c r="K30" s="394"/>
      <c r="L30" s="394"/>
      <c r="M30" s="394"/>
      <c r="N30" s="394"/>
      <c r="O30" s="394"/>
      <c r="P30" s="394"/>
      <c r="Q30" s="394"/>
      <c r="R30" s="1365"/>
      <c r="S30" s="412"/>
      <c r="U30" s="1412"/>
      <c r="V30" s="1412"/>
      <c r="W30" s="1412"/>
      <c r="X30" s="1412"/>
      <c r="Y30" s="1412"/>
      <c r="Z30" s="1412"/>
      <c r="AA30" s="1412"/>
      <c r="AB30" s="1412"/>
      <c r="AC30" s="1412"/>
      <c r="AD30" s="1412"/>
      <c r="AE30" s="1412"/>
      <c r="AF30" s="1412"/>
      <c r="AG30" s="1412"/>
      <c r="AH30" s="1412"/>
      <c r="AI30" s="1412"/>
      <c r="AJ30" s="1412"/>
      <c r="AK30" s="1412"/>
      <c r="AL30" s="1412"/>
      <c r="AM30" s="1412"/>
    </row>
    <row r="31" spans="1:55" ht="15" customHeight="1">
      <c r="A31" s="400"/>
      <c r="B31" s="397"/>
      <c r="C31" s="427"/>
      <c r="D31" s="394"/>
      <c r="E31" s="2017" t="s">
        <v>1508</v>
      </c>
      <c r="F31" s="3244" t="str">
        <f>IF(ISBLANK('Mound&gt;1%'!H12),"",'Mound&gt;1%'!N81)</f>
        <v/>
      </c>
      <c r="G31" s="3245"/>
      <c r="H31" s="1369" t="s">
        <v>1512</v>
      </c>
      <c r="I31" s="385" t="s">
        <v>1343</v>
      </c>
      <c r="J31" s="3357" t="str">
        <f>IF(ISBLANK('Mound&gt;1%'!H12),"",'Mound&gt;1%'!N50)</f>
        <v/>
      </c>
      <c r="K31" s="3245"/>
      <c r="L31" s="383" t="s">
        <v>1389</v>
      </c>
      <c r="M31" s="3244">
        <f>IF(ISBLANK('Mound Mat.'!M28:N28),"",'Mound Mat.'!M28:N28)</f>
        <v>0</v>
      </c>
      <c r="N31" s="3245"/>
      <c r="O31" s="2052" t="s">
        <v>1510</v>
      </c>
      <c r="P31" s="3244" t="str">
        <f>IF(ISBLANK('Mound&gt;1%'!H12),"",((F31-1)*(J31)*M31)/2)</f>
        <v/>
      </c>
      <c r="Q31" s="3245"/>
      <c r="R31" s="1365" t="s">
        <v>1241</v>
      </c>
      <c r="S31" s="412"/>
      <c r="U31" s="1412"/>
      <c r="V31" s="1412"/>
      <c r="W31" s="1412"/>
      <c r="X31" s="1412"/>
      <c r="Y31" s="1412"/>
      <c r="Z31" s="1412"/>
      <c r="AA31" s="1412"/>
      <c r="AB31" s="1412"/>
      <c r="AC31" s="1412"/>
      <c r="AD31" s="1412"/>
      <c r="AE31" s="1412"/>
      <c r="AF31" s="1412"/>
      <c r="AG31" s="1412"/>
      <c r="AH31" s="1412"/>
      <c r="AI31" s="1412"/>
      <c r="AJ31" s="1412"/>
      <c r="AK31" s="1412"/>
      <c r="AL31" s="1412"/>
      <c r="AM31" s="1412"/>
    </row>
    <row r="32" spans="1:55" ht="5.0999999999999996" customHeight="1">
      <c r="A32" s="400"/>
      <c r="B32" s="397"/>
      <c r="C32" s="1364"/>
      <c r="D32" s="383"/>
      <c r="E32" s="383"/>
      <c r="F32" s="383"/>
      <c r="G32" s="383"/>
      <c r="H32" s="394"/>
      <c r="I32" s="394"/>
      <c r="J32" s="394"/>
      <c r="K32" s="394"/>
      <c r="L32" s="394"/>
      <c r="M32" s="394"/>
      <c r="N32" s="394"/>
      <c r="O32" s="394"/>
      <c r="P32" s="384"/>
      <c r="Q32" s="385"/>
      <c r="R32" s="1365"/>
      <c r="S32" s="412"/>
      <c r="U32" s="1412"/>
      <c r="V32" s="1412"/>
      <c r="W32" s="1412"/>
      <c r="X32" s="1412"/>
      <c r="Y32" s="1412"/>
      <c r="Z32" s="1412"/>
      <c r="AA32" s="1412"/>
      <c r="AB32" s="1412"/>
      <c r="AC32" s="1412"/>
      <c r="AD32" s="1412"/>
      <c r="AE32" s="1412"/>
      <c r="AF32" s="1412"/>
      <c r="AG32" s="1412"/>
      <c r="AH32" s="1412"/>
      <c r="AI32" s="1412"/>
      <c r="AJ32" s="1412"/>
      <c r="AK32" s="1412"/>
      <c r="AL32" s="1412"/>
      <c r="AM32" s="1412"/>
    </row>
    <row r="33" spans="1:51" ht="15" customHeight="1">
      <c r="A33" s="400"/>
      <c r="B33" s="397"/>
      <c r="C33" s="426" t="s">
        <v>1513</v>
      </c>
      <c r="D33" s="394"/>
      <c r="E33" s="394"/>
      <c r="F33" s="394"/>
      <c r="G33" s="394"/>
      <c r="H33" s="394"/>
      <c r="I33" s="394"/>
      <c r="J33" s="394"/>
      <c r="K33" s="394"/>
      <c r="L33" s="394"/>
      <c r="M33" s="394"/>
      <c r="N33" s="394"/>
      <c r="O33" s="394"/>
      <c r="P33" s="394"/>
      <c r="Q33" s="394"/>
      <c r="R33" s="1365"/>
      <c r="S33" s="412"/>
      <c r="U33" s="1412"/>
      <c r="V33" s="1412"/>
      <c r="W33" s="1416"/>
      <c r="X33" s="1412"/>
      <c r="Y33" s="1412"/>
      <c r="Z33" s="1412"/>
      <c r="AA33" s="1412"/>
      <c r="AB33" s="1412"/>
      <c r="AC33" s="1412"/>
      <c r="AD33" s="1412"/>
      <c r="AE33" s="1412"/>
      <c r="AF33" s="1412"/>
      <c r="AG33" s="1412"/>
      <c r="AH33" s="1412"/>
      <c r="AI33" s="1412"/>
      <c r="AJ33" s="1412"/>
      <c r="AK33" s="1412"/>
      <c r="AL33" s="1412"/>
      <c r="AM33" s="1412"/>
    </row>
    <row r="34" spans="1:51" ht="15" customHeight="1">
      <c r="A34" s="400"/>
      <c r="B34" s="397"/>
      <c r="C34" s="427"/>
      <c r="D34" s="394"/>
      <c r="E34" s="2017" t="s">
        <v>1237</v>
      </c>
      <c r="F34" s="3244" t="str">
        <f>IF(ISBLANK('Mound&gt;1%'!H12),"",'Mound&gt;1%'!N81)</f>
        <v/>
      </c>
      <c r="G34" s="3245"/>
      <c r="H34" s="1369" t="s">
        <v>1514</v>
      </c>
      <c r="I34" s="385" t="s">
        <v>1343</v>
      </c>
      <c r="J34" s="3346" t="s">
        <v>1515</v>
      </c>
      <c r="K34" s="3347"/>
      <c r="L34" s="3348"/>
      <c r="M34" s="3244" t="str">
        <f>IF(ISBLANK('Mound&gt;1%'!H35),"",'Mound&gt;1%'!H35)</f>
        <v/>
      </c>
      <c r="N34" s="3245"/>
      <c r="O34" s="2042" t="s">
        <v>1208</v>
      </c>
      <c r="P34" s="3244" t="str">
        <f>IF(ISBLANK('Mound&gt;1%'!H12),"",((F34-1)*3*M34))</f>
        <v/>
      </c>
      <c r="Q34" s="3245"/>
      <c r="R34" s="1365" t="s">
        <v>1241</v>
      </c>
      <c r="S34" s="412"/>
      <c r="U34" s="1412"/>
      <c r="V34" s="1412"/>
      <c r="W34" s="1416"/>
      <c r="X34" s="1413"/>
      <c r="Y34" s="1412"/>
      <c r="Z34" s="1412"/>
      <c r="AA34" s="1412"/>
      <c r="AB34" s="1412"/>
      <c r="AC34" s="1412"/>
      <c r="AD34" s="1412"/>
      <c r="AE34" s="1412"/>
      <c r="AF34" s="1412"/>
      <c r="AG34" s="1412"/>
      <c r="AH34" s="1412"/>
      <c r="AI34" s="1412"/>
      <c r="AJ34" s="1412"/>
      <c r="AK34" s="1412"/>
      <c r="AL34" s="1412"/>
      <c r="AM34" s="1412"/>
    </row>
    <row r="35" spans="1:51" ht="5.0999999999999996" customHeight="1">
      <c r="A35" s="400"/>
      <c r="B35" s="397"/>
      <c r="C35" s="427"/>
      <c r="D35" s="394"/>
      <c r="E35" s="394"/>
      <c r="F35" s="394"/>
      <c r="G35" s="394"/>
      <c r="H35" s="394"/>
      <c r="I35" s="394"/>
      <c r="J35" s="394"/>
      <c r="K35" s="394"/>
      <c r="L35" s="394"/>
      <c r="M35" s="394"/>
      <c r="N35" s="394"/>
      <c r="O35" s="394"/>
      <c r="P35" s="394"/>
      <c r="Q35" s="394"/>
      <c r="R35" s="1365"/>
      <c r="S35" s="412"/>
      <c r="U35" s="1412"/>
      <c r="V35" s="1412"/>
      <c r="W35" s="1416"/>
      <c r="X35" s="1412"/>
      <c r="Y35" s="1415"/>
      <c r="Z35" s="1415"/>
      <c r="AA35" s="1415"/>
      <c r="AB35" s="1415"/>
      <c r="AC35" s="1417"/>
      <c r="AD35" s="1417"/>
      <c r="AE35" s="1415"/>
      <c r="AF35" s="1419"/>
      <c r="AG35" s="1415"/>
      <c r="AH35" s="1417"/>
      <c r="AI35" s="1417"/>
      <c r="AJ35" s="1415"/>
      <c r="AK35" s="1412"/>
      <c r="AL35" s="1412"/>
      <c r="AM35" s="1412"/>
    </row>
    <row r="36" spans="1:51" ht="15" customHeight="1">
      <c r="A36" s="400"/>
      <c r="B36" s="397"/>
      <c r="C36" s="426" t="s">
        <v>1516</v>
      </c>
      <c r="D36" s="394"/>
      <c r="E36" s="394"/>
      <c r="F36" s="394"/>
      <c r="G36" s="394"/>
      <c r="H36" s="394"/>
      <c r="I36" s="394"/>
      <c r="J36" s="394"/>
      <c r="K36" s="394"/>
      <c r="L36" s="394"/>
      <c r="M36" s="394"/>
      <c r="N36" s="394"/>
      <c r="O36" s="394"/>
      <c r="P36" s="394"/>
      <c r="Q36" s="394"/>
      <c r="R36" s="1365"/>
      <c r="S36" s="412"/>
      <c r="U36" s="1412"/>
      <c r="V36" s="1412"/>
      <c r="W36" s="1416"/>
      <c r="X36" s="1415"/>
      <c r="Y36" s="1415"/>
      <c r="Z36" s="1415"/>
      <c r="AA36" s="1415"/>
      <c r="AB36" s="1415"/>
      <c r="AC36" s="1412"/>
      <c r="AD36" s="1412"/>
      <c r="AE36" s="1412"/>
      <c r="AF36" s="1412"/>
      <c r="AG36" s="1412"/>
      <c r="AH36" s="1412"/>
      <c r="AI36" s="1412"/>
      <c r="AJ36" s="1412"/>
      <c r="AK36" s="1417"/>
      <c r="AL36" s="1415"/>
      <c r="AM36" s="1412"/>
    </row>
    <row r="37" spans="1:51" ht="15" customHeight="1">
      <c r="A37" s="400"/>
      <c r="B37" s="397"/>
      <c r="C37" s="427"/>
      <c r="D37" s="3244" t="str">
        <f>IF('Design Details &amp; Summary'!AA77=0,"",IF('Design Details &amp; Summary'!AA77=1,"",IF('Design Details &amp; Summary'!AA77=2,"",IF('Design Details &amp; Summary'!AA77=3,"",IF('Design Details &amp; Summary'!AA77=5,"",IF('Design Details &amp; Summary'!AA77=4,P28))))))</f>
        <v/>
      </c>
      <c r="E37" s="3245"/>
      <c r="F37" s="385" t="s">
        <v>1504</v>
      </c>
      <c r="G37" s="3244" t="str">
        <f>IF('Design Details &amp; Summary'!AA77=0,"",IF('Design Details &amp; Summary'!AA77=1,"",IF('Design Details &amp; Summary'!AA77=2,"",IF('Design Details &amp; Summary'!AA77=3,"",IF('Design Details &amp; Summary'!AA77=5,"",IF('Design Details &amp; Summary'!AA77=4,P31))))))</f>
        <v/>
      </c>
      <c r="H37" s="3245"/>
      <c r="I37" s="385" t="s">
        <v>1504</v>
      </c>
      <c r="J37" s="3244" t="str">
        <f>IF('Design Details &amp; Summary'!AA77=0,"",IF('Design Details &amp; Summary'!AA77=1,"",IF('Design Details &amp; Summary'!AA77=2,"",IF('Design Details &amp; Summary'!AA77=3,"",IF('Design Details &amp; Summary'!AA77=5,"",IF('Design Details &amp; Summary'!AA77=4,P34))))))</f>
        <v/>
      </c>
      <c r="K37" s="3245"/>
      <c r="L37" s="385" t="s">
        <v>1504</v>
      </c>
      <c r="M37" s="3244" t="str">
        <f>IF(ISBLANK('Mound&gt;1%'!H12),"",P14)</f>
        <v/>
      </c>
      <c r="N37" s="3245"/>
      <c r="O37" s="385" t="s">
        <v>1505</v>
      </c>
      <c r="P37" s="3244" t="str">
        <f>IF(ISBLANK('Mound&gt;1%'!H12),"",(D37+G37+J37+M37))</f>
        <v/>
      </c>
      <c r="Q37" s="3245"/>
      <c r="R37" s="1365" t="s">
        <v>1241</v>
      </c>
      <c r="S37" s="412"/>
      <c r="U37" s="1412"/>
      <c r="V37" s="1412"/>
      <c r="W37" s="1412"/>
      <c r="X37" s="1412"/>
      <c r="Y37" s="1412"/>
      <c r="Z37" s="1412"/>
      <c r="AA37" s="1412"/>
      <c r="AB37" s="1412"/>
      <c r="AC37" s="1412"/>
      <c r="AD37" s="1412"/>
      <c r="AE37" s="1412"/>
      <c r="AF37" s="1412"/>
      <c r="AG37" s="1412"/>
      <c r="AH37" s="1412"/>
      <c r="AI37" s="1412"/>
      <c r="AJ37" s="1412"/>
      <c r="AK37" s="1412"/>
      <c r="AL37" s="1412"/>
      <c r="AM37" s="1412"/>
    </row>
    <row r="38" spans="1:51" ht="5.0999999999999996" customHeight="1">
      <c r="A38" s="400"/>
      <c r="B38" s="397"/>
      <c r="C38" s="424"/>
      <c r="D38" s="430"/>
      <c r="E38" s="430"/>
      <c r="F38" s="430"/>
      <c r="G38" s="430"/>
      <c r="H38" s="430"/>
      <c r="I38" s="430"/>
      <c r="J38" s="430"/>
      <c r="K38" s="430"/>
      <c r="L38" s="430"/>
      <c r="M38" s="430"/>
      <c r="N38" s="430"/>
      <c r="O38" s="430"/>
      <c r="P38" s="430"/>
      <c r="Q38" s="430"/>
      <c r="R38" s="421"/>
      <c r="S38" s="412"/>
      <c r="U38" s="1412"/>
      <c r="V38" s="1412"/>
      <c r="W38" s="1412"/>
      <c r="X38" s="1412"/>
      <c r="Y38" s="1412"/>
      <c r="Z38" s="1412"/>
      <c r="AA38" s="1412"/>
      <c r="AB38" s="1412"/>
      <c r="AC38" s="1412"/>
      <c r="AD38" s="1412"/>
      <c r="AE38" s="1412"/>
      <c r="AF38" s="1412"/>
      <c r="AG38" s="1412"/>
      <c r="AH38" s="1412"/>
      <c r="AI38" s="1412"/>
      <c r="AJ38" s="1412"/>
      <c r="AK38" s="1412"/>
      <c r="AL38" s="1412"/>
      <c r="AM38" s="1412"/>
    </row>
    <row r="39" spans="1:51" ht="5.0999999999999996" customHeight="1">
      <c r="A39" s="400"/>
      <c r="B39" s="397"/>
      <c r="C39" s="394"/>
      <c r="D39" s="394"/>
      <c r="E39" s="394"/>
      <c r="F39" s="394"/>
      <c r="G39" s="394"/>
      <c r="H39" s="394"/>
      <c r="I39" s="394"/>
      <c r="J39" s="394"/>
      <c r="K39" s="394"/>
      <c r="L39" s="394"/>
      <c r="M39" s="394"/>
      <c r="N39" s="394"/>
      <c r="O39" s="394"/>
      <c r="P39" s="394"/>
      <c r="Q39" s="394"/>
      <c r="R39" s="383"/>
      <c r="S39" s="412"/>
      <c r="U39" s="1412"/>
      <c r="V39" s="1412"/>
      <c r="W39" s="1412"/>
      <c r="X39" s="1412"/>
      <c r="Y39" s="1412"/>
      <c r="Z39" s="1412"/>
      <c r="AA39" s="1412"/>
      <c r="AB39" s="1412"/>
      <c r="AC39" s="1412"/>
      <c r="AD39" s="1412"/>
      <c r="AE39" s="1412"/>
      <c r="AF39" s="1412"/>
      <c r="AG39" s="1412"/>
      <c r="AH39" s="1412"/>
      <c r="AI39" s="1412"/>
      <c r="AJ39" s="1412"/>
      <c r="AK39" s="1412"/>
      <c r="AL39" s="1412"/>
      <c r="AM39" s="1412"/>
    </row>
    <row r="40" spans="1:51" ht="15" customHeight="1">
      <c r="A40" s="400"/>
      <c r="B40" s="397"/>
      <c r="C40" s="383" t="s">
        <v>1493</v>
      </c>
      <c r="D40" s="394"/>
      <c r="E40" s="394"/>
      <c r="F40" s="394"/>
      <c r="G40" s="394"/>
      <c r="H40" s="394"/>
      <c r="I40" s="394"/>
      <c r="J40" s="394"/>
      <c r="K40" s="3244" t="str">
        <f>IF('Design Details &amp; Summary'!AA77=4,MAX(O24,P37)," ")</f>
        <v xml:space="preserve"> </v>
      </c>
      <c r="L40" s="3245"/>
      <c r="M40" s="3330" t="s">
        <v>1494</v>
      </c>
      <c r="N40" s="3287"/>
      <c r="O40" s="385" t="s">
        <v>1240</v>
      </c>
      <c r="P40" s="3244" t="str">
        <f>IF('Design Details &amp; Summary'!AA77=4,K40/27," ")</f>
        <v xml:space="preserve"> </v>
      </c>
      <c r="Q40" s="3245"/>
      <c r="R40" s="383" t="s">
        <v>1243</v>
      </c>
      <c r="S40" s="412"/>
      <c r="U40" s="1412"/>
      <c r="V40" s="1412"/>
      <c r="W40" s="1412"/>
      <c r="X40" s="1412"/>
      <c r="Y40" s="1412"/>
      <c r="Z40" s="1412"/>
      <c r="AA40" s="1412"/>
      <c r="AB40" s="1412"/>
      <c r="AC40" s="1412"/>
      <c r="AD40" s="1412"/>
      <c r="AE40" s="1412"/>
      <c r="AF40" s="1412"/>
      <c r="AG40" s="1412"/>
      <c r="AH40" s="1412"/>
      <c r="AI40" s="1412"/>
      <c r="AJ40" s="1412"/>
      <c r="AK40" s="1412"/>
      <c r="AL40" s="1412"/>
      <c r="AM40" s="1412"/>
      <c r="AU40" s="379"/>
      <c r="AX40" s="379"/>
      <c r="AY40" s="379"/>
    </row>
    <row r="41" spans="1:51" ht="5.0999999999999996" customHeight="1">
      <c r="A41" s="400"/>
      <c r="B41" s="397"/>
      <c r="C41" s="394"/>
      <c r="D41" s="394"/>
      <c r="E41" s="394"/>
      <c r="F41" s="394"/>
      <c r="G41" s="394"/>
      <c r="H41" s="394"/>
      <c r="I41" s="394"/>
      <c r="J41" s="394"/>
      <c r="K41" s="394"/>
      <c r="L41" s="394"/>
      <c r="M41" s="394"/>
      <c r="N41" s="394"/>
      <c r="O41" s="394"/>
      <c r="P41" s="394"/>
      <c r="Q41" s="394"/>
      <c r="R41" s="383"/>
      <c r="S41" s="412"/>
      <c r="U41" s="1412"/>
      <c r="V41" s="1412"/>
      <c r="W41" s="1412"/>
      <c r="X41" s="1412"/>
      <c r="Y41" s="1412"/>
      <c r="Z41" s="1412"/>
      <c r="AA41" s="1412"/>
      <c r="AB41" s="1412"/>
      <c r="AC41" s="1412"/>
      <c r="AD41" s="1412"/>
      <c r="AE41" s="1412"/>
      <c r="AF41" s="1412"/>
      <c r="AG41" s="1412"/>
      <c r="AH41" s="1412"/>
      <c r="AI41" s="1412"/>
      <c r="AJ41" s="1412"/>
      <c r="AK41" s="1412"/>
      <c r="AL41" s="1412"/>
      <c r="AM41" s="1412"/>
      <c r="AU41" s="379"/>
      <c r="AX41" s="379"/>
      <c r="AY41" s="379"/>
    </row>
    <row r="42" spans="1:51" ht="15" customHeight="1">
      <c r="A42" s="400"/>
      <c r="B42" s="397"/>
      <c r="C42" s="394" t="s">
        <v>1495</v>
      </c>
      <c r="D42" s="394"/>
      <c r="E42" s="394"/>
      <c r="F42" s="394"/>
      <c r="G42" s="394"/>
      <c r="H42" s="394"/>
      <c r="I42" s="394"/>
      <c r="J42" s="394"/>
      <c r="K42" s="3244" t="str">
        <f>IF(P40&gt;1,P40," ")</f>
        <v xml:space="preserve"> </v>
      </c>
      <c r="L42" s="3245"/>
      <c r="M42" s="3330" t="s">
        <v>1496</v>
      </c>
      <c r="N42" s="3287"/>
      <c r="O42" s="385" t="s">
        <v>1240</v>
      </c>
      <c r="P42" s="3244" t="str">
        <f>IF('Design Details &amp; Summary'!AA77=4,K42*1.3," ")</f>
        <v xml:space="preserve"> </v>
      </c>
      <c r="Q42" s="3245"/>
      <c r="R42" s="383" t="s">
        <v>1243</v>
      </c>
      <c r="S42" s="412"/>
      <c r="U42" s="1412"/>
      <c r="V42" s="1412"/>
      <c r="W42" s="1412"/>
      <c r="X42" s="1412"/>
      <c r="Y42" s="1412"/>
      <c r="Z42" s="1412"/>
      <c r="AA42" s="1412"/>
      <c r="AB42" s="1412"/>
      <c r="AC42" s="1412"/>
      <c r="AD42" s="1412"/>
      <c r="AE42" s="1412"/>
      <c r="AF42" s="1412"/>
      <c r="AG42" s="1412"/>
      <c r="AH42" s="1412"/>
      <c r="AI42" s="1412"/>
      <c r="AJ42" s="1412"/>
      <c r="AK42" s="1412"/>
      <c r="AL42" s="1412"/>
      <c r="AM42" s="1412"/>
      <c r="AU42" s="379"/>
      <c r="AV42" s="379"/>
      <c r="AW42" s="379"/>
      <c r="AX42" s="379"/>
      <c r="AY42" s="379"/>
    </row>
    <row r="43" spans="1:51" ht="5.0999999999999996" customHeight="1" thickBot="1">
      <c r="A43" s="399"/>
      <c r="B43" s="410"/>
      <c r="C43" s="409"/>
      <c r="D43" s="409"/>
      <c r="E43" s="409"/>
      <c r="F43" s="409"/>
      <c r="G43" s="409"/>
      <c r="H43" s="409"/>
      <c r="I43" s="409"/>
      <c r="J43" s="409"/>
      <c r="K43" s="436"/>
      <c r="L43" s="436"/>
      <c r="M43" s="382"/>
      <c r="N43" s="437"/>
      <c r="O43" s="382"/>
      <c r="P43" s="436"/>
      <c r="Q43" s="436"/>
      <c r="R43" s="381"/>
      <c r="S43" s="407"/>
      <c r="U43" s="1412"/>
      <c r="V43" s="1412"/>
      <c r="W43" s="1412"/>
      <c r="X43" s="1412"/>
      <c r="Y43" s="1412"/>
      <c r="Z43" s="1412"/>
      <c r="AA43" s="1412"/>
      <c r="AB43" s="1412"/>
      <c r="AC43" s="1412"/>
      <c r="AD43" s="1412"/>
      <c r="AE43" s="1412"/>
      <c r="AF43" s="1412"/>
      <c r="AG43" s="1412"/>
      <c r="AH43" s="1412"/>
      <c r="AI43" s="1412"/>
      <c r="AJ43" s="1412"/>
      <c r="AK43" s="1412"/>
      <c r="AL43" s="1412"/>
      <c r="AM43" s="1412"/>
      <c r="AU43" s="379"/>
      <c r="AV43" s="379"/>
      <c r="AW43" s="379"/>
      <c r="AX43" s="379"/>
      <c r="AY43" s="379"/>
    </row>
    <row r="44" spans="1:51" ht="15" customHeight="1">
      <c r="A44" s="431"/>
      <c r="B44" s="432" t="s">
        <v>1168</v>
      </c>
      <c r="C44" s="433" t="s">
        <v>1517</v>
      </c>
      <c r="D44" s="433"/>
      <c r="E44" s="433"/>
      <c r="F44" s="433"/>
      <c r="G44" s="433"/>
      <c r="J44" s="2328"/>
      <c r="K44" s="433"/>
      <c r="L44" s="433"/>
      <c r="M44" s="433"/>
      <c r="N44" s="433"/>
      <c r="O44" s="433"/>
      <c r="P44" s="433"/>
      <c r="Q44" s="433"/>
      <c r="R44" s="434"/>
      <c r="S44" s="435"/>
      <c r="U44" s="1412"/>
      <c r="V44" s="1420">
        <f>IF(ISBLANK('Mound&gt;1%'!H12),0,AVERAGE('Mound&gt;1%'!O70,'Mound&gt;1%'!N81))</f>
        <v>0</v>
      </c>
      <c r="W44" s="1420">
        <f>IF(ISBLANK('Mound ≤ 1%'!H12),0,AVERAGE('Mound ≤ 1%'!O76,'Mound ≤ 1%'!O76))</f>
        <v>0</v>
      </c>
      <c r="X44" s="1412"/>
      <c r="Y44" s="1412"/>
      <c r="Z44" s="1412"/>
      <c r="AA44" s="1412"/>
      <c r="AB44" s="1412"/>
      <c r="AC44" s="1412"/>
      <c r="AD44" s="1412"/>
      <c r="AE44" s="1412"/>
      <c r="AF44" s="1412"/>
      <c r="AG44" s="1412"/>
      <c r="AH44" s="1412"/>
      <c r="AI44" s="1412"/>
      <c r="AJ44" s="1412"/>
      <c r="AK44" s="1412"/>
      <c r="AL44" s="1412"/>
      <c r="AM44" s="1412"/>
      <c r="AU44" s="379"/>
      <c r="AV44" s="379"/>
      <c r="AW44" s="379"/>
      <c r="AX44" s="379"/>
      <c r="AY44" s="379"/>
    </row>
    <row r="45" spans="1:51" ht="15" customHeight="1">
      <c r="A45" s="413"/>
      <c r="B45" s="397"/>
      <c r="C45" s="2050" t="s">
        <v>1518</v>
      </c>
      <c r="D45" s="394"/>
      <c r="E45" s="394"/>
      <c r="F45" s="394"/>
      <c r="G45" s="394"/>
      <c r="H45" s="394"/>
      <c r="I45" s="394"/>
      <c r="J45" s="394"/>
      <c r="K45" s="394"/>
      <c r="L45" s="394"/>
      <c r="M45" s="394"/>
      <c r="N45" s="394"/>
      <c r="O45" s="394"/>
      <c r="P45" s="394"/>
      <c r="Q45" s="394"/>
      <c r="R45" s="383"/>
      <c r="S45" s="412"/>
      <c r="U45" s="1412"/>
      <c r="V45" s="1412"/>
      <c r="W45" s="1412"/>
      <c r="X45" s="1412"/>
      <c r="Y45" s="1412"/>
      <c r="Z45" s="1412"/>
      <c r="AA45" s="1412"/>
      <c r="AB45" s="1412"/>
      <c r="AC45" s="1412"/>
      <c r="AD45" s="1412"/>
      <c r="AE45" s="1412"/>
      <c r="AF45" s="1412"/>
      <c r="AG45" s="1412"/>
      <c r="AH45" s="1412"/>
      <c r="AI45" s="1412"/>
      <c r="AJ45" s="1412"/>
      <c r="AK45" s="1412"/>
      <c r="AL45" s="1412"/>
      <c r="AM45" s="1412"/>
      <c r="AU45" s="379"/>
      <c r="AV45" s="379"/>
      <c r="AW45" s="379"/>
      <c r="AX45" s="379"/>
      <c r="AY45" s="379"/>
    </row>
    <row r="46" spans="1:51" ht="15" customHeight="1">
      <c r="A46" s="413"/>
      <c r="B46" s="397"/>
      <c r="C46" s="2017" t="s">
        <v>1237</v>
      </c>
      <c r="D46" s="3244" t="str">
        <f>IF('Design Details &amp; Summary'!AA77=0,"",IF('Design Details &amp; Summary'!AA77=1,"",IF('Design Details &amp; Summary'!AA77=2,"",IF('Design Details &amp; Summary'!AA77=3,"",IF('Design Details &amp; Summary'!AA77=5,"",IF('Design Details &amp; Summary'!AA77=4,MAX(V44,W44)))))))</f>
        <v/>
      </c>
      <c r="E46" s="3245"/>
      <c r="F46" s="2053" t="s">
        <v>988</v>
      </c>
      <c r="G46" s="3345">
        <v>0.5</v>
      </c>
      <c r="H46" s="3345"/>
      <c r="I46" s="383" t="s">
        <v>1519</v>
      </c>
      <c r="J46" s="3244" t="str">
        <f>IF('Design Details &amp; Summary'!AA77=0,"",IF('Design Details &amp; Summary'!AA77=1,"",IF('Design Details &amp; Summary'!AA77=2,"",IF('Design Details &amp; Summary'!AA77=3,"",IF('Design Details &amp; Summary'!AA77=5,"",IF('Design Details &amp; Summary'!AA77=4,MAX('Mound&gt;1%'!P98,'Mound ≤ 1%'!L91)))))))</f>
        <v/>
      </c>
      <c r="K46" s="3245"/>
      <c r="L46" s="383" t="s">
        <v>1389</v>
      </c>
      <c r="M46" s="3244" t="str">
        <f>IF('Design Details &amp; Summary'!AA77=0,"",IF('Design Details &amp; Summary'!AA77=1,"",IF('Design Details &amp; Summary'!AA77=2,"",IF('Design Details &amp; Summary'!AA77=3,"",IF('Design Details &amp; Summary'!AA77=5,"",IF('Design Details &amp; Summary'!AA77=4,MAX('Mound ≤ 1%'!L94,'Mound&gt;1%'!P100)))))))</f>
        <v/>
      </c>
      <c r="N46" s="3245"/>
      <c r="O46" s="2052" t="s">
        <v>1510</v>
      </c>
      <c r="P46" s="3244" t="str">
        <f>IF('Design Details &amp; Summary'!AA77=0,"",IF('Design Details &amp; Summary'!AA77=1,"",IF('Design Details &amp; Summary'!AA77=2,"",IF('Design Details &amp; Summary'!AA77=3,"",IF('Design Details &amp; Summary'!AA77=5,"",IF('Design Details &amp; Summary'!AA77=4,((D46-G46)*J46*M46)/2))))))</f>
        <v/>
      </c>
      <c r="Q46" s="3245"/>
      <c r="R46" s="383" t="s">
        <v>1241</v>
      </c>
      <c r="S46" s="412"/>
      <c r="W46" s="1276"/>
      <c r="X46" s="1276"/>
      <c r="Y46" s="1277"/>
      <c r="Z46" s="1277"/>
      <c r="AA46" s="1277"/>
      <c r="AB46" s="1277"/>
      <c r="AC46" s="1277"/>
      <c r="AD46" s="1277"/>
      <c r="AE46" s="394"/>
      <c r="AF46" s="394"/>
      <c r="AG46" s="394"/>
      <c r="AH46" s="394"/>
      <c r="AI46" s="394"/>
      <c r="AJ46" s="394"/>
      <c r="AK46" s="394"/>
      <c r="AL46" s="394"/>
      <c r="AM46" s="394"/>
      <c r="AN46" s="394"/>
      <c r="AO46" s="394"/>
      <c r="AU46" s="379"/>
      <c r="AV46" s="379"/>
      <c r="AW46" s="379"/>
      <c r="AX46" s="380"/>
      <c r="AY46" s="379"/>
    </row>
    <row r="47" spans="1:51" ht="6" customHeight="1">
      <c r="A47" s="413"/>
      <c r="B47" s="397"/>
      <c r="C47" s="394"/>
      <c r="F47" s="394"/>
      <c r="G47" s="394"/>
      <c r="H47" s="394"/>
      <c r="I47" s="394"/>
      <c r="J47" s="394"/>
      <c r="K47" s="394"/>
      <c r="L47" s="394"/>
      <c r="M47" s="394"/>
      <c r="N47" s="394"/>
      <c r="O47" s="394"/>
      <c r="P47" s="394"/>
      <c r="Q47" s="394"/>
      <c r="R47" s="383"/>
      <c r="S47" s="412"/>
      <c r="W47" s="1276"/>
      <c r="X47" s="1278"/>
      <c r="Y47" s="1277"/>
      <c r="Z47" s="1277"/>
      <c r="AA47" s="1277"/>
      <c r="AB47" s="1277"/>
      <c r="AC47" s="1277"/>
      <c r="AD47" s="1277"/>
      <c r="AE47" s="394"/>
      <c r="AF47" s="394"/>
      <c r="AG47" s="394"/>
      <c r="AH47" s="394"/>
      <c r="AI47" s="394"/>
      <c r="AJ47" s="394"/>
      <c r="AK47" s="394"/>
      <c r="AL47" s="394"/>
      <c r="AM47" s="394"/>
      <c r="AN47" s="394"/>
      <c r="AO47" s="394"/>
      <c r="AU47" s="379"/>
      <c r="AV47" s="379"/>
      <c r="AW47" s="379"/>
      <c r="AX47" s="379"/>
      <c r="AY47" s="379"/>
    </row>
    <row r="48" spans="1:51" ht="15" customHeight="1">
      <c r="A48" s="413"/>
      <c r="B48" s="397"/>
      <c r="C48" s="2050" t="s">
        <v>1520</v>
      </c>
      <c r="D48" s="394"/>
      <c r="E48" s="394"/>
      <c r="F48" s="394"/>
      <c r="G48" s="394"/>
      <c r="H48" s="394"/>
      <c r="I48" s="394"/>
      <c r="J48" s="394"/>
      <c r="K48" s="394"/>
      <c r="L48" s="394"/>
      <c r="M48" s="394"/>
      <c r="N48" s="394"/>
      <c r="O48" s="394"/>
      <c r="P48" s="394"/>
      <c r="Q48" s="394"/>
      <c r="R48" s="383"/>
      <c r="S48" s="412"/>
      <c r="W48" s="1276"/>
      <c r="X48" s="1275"/>
      <c r="Y48" s="1275"/>
      <c r="Z48" s="1274"/>
      <c r="AA48" s="1275"/>
      <c r="AB48" s="1275"/>
      <c r="AC48" s="1274"/>
      <c r="AD48" s="1275"/>
      <c r="AE48" s="384"/>
      <c r="AF48" s="385"/>
      <c r="AG48" s="384"/>
      <c r="AH48" s="384"/>
      <c r="AI48" s="385"/>
      <c r="AV48" s="379"/>
      <c r="AW48" s="379"/>
      <c r="AX48" s="379"/>
      <c r="AY48" s="379"/>
    </row>
    <row r="49" spans="1:51" ht="15" customHeight="1">
      <c r="A49" s="413"/>
      <c r="B49" s="397"/>
      <c r="C49" s="394"/>
      <c r="D49" s="394"/>
      <c r="E49" s="2054"/>
      <c r="G49" s="3244" t="str">
        <f>IF('Design Details &amp; Summary'!AA77=0,"",IF('Design Details &amp; Summary'!AA77=1,"",IF('Design Details &amp; Summary'!AA77=2,"",IF('Design Details &amp; Summary'!AA77=3,"",IF('Design Details &amp; Summary'!AA77=5,"",IF('Design Details &amp; Summary'!AA77=4,P46))))))</f>
        <v/>
      </c>
      <c r="H49" s="3245"/>
      <c r="I49" s="385" t="s">
        <v>1521</v>
      </c>
      <c r="J49" s="3244" t="str">
        <f>IF('Design Details &amp; Summary'!AA77=0,"",IF('Design Details &amp; Summary'!AA77=1,"",IF('Design Details &amp; Summary'!AA77=2,"",IF('Design Details &amp; Summary'!AA77=3,"",IF('Design Details &amp; Summary'!AA77=5,"",IF('Design Details &amp; Summary'!AA77=4,MAX(O24,P37)))))))</f>
        <v/>
      </c>
      <c r="K49" s="3245"/>
      <c r="L49" s="385" t="s">
        <v>1521</v>
      </c>
      <c r="M49" s="3244" t="str">
        <f>IF('Design Details &amp; Summary'!AA77=0,"",IF('Design Details &amp; Summary'!AA77=1,"",IF('Design Details &amp; Summary'!AA77=2,"",IF('Design Details &amp; Summary'!AA77=3,"",IF('Design Details &amp; Summary'!AA77=5,"",IF('Design Details &amp; Summary'!AA77=4,P6))))))</f>
        <v/>
      </c>
      <c r="N49" s="3245"/>
      <c r="O49" s="385" t="s">
        <v>1505</v>
      </c>
      <c r="P49" s="3244" t="str">
        <f>IF('Design Details &amp; Summary'!AA77=0,"",IF('Design Details &amp; Summary'!AA77=1,"",IF('Design Details &amp; Summary'!AA77=2,"",IF('Design Details &amp; Summary'!AA77=3,"",IF('Design Details &amp; Summary'!AA77=5,"",IF('Design Details &amp; Summary'!AA77=4,G49-J49-M49))))))</f>
        <v/>
      </c>
      <c r="Q49" s="3245"/>
      <c r="R49" s="383" t="s">
        <v>1241</v>
      </c>
      <c r="S49" s="412"/>
      <c r="W49" s="1276"/>
      <c r="X49" s="1275"/>
      <c r="Y49" s="1275"/>
      <c r="Z49" s="1274"/>
      <c r="AA49" s="1275"/>
      <c r="AB49" s="1275"/>
      <c r="AC49" s="1274"/>
      <c r="AD49" s="1275"/>
      <c r="AE49" s="384"/>
      <c r="AF49" s="385"/>
      <c r="AG49" s="384"/>
      <c r="AH49" s="384"/>
      <c r="AI49" s="385"/>
      <c r="AV49" s="379"/>
      <c r="AW49" s="379"/>
      <c r="AX49" s="380"/>
      <c r="AY49" s="379"/>
    </row>
    <row r="50" spans="1:51" ht="6" customHeight="1">
      <c r="A50" s="415"/>
      <c r="B50" s="397"/>
      <c r="C50" s="383"/>
      <c r="D50" s="383"/>
      <c r="E50" s="383"/>
      <c r="F50" s="383"/>
      <c r="G50" s="383"/>
      <c r="H50" s="394"/>
      <c r="I50" s="385"/>
      <c r="J50" s="394"/>
      <c r="K50" s="394"/>
      <c r="L50" s="394"/>
      <c r="M50" s="394"/>
      <c r="N50" s="394"/>
      <c r="O50" s="394"/>
      <c r="P50" s="384"/>
      <c r="Q50" s="385"/>
      <c r="R50" s="383"/>
      <c r="S50" s="412"/>
      <c r="W50" s="1276"/>
      <c r="X50" s="1277"/>
      <c r="Y50" s="1277"/>
      <c r="Z50" s="1277"/>
      <c r="AA50" s="1277"/>
      <c r="AB50" s="1277"/>
      <c r="AC50" s="1277"/>
      <c r="AD50" s="1277"/>
      <c r="AE50" s="394"/>
      <c r="AF50" s="394"/>
      <c r="AG50" s="394"/>
      <c r="AH50" s="394"/>
      <c r="AI50" s="394"/>
      <c r="AJ50" s="394"/>
      <c r="AK50" s="394"/>
      <c r="AL50" s="394"/>
      <c r="AM50" s="394"/>
      <c r="AN50" s="394"/>
      <c r="AO50" s="394"/>
      <c r="AV50" s="379"/>
      <c r="AW50" s="379"/>
      <c r="AX50" s="379"/>
      <c r="AY50" s="379"/>
    </row>
    <row r="51" spans="1:51" ht="15" customHeight="1">
      <c r="A51" s="413"/>
      <c r="B51" s="397"/>
      <c r="C51" s="383" t="s">
        <v>1493</v>
      </c>
      <c r="D51" s="394"/>
      <c r="E51" s="394"/>
      <c r="F51" s="394"/>
      <c r="G51" s="394"/>
      <c r="H51" s="394"/>
      <c r="I51" s="394"/>
      <c r="J51" s="394"/>
      <c r="K51" s="3244" t="str">
        <f>IF('Design Details &amp; Summary'!AA77=0,"",IF('Design Details &amp; Summary'!AA77=1,"",IF('Design Details &amp; Summary'!AA77=2,"",IF('Design Details &amp; Summary'!AA77=3,"",IF('Design Details &amp; Summary'!AA77=5,"",IF('Design Details &amp; Summary'!AA77=4,P49))))))</f>
        <v/>
      </c>
      <c r="L51" s="3245"/>
      <c r="M51" s="3330" t="s">
        <v>1494</v>
      </c>
      <c r="N51" s="3287"/>
      <c r="O51" s="385" t="s">
        <v>1240</v>
      </c>
      <c r="P51" s="3244" t="str">
        <f>IF('Design Details &amp; Summary'!AA77=0,"",IF('Design Details &amp; Summary'!AA77=1,"",IF('Design Details &amp; Summary'!AA77=2,"",IF('Design Details &amp; Summary'!AA77=3,"",IF('Design Details &amp; Summary'!AA77=5,"",IF('Design Details &amp; Summary'!AA77=4,K51/27))))))</f>
        <v/>
      </c>
      <c r="Q51" s="3245"/>
      <c r="R51" s="383" t="s">
        <v>1243</v>
      </c>
      <c r="S51" s="412"/>
      <c r="W51" s="1272"/>
      <c r="X51" s="1272"/>
      <c r="Y51" s="1272"/>
      <c r="Z51" s="1272"/>
      <c r="AA51" s="1272"/>
      <c r="AB51" s="1272"/>
      <c r="AC51" s="1272"/>
      <c r="AD51" s="1272"/>
      <c r="AH51" s="384"/>
      <c r="AI51" s="385"/>
      <c r="AJ51" s="384"/>
      <c r="AK51" s="384"/>
      <c r="AL51" s="385"/>
      <c r="AM51" s="384"/>
      <c r="AN51" s="384"/>
      <c r="AO51" s="385"/>
      <c r="AX51" s="380"/>
      <c r="AY51" s="380"/>
    </row>
    <row r="52" spans="1:51" ht="6" customHeight="1">
      <c r="A52" s="413"/>
      <c r="B52" s="397"/>
      <c r="C52" s="394"/>
      <c r="D52" s="394"/>
      <c r="E52" s="2054"/>
      <c r="F52" s="3351"/>
      <c r="G52" s="3351"/>
      <c r="H52" s="2055"/>
      <c r="I52" s="388"/>
      <c r="J52" s="3350"/>
      <c r="K52" s="3350"/>
      <c r="L52" s="388"/>
      <c r="M52" s="3351"/>
      <c r="N52" s="3351"/>
      <c r="O52" s="2056"/>
      <c r="P52" s="3352"/>
      <c r="Q52" s="3352"/>
      <c r="R52" s="387"/>
      <c r="S52" s="412"/>
      <c r="W52" s="1279"/>
      <c r="X52" s="1275"/>
      <c r="Y52" s="1275"/>
      <c r="Z52" s="1274"/>
      <c r="AA52" s="1275"/>
      <c r="AB52" s="1275"/>
      <c r="AC52" s="1280"/>
      <c r="AD52" s="1275"/>
      <c r="AE52" s="384"/>
      <c r="AF52" s="385"/>
      <c r="AG52" s="384"/>
      <c r="AH52" s="384"/>
      <c r="AI52" s="385"/>
      <c r="AJ52" s="384"/>
      <c r="AK52" s="384"/>
      <c r="AL52" s="385"/>
      <c r="AM52" s="384"/>
      <c r="AN52" s="384"/>
      <c r="AO52" s="385"/>
      <c r="AX52" s="379"/>
      <c r="AY52" s="379"/>
    </row>
    <row r="53" spans="1:51" ht="15" customHeight="1">
      <c r="A53" s="413"/>
      <c r="B53" s="397"/>
      <c r="C53" s="394" t="s">
        <v>1495</v>
      </c>
      <c r="D53" s="394"/>
      <c r="E53" s="394"/>
      <c r="F53" s="394"/>
      <c r="G53" s="394"/>
      <c r="H53" s="394"/>
      <c r="I53" s="394"/>
      <c r="J53" s="394"/>
      <c r="K53" s="3244" t="str">
        <f>IF('Design Details &amp; Summary'!AA77=0,"",IF('Design Details &amp; Summary'!AA77=1,"",IF('Design Details &amp; Summary'!AA77=2,"",IF('Design Details &amp; Summary'!AA77=3,"",IF('Design Details &amp; Summary'!AA77=5,"",IF('Design Details &amp; Summary'!AA77=4,P51))))))</f>
        <v/>
      </c>
      <c r="L53" s="3245"/>
      <c r="M53" s="385" t="s">
        <v>1522</v>
      </c>
      <c r="N53" s="389">
        <v>1.3</v>
      </c>
      <c r="O53" s="385" t="s">
        <v>1240</v>
      </c>
      <c r="P53" s="3244" t="str">
        <f>IF('Design Details &amp; Summary'!AA77=0,"",IF('Design Details &amp; Summary'!AA77=1,"",IF('Design Details &amp; Summary'!AA77=2,"",IF('Design Details &amp; Summary'!AA77=3,"",IF('Design Details &amp; Summary'!AA77=5,"",IF('Design Details &amp; Summary'!AA77=4,K53*1.3))))))</f>
        <v/>
      </c>
      <c r="Q53" s="3245"/>
      <c r="R53" s="383" t="s">
        <v>1243</v>
      </c>
      <c r="S53" s="412"/>
      <c r="W53" s="1276"/>
      <c r="X53" s="1277"/>
      <c r="Y53" s="1277"/>
      <c r="Z53" s="1277"/>
      <c r="AA53" s="1277"/>
      <c r="AB53" s="1277"/>
      <c r="AC53" s="1277"/>
      <c r="AD53" s="1277"/>
      <c r="AE53" s="394"/>
      <c r="AF53" s="394"/>
      <c r="AG53" s="394"/>
      <c r="AH53" s="394"/>
      <c r="AI53" s="394"/>
      <c r="AJ53" s="394"/>
      <c r="AK53" s="394"/>
      <c r="AL53" s="394"/>
      <c r="AM53" s="394"/>
      <c r="AN53" s="394"/>
      <c r="AO53" s="394"/>
      <c r="AX53" s="379"/>
      <c r="AY53" s="379"/>
    </row>
    <row r="54" spans="1:51" ht="5.0999999999999996" customHeight="1" thickBot="1">
      <c r="A54" s="411"/>
      <c r="B54" s="410"/>
      <c r="C54" s="438"/>
      <c r="D54" s="409"/>
      <c r="E54" s="409"/>
      <c r="F54" s="409"/>
      <c r="G54" s="409"/>
      <c r="H54" s="409"/>
      <c r="I54" s="409"/>
      <c r="J54" s="409"/>
      <c r="K54" s="409"/>
      <c r="L54" s="409"/>
      <c r="M54" s="409"/>
      <c r="N54" s="409"/>
      <c r="O54" s="409"/>
      <c r="P54" s="409"/>
      <c r="Q54" s="409"/>
      <c r="R54" s="381"/>
      <c r="S54" s="407"/>
      <c r="W54" s="1272"/>
      <c r="X54" s="1272"/>
      <c r="Y54" s="1272"/>
      <c r="Z54" s="3353"/>
      <c r="AA54" s="3354"/>
      <c r="AB54" s="1281"/>
      <c r="AC54" s="3353"/>
      <c r="AD54" s="3354"/>
      <c r="AE54" s="416"/>
      <c r="AF54" s="3355"/>
      <c r="AG54" s="3349"/>
      <c r="AH54" s="416"/>
      <c r="AI54" s="3349"/>
      <c r="AJ54" s="3349"/>
      <c r="AK54" s="394"/>
      <c r="AL54" s="394"/>
      <c r="AM54" s="394"/>
      <c r="AN54" s="394"/>
      <c r="AO54" s="394"/>
      <c r="AX54" s="379"/>
      <c r="AY54" s="380"/>
    </row>
    <row r="55" spans="1:51" ht="15" customHeight="1">
      <c r="A55" s="415"/>
      <c r="B55" s="397" t="s">
        <v>1172</v>
      </c>
      <c r="C55" s="394" t="s">
        <v>1523</v>
      </c>
      <c r="D55" s="394"/>
      <c r="E55" s="394"/>
      <c r="F55" s="394"/>
      <c r="G55" s="394"/>
      <c r="H55" s="394"/>
      <c r="I55" s="394"/>
      <c r="J55" s="394"/>
      <c r="K55" s="394"/>
      <c r="L55" s="394"/>
      <c r="M55" s="394"/>
      <c r="N55" s="394"/>
      <c r="O55" s="394"/>
      <c r="P55" s="394"/>
      <c r="Q55" s="394"/>
      <c r="R55" s="387"/>
      <c r="S55" s="412"/>
      <c r="W55" s="1272"/>
      <c r="X55" s="1272"/>
      <c r="Y55" s="1272"/>
      <c r="Z55" s="1272"/>
      <c r="AA55" s="1272"/>
      <c r="AB55" s="1272"/>
      <c r="AC55" s="1272"/>
      <c r="AD55" s="1272"/>
      <c r="AK55" s="394"/>
      <c r="AL55" s="394"/>
      <c r="AM55" s="394"/>
      <c r="AN55" s="394"/>
      <c r="AO55" s="394"/>
      <c r="AX55" s="380"/>
      <c r="AY55" s="379"/>
    </row>
    <row r="56" spans="1:51" ht="5.0999999999999996" customHeight="1">
      <c r="A56" s="415"/>
      <c r="B56" s="397"/>
      <c r="C56" s="2050"/>
      <c r="D56" s="394"/>
      <c r="E56" s="394"/>
      <c r="F56" s="394"/>
      <c r="G56" s="394"/>
      <c r="H56" s="394"/>
      <c r="I56" s="394"/>
      <c r="J56" s="394"/>
      <c r="K56" s="394"/>
      <c r="L56" s="394"/>
      <c r="M56" s="394"/>
      <c r="N56" s="394"/>
      <c r="O56" s="394"/>
      <c r="P56" s="394"/>
      <c r="Q56" s="394"/>
      <c r="R56" s="383"/>
      <c r="S56" s="412"/>
      <c r="V56" s="693"/>
      <c r="W56" s="1272"/>
      <c r="X56" s="1272"/>
      <c r="Y56" s="1272"/>
      <c r="Z56" s="1272"/>
      <c r="AA56" s="1272"/>
      <c r="AB56" s="1272"/>
      <c r="AC56" s="1272"/>
      <c r="AD56" s="1272"/>
      <c r="AK56" s="394"/>
      <c r="AL56" s="394"/>
      <c r="AM56" s="394"/>
      <c r="AN56" s="394"/>
      <c r="AO56" s="394"/>
      <c r="AX56" s="379"/>
      <c r="AY56" s="380"/>
    </row>
    <row r="57" spans="1:51" ht="15" customHeight="1">
      <c r="A57" s="413"/>
      <c r="B57" s="397"/>
      <c r="C57" s="394"/>
      <c r="D57" s="394"/>
      <c r="E57" s="394"/>
      <c r="F57" s="394"/>
      <c r="G57" s="3244" t="str">
        <f>IF('Design Details &amp; Summary'!AA77=0,"",IF('Design Details &amp; Summary'!AA77=1,"",IF('Design Details &amp; Summary'!AA77=2,"",IF('Design Details &amp; Summary'!AA77=3,"",IF('Design Details &amp; Summary'!AA77=5,"",IF('Design Details &amp; Summary'!AA77=4,MAX('Mound&gt;1%'!P98,'Mound ≤ 1%'!L91)))))))</f>
        <v/>
      </c>
      <c r="H57" s="3245"/>
      <c r="I57" s="383" t="s">
        <v>1389</v>
      </c>
      <c r="J57" s="3244" t="str">
        <f>IF('Design Details &amp; Summary'!AA77=0,"",IF('Design Details &amp; Summary'!AA77=1,"",IF('Design Details &amp; Summary'!AA77=2,"",IF('Design Details &amp; Summary'!AA77=3,"",IF('Design Details &amp; Summary'!AA77=5,"",IF('Design Details &amp; Summary'!AA77=4,MAX('Mound ≤ 1%'!L94,'Mound&gt;1%'!P100)))))))</f>
        <v/>
      </c>
      <c r="K57" s="3245"/>
      <c r="L57" s="383" t="s">
        <v>1389</v>
      </c>
      <c r="M57" s="2033">
        <v>0.5</v>
      </c>
      <c r="N57" s="2042" t="s">
        <v>609</v>
      </c>
      <c r="O57" s="385" t="s">
        <v>1240</v>
      </c>
      <c r="P57" s="3244" t="str">
        <f>IF('Design Details &amp; Summary'!AA77=0,"",IF('Design Details &amp; Summary'!AA77=1,"",IF('Design Details &amp; Summary'!AA77=2,"",IF('Design Details &amp; Summary'!AA77=3,"",IF('Design Details &amp; Summary'!AA77=5,"",IF('Design Details &amp; Summary'!AA77=4,G57*J57*M57))))))</f>
        <v/>
      </c>
      <c r="Q57" s="3245"/>
      <c r="R57" s="383" t="s">
        <v>1241</v>
      </c>
      <c r="S57" s="412"/>
      <c r="W57" s="1273"/>
      <c r="X57" s="1273"/>
      <c r="Y57" s="1273"/>
      <c r="Z57" s="1273"/>
      <c r="AA57" s="1273"/>
      <c r="AB57" s="1273"/>
      <c r="AC57" s="1273"/>
      <c r="AD57" s="1273"/>
      <c r="AF57" s="390"/>
      <c r="AG57" s="390"/>
      <c r="AH57" s="388"/>
      <c r="AI57" s="388"/>
      <c r="AJ57" s="388"/>
      <c r="AX57" s="380"/>
      <c r="AY57" s="379"/>
    </row>
    <row r="58" spans="1:51" ht="5.0999999999999996" customHeight="1">
      <c r="A58" s="413"/>
      <c r="B58" s="397"/>
      <c r="C58" s="394"/>
      <c r="D58" s="394"/>
      <c r="E58" s="394"/>
      <c r="F58" s="394"/>
      <c r="G58" s="384"/>
      <c r="H58" s="384"/>
      <c r="I58" s="388"/>
      <c r="J58" s="384"/>
      <c r="K58" s="384"/>
      <c r="L58" s="388"/>
      <c r="M58" s="384"/>
      <c r="N58" s="384"/>
      <c r="O58" s="388"/>
      <c r="P58" s="403"/>
      <c r="Q58" s="403"/>
      <c r="R58" s="387"/>
      <c r="S58" s="412"/>
      <c r="W58" s="1273"/>
      <c r="X58" s="1273"/>
      <c r="Y58" s="1273"/>
      <c r="Z58" s="1273"/>
      <c r="AA58" s="1273"/>
      <c r="AB58" s="1273"/>
      <c r="AC58" s="1273"/>
      <c r="AD58" s="1273"/>
      <c r="AF58" s="390"/>
      <c r="AG58" s="390"/>
      <c r="AH58" s="388"/>
      <c r="AI58" s="388"/>
      <c r="AJ58" s="388"/>
      <c r="AX58" s="380"/>
      <c r="AY58" s="379"/>
    </row>
    <row r="59" spans="1:51" ht="15" customHeight="1">
      <c r="A59" s="413"/>
      <c r="B59" s="397"/>
      <c r="C59" s="383" t="s">
        <v>1493</v>
      </c>
      <c r="D59" s="394"/>
      <c r="E59" s="394"/>
      <c r="F59" s="394"/>
      <c r="G59" s="394"/>
      <c r="H59" s="394"/>
      <c r="I59" s="394"/>
      <c r="J59" s="394"/>
      <c r="K59" s="3244" t="str">
        <f>IF(P57=0," ",(P57))</f>
        <v/>
      </c>
      <c r="L59" s="3245"/>
      <c r="M59" s="3330" t="s">
        <v>1494</v>
      </c>
      <c r="N59" s="3287"/>
      <c r="O59" s="385" t="s">
        <v>1240</v>
      </c>
      <c r="P59" s="3257" t="str">
        <f>IFERROR((K59/27),"")</f>
        <v/>
      </c>
      <c r="Q59" s="3245"/>
      <c r="R59" s="383" t="s">
        <v>1243</v>
      </c>
      <c r="S59" s="412"/>
      <c r="W59" s="1273"/>
      <c r="X59" s="1273"/>
      <c r="Y59" s="1273"/>
      <c r="Z59" s="1273"/>
      <c r="AA59" s="1273"/>
      <c r="AB59" s="1273"/>
      <c r="AC59" s="1273"/>
      <c r="AD59" s="1273"/>
      <c r="AF59" s="390"/>
      <c r="AG59" s="390"/>
      <c r="AH59" s="388"/>
      <c r="AI59" s="388"/>
      <c r="AJ59" s="388"/>
      <c r="AX59" s="380"/>
      <c r="AY59" s="379"/>
    </row>
    <row r="60" spans="1:51" ht="5.0999999999999996" customHeight="1">
      <c r="A60" s="413"/>
      <c r="B60" s="397"/>
      <c r="C60" s="394" t="s">
        <v>1395</v>
      </c>
      <c r="D60" s="394"/>
      <c r="E60" s="394"/>
      <c r="F60" s="384"/>
      <c r="G60" s="384"/>
      <c r="H60" s="385"/>
      <c r="I60" s="384"/>
      <c r="J60" s="384"/>
      <c r="K60" s="385"/>
      <c r="L60" s="394"/>
      <c r="M60" s="394"/>
      <c r="N60" s="394"/>
      <c r="O60" s="394"/>
      <c r="P60" s="394"/>
      <c r="Q60" s="394"/>
      <c r="R60" s="387"/>
      <c r="S60" s="412"/>
      <c r="W60" s="1276"/>
      <c r="X60" s="1275"/>
      <c r="Y60" s="1275"/>
      <c r="Z60" s="1274"/>
      <c r="AA60" s="1275"/>
      <c r="AB60" s="1275"/>
      <c r="AC60" s="1274"/>
      <c r="AD60" s="1275"/>
      <c r="AE60" s="384"/>
      <c r="AF60" s="385"/>
      <c r="AG60" s="384"/>
      <c r="AH60" s="384"/>
      <c r="AI60" s="385"/>
      <c r="AX60" s="379"/>
      <c r="AY60" s="380"/>
    </row>
    <row r="61" spans="1:51" ht="15" customHeight="1">
      <c r="A61" s="413"/>
      <c r="B61" s="397"/>
      <c r="C61" s="394" t="s">
        <v>1495</v>
      </c>
      <c r="D61" s="394"/>
      <c r="E61" s="394"/>
      <c r="F61" s="394"/>
      <c r="G61" s="394"/>
      <c r="H61" s="394"/>
      <c r="I61" s="394"/>
      <c r="J61" s="394"/>
      <c r="K61" s="3244" t="str">
        <f>IF(ISBLANK(P59)," ",(P59))</f>
        <v/>
      </c>
      <c r="L61" s="3245"/>
      <c r="M61" s="3330" t="s">
        <v>1496</v>
      </c>
      <c r="N61" s="3287"/>
      <c r="O61" s="385" t="s">
        <v>1240</v>
      </c>
      <c r="P61" s="3244" t="str">
        <f>IFERROR((K61*1.3),"")</f>
        <v/>
      </c>
      <c r="Q61" s="3245"/>
      <c r="R61" s="383" t="s">
        <v>1243</v>
      </c>
      <c r="S61" s="412"/>
      <c r="W61" s="1276"/>
      <c r="X61" s="1277"/>
      <c r="Y61" s="1277"/>
      <c r="Z61" s="1277"/>
      <c r="AA61" s="1277"/>
      <c r="AB61" s="1277"/>
      <c r="AC61" s="1277"/>
      <c r="AD61" s="1277"/>
      <c r="AE61" s="394"/>
      <c r="AF61" s="394"/>
      <c r="AG61" s="394"/>
      <c r="AH61" s="394"/>
      <c r="AI61" s="394"/>
      <c r="AJ61" s="394"/>
      <c r="AK61" s="394"/>
      <c r="AL61" s="394"/>
      <c r="AM61" s="394"/>
      <c r="AN61" s="394"/>
      <c r="AO61" s="394"/>
      <c r="AX61" s="379"/>
      <c r="AY61" s="379"/>
    </row>
    <row r="62" spans="1:51" ht="15.75" thickBot="1">
      <c r="A62" s="2057"/>
      <c r="B62" s="2058"/>
      <c r="C62" s="2059"/>
      <c r="D62" s="2059"/>
      <c r="E62" s="2059"/>
      <c r="F62" s="2059"/>
      <c r="G62" s="2059"/>
      <c r="H62" s="2059"/>
      <c r="I62" s="2059"/>
      <c r="J62" s="2059"/>
      <c r="K62" s="2059"/>
      <c r="L62" s="2059"/>
      <c r="M62" s="2059"/>
      <c r="N62" s="2059"/>
      <c r="O62" s="2059"/>
      <c r="P62" s="2059"/>
      <c r="Q62" s="2059"/>
      <c r="R62" s="2060"/>
      <c r="S62" s="2061"/>
    </row>
    <row r="63" spans="1:51" ht="6" customHeight="1">
      <c r="A63" s="375"/>
      <c r="B63" s="375"/>
      <c r="W63" s="1279"/>
      <c r="X63" s="1275"/>
      <c r="Y63" s="1275"/>
      <c r="Z63" s="1282"/>
      <c r="AA63" s="1275"/>
      <c r="AB63" s="1280"/>
      <c r="AC63" s="1275"/>
      <c r="AD63" s="1275"/>
      <c r="AE63" s="383"/>
      <c r="AF63" s="384"/>
      <c r="AG63" s="384"/>
      <c r="AH63" s="383"/>
      <c r="AI63" s="384"/>
      <c r="AJ63" s="385"/>
      <c r="AK63" s="384"/>
      <c r="AL63" s="384"/>
      <c r="AM63" s="385"/>
      <c r="AN63" s="394"/>
      <c r="AX63" s="379"/>
      <c r="AY63" s="379"/>
    </row>
    <row r="64" spans="1:51">
      <c r="W64" s="1272"/>
      <c r="X64" s="1272"/>
      <c r="Y64" s="1272"/>
      <c r="Z64" s="1272"/>
      <c r="AA64" s="1272"/>
      <c r="AB64" s="1272"/>
      <c r="AC64" s="1272"/>
      <c r="AD64" s="1272"/>
      <c r="AX64" s="380"/>
      <c r="AY64" s="379"/>
    </row>
    <row r="65" spans="1:51">
      <c r="A65" s="375"/>
      <c r="B65" s="375"/>
      <c r="AX65" s="379"/>
      <c r="AY65" s="379"/>
    </row>
    <row r="66" spans="1:51">
      <c r="AX66" s="380"/>
      <c r="AY66" s="379"/>
    </row>
    <row r="67" spans="1:51">
      <c r="AX67" s="379"/>
      <c r="AY67" s="380"/>
    </row>
    <row r="68" spans="1:51">
      <c r="AX68" s="380"/>
      <c r="AY68" s="379"/>
    </row>
    <row r="69" spans="1:51">
      <c r="AX69" s="379"/>
      <c r="AY69" s="379"/>
    </row>
    <row r="70" spans="1:51">
      <c r="AX70" s="380"/>
      <c r="AY70" s="379"/>
    </row>
    <row r="71" spans="1:51">
      <c r="AX71" s="379"/>
      <c r="AY71" s="380"/>
    </row>
    <row r="72" spans="1:51">
      <c r="AX72" s="380"/>
      <c r="AY72" s="379"/>
    </row>
    <row r="73" spans="1:51">
      <c r="A73" s="375"/>
      <c r="B73" s="375"/>
      <c r="R73" s="375"/>
      <c r="AX73" s="379"/>
      <c r="AY73" s="379"/>
    </row>
    <row r="74" spans="1:51">
      <c r="A74" s="375"/>
      <c r="B74" s="375"/>
      <c r="R74" s="375"/>
      <c r="AX74" s="380"/>
      <c r="AY74" s="379"/>
    </row>
    <row r="75" spans="1:51">
      <c r="A75" s="375"/>
      <c r="B75" s="375"/>
      <c r="R75" s="375"/>
      <c r="AX75" s="379"/>
      <c r="AY75" s="379"/>
    </row>
    <row r="76" spans="1:51">
      <c r="A76" s="375"/>
      <c r="B76" s="375"/>
      <c r="R76" s="375"/>
      <c r="AX76" s="380"/>
      <c r="AY76" s="380"/>
    </row>
    <row r="77" spans="1:51">
      <c r="A77" s="375"/>
      <c r="B77" s="375"/>
      <c r="R77" s="375"/>
      <c r="AX77" s="379"/>
      <c r="AY77" s="379"/>
    </row>
    <row r="78" spans="1:51">
      <c r="A78" s="375"/>
      <c r="B78" s="375"/>
      <c r="R78" s="375"/>
      <c r="AX78" s="380"/>
      <c r="AY78" s="379"/>
    </row>
    <row r="79" spans="1:51">
      <c r="A79" s="375"/>
      <c r="B79" s="375"/>
      <c r="R79" s="375"/>
      <c r="AX79" s="380"/>
      <c r="AY79" s="379"/>
    </row>
    <row r="80" spans="1:51">
      <c r="A80" s="375"/>
      <c r="B80" s="375"/>
      <c r="R80" s="375"/>
      <c r="AX80" s="379"/>
      <c r="AY80" s="379"/>
    </row>
    <row r="81" spans="1:51">
      <c r="A81" s="375"/>
      <c r="B81" s="375"/>
      <c r="R81" s="375"/>
      <c r="AX81" s="380"/>
      <c r="AY81" s="380"/>
    </row>
    <row r="82" spans="1:51">
      <c r="A82" s="375"/>
      <c r="B82" s="375"/>
      <c r="R82" s="375"/>
      <c r="AX82" s="379"/>
      <c r="AY82" s="379"/>
    </row>
    <row r="83" spans="1:51">
      <c r="A83" s="375"/>
      <c r="B83" s="375"/>
      <c r="R83" s="375"/>
      <c r="AX83" s="380"/>
      <c r="AY83" s="379"/>
    </row>
    <row r="84" spans="1:51">
      <c r="A84" s="375"/>
      <c r="B84" s="375"/>
      <c r="R84" s="375"/>
      <c r="AX84" s="379"/>
      <c r="AY84" s="379"/>
    </row>
    <row r="85" spans="1:51">
      <c r="A85" s="375"/>
      <c r="B85" s="375"/>
      <c r="R85" s="375"/>
      <c r="AX85" s="380"/>
      <c r="AY85" s="379"/>
    </row>
    <row r="86" spans="1:51">
      <c r="A86" s="375"/>
      <c r="B86" s="375"/>
      <c r="R86" s="375"/>
      <c r="AX86" s="379"/>
      <c r="AY86" s="380"/>
    </row>
    <row r="87" spans="1:51">
      <c r="A87" s="375"/>
      <c r="B87" s="375"/>
      <c r="R87" s="375"/>
      <c r="AX87" s="379"/>
      <c r="AY87" s="379"/>
    </row>
    <row r="88" spans="1:51">
      <c r="A88" s="375"/>
      <c r="B88" s="375"/>
      <c r="R88" s="375"/>
      <c r="AX88" s="380"/>
      <c r="AY88" s="379"/>
    </row>
    <row r="89" spans="1:51">
      <c r="A89" s="375"/>
      <c r="B89" s="375"/>
      <c r="R89" s="375"/>
      <c r="AX89" s="380"/>
      <c r="AY89" s="379"/>
    </row>
    <row r="90" spans="1:51">
      <c r="A90" s="375"/>
      <c r="B90" s="375"/>
      <c r="R90" s="375"/>
      <c r="AX90" s="380"/>
      <c r="AY90" s="379"/>
    </row>
    <row r="91" spans="1:51">
      <c r="A91" s="375"/>
      <c r="B91" s="375"/>
      <c r="R91" s="375"/>
      <c r="AX91" s="380"/>
      <c r="AY91" s="379"/>
    </row>
    <row r="92" spans="1:51">
      <c r="A92" s="375"/>
      <c r="B92" s="375"/>
      <c r="R92" s="375"/>
      <c r="AX92" s="380"/>
      <c r="AY92" s="379"/>
    </row>
    <row r="93" spans="1:51">
      <c r="A93" s="375"/>
      <c r="B93" s="375"/>
      <c r="R93" s="375"/>
      <c r="AX93" s="380"/>
      <c r="AY93" s="379"/>
    </row>
    <row r="94" spans="1:51">
      <c r="A94" s="375"/>
      <c r="B94" s="375"/>
      <c r="R94" s="375"/>
      <c r="AX94" s="379"/>
      <c r="AY94" s="379"/>
    </row>
    <row r="95" spans="1:51">
      <c r="A95" s="375"/>
      <c r="B95" s="375"/>
      <c r="R95" s="375"/>
      <c r="AX95" s="379"/>
      <c r="AY95" s="379"/>
    </row>
    <row r="96" spans="1:51">
      <c r="A96" s="375"/>
      <c r="B96" s="375"/>
      <c r="R96" s="375"/>
      <c r="AX96" s="380"/>
      <c r="AY96" s="380"/>
    </row>
    <row r="97" spans="1:51">
      <c r="A97" s="375"/>
      <c r="B97" s="375"/>
      <c r="R97" s="375"/>
      <c r="AX97" s="379"/>
      <c r="AY97" s="379"/>
    </row>
    <row r="98" spans="1:51">
      <c r="A98" s="375"/>
      <c r="B98" s="375"/>
      <c r="R98" s="375"/>
      <c r="AX98" s="379"/>
      <c r="AY98" s="379"/>
    </row>
    <row r="99" spans="1:51">
      <c r="A99" s="375"/>
      <c r="B99" s="375"/>
      <c r="R99" s="375"/>
      <c r="AX99" s="380"/>
      <c r="AY99" s="379"/>
    </row>
    <row r="100" spans="1:51">
      <c r="A100" s="375"/>
      <c r="B100" s="375"/>
      <c r="R100" s="375"/>
      <c r="AX100" s="379"/>
      <c r="AY100" s="379"/>
    </row>
    <row r="101" spans="1:51">
      <c r="A101" s="375"/>
      <c r="B101" s="375"/>
      <c r="R101" s="375"/>
      <c r="AX101" s="379"/>
      <c r="AY101" s="380"/>
    </row>
    <row r="102" spans="1:51">
      <c r="A102" s="375"/>
      <c r="B102" s="375"/>
      <c r="R102" s="375"/>
      <c r="AX102" s="380"/>
      <c r="AY102" s="379"/>
    </row>
    <row r="103" spans="1:51">
      <c r="A103" s="375"/>
      <c r="B103" s="375"/>
      <c r="R103" s="375"/>
      <c r="AX103" s="379"/>
      <c r="AY103" s="379"/>
    </row>
    <row r="104" spans="1:51">
      <c r="A104" s="375"/>
      <c r="B104" s="375"/>
      <c r="R104" s="375"/>
      <c r="AX104" s="379"/>
      <c r="AY104" s="379"/>
    </row>
    <row r="105" spans="1:51">
      <c r="A105" s="375"/>
      <c r="B105" s="375"/>
      <c r="R105" s="375"/>
      <c r="AX105" s="379"/>
      <c r="AY105" s="380"/>
    </row>
    <row r="106" spans="1:51">
      <c r="A106" s="375"/>
      <c r="B106" s="375"/>
      <c r="R106" s="375"/>
      <c r="AX106" s="379"/>
      <c r="AY106" s="380"/>
    </row>
    <row r="107" spans="1:51">
      <c r="A107" s="375"/>
      <c r="B107" s="375"/>
      <c r="R107" s="375"/>
      <c r="AX107" s="379"/>
      <c r="AY107" s="379"/>
    </row>
    <row r="108" spans="1:51">
      <c r="A108" s="375"/>
      <c r="B108" s="375"/>
      <c r="R108" s="375"/>
      <c r="AX108" s="379"/>
      <c r="AY108" s="380"/>
    </row>
    <row r="109" spans="1:51">
      <c r="A109" s="375"/>
      <c r="B109" s="375"/>
      <c r="R109" s="375"/>
      <c r="AX109" s="379"/>
      <c r="AY109" s="379"/>
    </row>
    <row r="110" spans="1:51">
      <c r="A110" s="375"/>
      <c r="B110" s="375"/>
      <c r="R110" s="375"/>
      <c r="AX110" s="379"/>
      <c r="AY110" s="379"/>
    </row>
    <row r="111" spans="1:51">
      <c r="A111" s="375"/>
      <c r="B111" s="375"/>
      <c r="R111" s="375"/>
      <c r="AX111" s="379"/>
      <c r="AY111" s="380"/>
    </row>
    <row r="112" spans="1:51">
      <c r="A112" s="375"/>
      <c r="B112" s="375"/>
      <c r="R112" s="375"/>
      <c r="AX112" s="379"/>
      <c r="AY112" s="379"/>
    </row>
    <row r="113" spans="1:51">
      <c r="A113" s="375"/>
      <c r="B113" s="375"/>
      <c r="R113" s="375"/>
      <c r="AX113" s="379"/>
      <c r="AY113" s="380"/>
    </row>
    <row r="114" spans="1:51">
      <c r="A114" s="375"/>
      <c r="B114" s="375"/>
      <c r="R114" s="375"/>
      <c r="AX114" s="379"/>
      <c r="AY114" s="379"/>
    </row>
    <row r="115" spans="1:51">
      <c r="A115" s="375"/>
      <c r="B115" s="375"/>
      <c r="R115" s="375"/>
      <c r="AX115" s="379"/>
      <c r="AY115" s="379"/>
    </row>
    <row r="116" spans="1:51">
      <c r="A116" s="375"/>
      <c r="B116" s="375"/>
      <c r="R116" s="375"/>
      <c r="AX116" s="379"/>
      <c r="AY116" s="380"/>
    </row>
    <row r="117" spans="1:51">
      <c r="A117" s="375"/>
      <c r="B117" s="375"/>
      <c r="R117" s="375"/>
      <c r="AX117" s="379"/>
      <c r="AY117" s="379"/>
    </row>
    <row r="118" spans="1:51">
      <c r="A118" s="375"/>
      <c r="B118" s="375"/>
      <c r="R118" s="375"/>
      <c r="AY118" s="380"/>
    </row>
    <row r="119" spans="1:51">
      <c r="A119" s="375"/>
      <c r="B119" s="375"/>
      <c r="R119" s="375"/>
      <c r="AY119" s="380"/>
    </row>
    <row r="120" spans="1:51">
      <c r="A120" s="375"/>
      <c r="B120" s="375"/>
      <c r="R120" s="375"/>
      <c r="AY120" s="379"/>
    </row>
    <row r="121" spans="1:51">
      <c r="A121" s="375"/>
      <c r="B121" s="375"/>
      <c r="R121" s="375"/>
      <c r="AY121" s="380"/>
    </row>
    <row r="122" spans="1:51">
      <c r="A122" s="375"/>
      <c r="B122" s="375"/>
      <c r="R122" s="375"/>
      <c r="AY122" s="379"/>
    </row>
    <row r="123" spans="1:51">
      <c r="A123" s="375"/>
      <c r="B123" s="375"/>
      <c r="R123" s="375"/>
      <c r="AY123" s="380"/>
    </row>
    <row r="124" spans="1:51">
      <c r="A124" s="375"/>
      <c r="B124" s="375"/>
      <c r="R124" s="375"/>
      <c r="AY124" s="380"/>
    </row>
    <row r="125" spans="1:51">
      <c r="A125" s="375"/>
      <c r="B125" s="375"/>
      <c r="R125" s="375"/>
      <c r="AY125" s="379"/>
    </row>
    <row r="126" spans="1:51">
      <c r="A126" s="375"/>
      <c r="B126" s="375"/>
      <c r="R126" s="375"/>
      <c r="AY126" s="379"/>
    </row>
    <row r="127" spans="1:51">
      <c r="A127" s="375"/>
      <c r="B127" s="375"/>
      <c r="R127" s="375"/>
      <c r="AY127" s="379"/>
    </row>
    <row r="128" spans="1:51">
      <c r="A128" s="375"/>
      <c r="B128" s="375"/>
      <c r="R128" s="375"/>
      <c r="AY128" s="379"/>
    </row>
    <row r="129" spans="1:51">
      <c r="A129" s="375"/>
      <c r="B129" s="375"/>
      <c r="R129" s="375"/>
      <c r="AY129" s="379"/>
    </row>
    <row r="130" spans="1:51">
      <c r="A130" s="375"/>
      <c r="B130" s="375"/>
      <c r="R130" s="375"/>
      <c r="AY130" s="379"/>
    </row>
    <row r="131" spans="1:51">
      <c r="A131" s="375"/>
      <c r="B131" s="375"/>
      <c r="R131" s="375"/>
      <c r="AY131" s="379"/>
    </row>
  </sheetData>
  <sheetProtection sheet="1" objects="1" scenarios="1"/>
  <customSheetViews>
    <customSheetView guid="{D1431318-1DB8-4C45-813B-5A8065DFC797}" showPageBreaks="1" zeroValues="0" printArea="1" view="pageBreakPreview">
      <selection activeCell="Y48" sqref="Y48"/>
      <pageMargins left="0" right="0" top="0" bottom="0" header="0" footer="0"/>
      <printOptions horizontalCentered="1" verticalCentered="1"/>
      <pageSetup scale="73" orientation="portrait" blackAndWhite="1" r:id="rId1"/>
    </customSheetView>
  </customSheetViews>
  <mergeCells count="85">
    <mergeCell ref="D2:P2"/>
    <mergeCell ref="K61:L61"/>
    <mergeCell ref="P61:Q61"/>
    <mergeCell ref="P42:Q42"/>
    <mergeCell ref="K21:L21"/>
    <mergeCell ref="O21:P21"/>
    <mergeCell ref="M49:N49"/>
    <mergeCell ref="P28:Q28"/>
    <mergeCell ref="P49:Q49"/>
    <mergeCell ref="M37:N37"/>
    <mergeCell ref="J31:K31"/>
    <mergeCell ref="O24:P24"/>
    <mergeCell ref="L24:M24"/>
    <mergeCell ref="K59:L59"/>
    <mergeCell ref="P59:Q59"/>
    <mergeCell ref="P46:Q46"/>
    <mergeCell ref="G57:H57"/>
    <mergeCell ref="J57:K57"/>
    <mergeCell ref="P57:Q57"/>
    <mergeCell ref="P10:Q10"/>
    <mergeCell ref="M31:N31"/>
    <mergeCell ref="P31:Q31"/>
    <mergeCell ref="O18:P18"/>
    <mergeCell ref="P37:Q37"/>
    <mergeCell ref="K40:L40"/>
    <mergeCell ref="P40:Q40"/>
    <mergeCell ref="K42:L42"/>
    <mergeCell ref="P34:Q34"/>
    <mergeCell ref="F52:G52"/>
    <mergeCell ref="G49:H49"/>
    <mergeCell ref="J49:K49"/>
    <mergeCell ref="P6:Q6"/>
    <mergeCell ref="K8:L8"/>
    <mergeCell ref="P8:Q8"/>
    <mergeCell ref="G14:H14"/>
    <mergeCell ref="J14:K14"/>
    <mergeCell ref="K10:L10"/>
    <mergeCell ref="L6:M6"/>
    <mergeCell ref="I6:J6"/>
    <mergeCell ref="M14:N14"/>
    <mergeCell ref="P14:Q14"/>
    <mergeCell ref="G6:H6"/>
    <mergeCell ref="M8:N8"/>
    <mergeCell ref="AI54:AJ54"/>
    <mergeCell ref="K51:L51"/>
    <mergeCell ref="P51:Q51"/>
    <mergeCell ref="J52:K52"/>
    <mergeCell ref="M52:N52"/>
    <mergeCell ref="P52:Q52"/>
    <mergeCell ref="Z54:AA54"/>
    <mergeCell ref="AC54:AD54"/>
    <mergeCell ref="AF54:AG54"/>
    <mergeCell ref="K53:L53"/>
    <mergeCell ref="P53:Q53"/>
    <mergeCell ref="K3:L3"/>
    <mergeCell ref="M28:N28"/>
    <mergeCell ref="M10:N10"/>
    <mergeCell ref="D46:E46"/>
    <mergeCell ref="G46:H46"/>
    <mergeCell ref="J46:K46"/>
    <mergeCell ref="F34:G34"/>
    <mergeCell ref="J34:L34"/>
    <mergeCell ref="D37:E37"/>
    <mergeCell ref="G37:H37"/>
    <mergeCell ref="J37:K37"/>
    <mergeCell ref="M46:N46"/>
    <mergeCell ref="M40:N40"/>
    <mergeCell ref="M42:N42"/>
    <mergeCell ref="M34:N34"/>
    <mergeCell ref="M59:N59"/>
    <mergeCell ref="M61:N61"/>
    <mergeCell ref="M51:N51"/>
    <mergeCell ref="E1:N1"/>
    <mergeCell ref="I24:J24"/>
    <mergeCell ref="F24:G24"/>
    <mergeCell ref="D18:E18"/>
    <mergeCell ref="F31:G31"/>
    <mergeCell ref="C6:D6"/>
    <mergeCell ref="F28:G28"/>
    <mergeCell ref="J28:L28"/>
    <mergeCell ref="D21:E21"/>
    <mergeCell ref="H18:I18"/>
    <mergeCell ref="K18:L18"/>
    <mergeCell ref="H21:I21"/>
    <mergeCell ref="I3:J3"/>
  </mergeCells>
  <printOptions horizontalCentered="1" verticalCentered="1"/>
  <pageMargins left="0.33" right="0.3" top="0.52" bottom="0.75" header="0.3" footer="0.3"/>
  <pageSetup scale="93" orientation="portrait" blackAndWhite="1"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tabColor theme="9" tint="0.39997558519241921"/>
  </sheetPr>
  <dimension ref="A1:V304"/>
  <sheetViews>
    <sheetView showGridLines="0" showZeros="0" view="pageBreakPreview" zoomScaleNormal="100" zoomScaleSheetLayoutView="100" workbookViewId="0">
      <selection activeCell="F15" sqref="F15"/>
    </sheetView>
  </sheetViews>
  <sheetFormatPr defaultColWidth="9.140625" defaultRowHeight="16.5"/>
  <cols>
    <col min="1" max="1" width="3.42578125" style="440" customWidth="1"/>
    <col min="2" max="20" width="6.42578125" style="440" customWidth="1"/>
    <col min="21" max="21" width="9.42578125" style="440" customWidth="1"/>
    <col min="22" max="16384" width="9.140625" style="440"/>
  </cols>
  <sheetData>
    <row r="1" spans="1:21" ht="54.95" customHeight="1">
      <c r="A1" s="2329"/>
      <c r="B1" s="2329"/>
      <c r="C1" s="2329"/>
      <c r="D1" s="2329"/>
      <c r="E1" s="3412" t="s">
        <v>1524</v>
      </c>
      <c r="F1" s="3412"/>
      <c r="G1" s="3412"/>
      <c r="H1" s="3412"/>
      <c r="I1" s="3412"/>
      <c r="J1" s="3412"/>
      <c r="K1" s="3412"/>
      <c r="L1" s="3412"/>
      <c r="M1" s="3412"/>
      <c r="N1" s="3412"/>
      <c r="O1" s="3412"/>
      <c r="P1" s="3412"/>
      <c r="Q1" s="2329"/>
      <c r="R1" s="2329"/>
      <c r="S1" s="2329"/>
      <c r="T1" s="2329"/>
      <c r="U1" s="2329"/>
    </row>
    <row r="2" spans="1:21" ht="15" customHeight="1">
      <c r="A2" s="704" t="s">
        <v>1525</v>
      </c>
      <c r="B2" s="705"/>
      <c r="C2" s="705"/>
      <c r="D2" s="705"/>
      <c r="E2" s="705"/>
      <c r="F2" s="705"/>
      <c r="G2" s="705"/>
      <c r="H2" s="705"/>
      <c r="I2" s="3414" t="s">
        <v>1164</v>
      </c>
      <c r="J2" s="3414"/>
      <c r="K2" s="3415" t="str">
        <f>IF(ISBLANK('Design Details &amp; Summary'!S3)," ",'Design Details &amp; Summary'!S3)</f>
        <v xml:space="preserve"> </v>
      </c>
      <c r="L2" s="3415"/>
      <c r="M2" s="705"/>
      <c r="N2" s="705"/>
      <c r="O2" s="705"/>
      <c r="P2" s="705"/>
      <c r="Q2" s="705"/>
      <c r="R2" s="705"/>
      <c r="S2" s="705"/>
      <c r="T2" s="705"/>
      <c r="U2" s="2330" t="str">
        <f>'Drop-Down Lists'!A2</f>
        <v>v 05.01.2026</v>
      </c>
    </row>
    <row r="3" spans="1:21" ht="6" customHeight="1">
      <c r="A3" s="2331"/>
      <c r="B3" s="2329"/>
      <c r="C3" s="2329"/>
      <c r="D3" s="2329"/>
      <c r="E3" s="2329"/>
      <c r="F3" s="2329"/>
      <c r="G3" s="2329"/>
      <c r="H3" s="2329"/>
      <c r="I3" s="2329"/>
      <c r="J3" s="2329"/>
      <c r="K3" s="2329"/>
      <c r="L3" s="2329"/>
      <c r="M3" s="2329"/>
      <c r="N3" s="2329"/>
      <c r="O3" s="2329"/>
      <c r="P3" s="2329"/>
      <c r="Q3" s="2329"/>
      <c r="R3" s="2329"/>
      <c r="S3" s="2329"/>
      <c r="T3" s="2329"/>
      <c r="U3" s="2332"/>
    </row>
    <row r="4" spans="1:21" ht="19.5" customHeight="1">
      <c r="A4" s="2331" t="s">
        <v>1011</v>
      </c>
      <c r="B4" s="579" t="s">
        <v>582</v>
      </c>
      <c r="C4" s="2329"/>
      <c r="D4" s="2329"/>
      <c r="E4" s="3165" t="str">
        <f>IF('Design Details &amp; Summary'!AA77=0,"",IF('Design Details &amp; Summary'!AA77=4,'Design Details &amp; Summary'!I11,""))</f>
        <v/>
      </c>
      <c r="F4" s="3166"/>
      <c r="G4" s="2329" t="s">
        <v>583</v>
      </c>
      <c r="H4" s="2329"/>
      <c r="I4" s="2329"/>
      <c r="J4" s="2329"/>
      <c r="K4" s="2329"/>
      <c r="L4" s="2329"/>
      <c r="M4" s="2329"/>
      <c r="N4" s="2329"/>
      <c r="O4" s="2329"/>
      <c r="P4" s="2329"/>
      <c r="Q4" s="2329"/>
      <c r="R4" s="2329"/>
      <c r="S4" s="2329"/>
      <c r="T4" s="2329"/>
      <c r="U4" s="2332"/>
    </row>
    <row r="5" spans="1:21" ht="6" customHeight="1">
      <c r="A5" s="2331"/>
      <c r="B5" s="2329"/>
      <c r="C5" s="2329"/>
      <c r="D5" s="2329"/>
      <c r="E5" s="2329"/>
      <c r="F5" s="2329"/>
      <c r="G5" s="2329"/>
      <c r="H5" s="2329"/>
      <c r="I5" s="2329"/>
      <c r="J5" s="2329"/>
      <c r="K5" s="2329"/>
      <c r="L5" s="2329"/>
      <c r="M5" s="2329"/>
      <c r="N5" s="2329"/>
      <c r="O5" s="2329"/>
      <c r="P5" s="2329"/>
      <c r="Q5" s="2329"/>
      <c r="R5" s="2329"/>
      <c r="S5" s="2329"/>
      <c r="T5" s="2329"/>
      <c r="U5" s="2332"/>
    </row>
    <row r="6" spans="1:21" ht="15" customHeight="1">
      <c r="A6" s="3374" t="s">
        <v>1526</v>
      </c>
      <c r="B6" s="3375"/>
      <c r="C6" s="3375"/>
      <c r="D6" s="3375"/>
      <c r="E6" s="3375"/>
      <c r="F6" s="3375"/>
      <c r="G6" s="3375"/>
      <c r="H6" s="3375"/>
      <c r="I6" s="3375"/>
      <c r="J6" s="3375"/>
      <c r="K6" s="3375"/>
      <c r="L6" s="3375"/>
      <c r="M6" s="3375"/>
      <c r="N6" s="3375"/>
      <c r="O6" s="3375"/>
      <c r="P6" s="3375"/>
      <c r="Q6" s="3375"/>
      <c r="R6" s="3375"/>
      <c r="S6" s="3375"/>
      <c r="T6" s="3375"/>
      <c r="U6" s="3376"/>
    </row>
    <row r="7" spans="1:21" ht="6" customHeight="1">
      <c r="A7" s="2331"/>
      <c r="B7" s="2329"/>
      <c r="C7" s="2329"/>
      <c r="D7" s="2329"/>
      <c r="E7" s="2329"/>
      <c r="F7" s="2329"/>
      <c r="G7" s="2329"/>
      <c r="H7" s="2329"/>
      <c r="I7" s="2329"/>
      <c r="J7" s="2329"/>
      <c r="K7" s="2329"/>
      <c r="L7" s="2329"/>
      <c r="M7" s="2329"/>
      <c r="N7" s="2329"/>
      <c r="O7" s="2329"/>
      <c r="P7" s="2329"/>
      <c r="Q7" s="2329"/>
      <c r="R7" s="2329"/>
      <c r="S7" s="2329"/>
      <c r="T7" s="2329"/>
      <c r="U7" s="2332"/>
    </row>
    <row r="8" spans="1:21" ht="19.5" customHeight="1">
      <c r="A8" s="2331" t="s">
        <v>1011</v>
      </c>
      <c r="B8" s="579" t="s">
        <v>1527</v>
      </c>
      <c r="C8" s="2329"/>
      <c r="D8" s="2329"/>
      <c r="E8" s="2329"/>
      <c r="F8" s="3362" t="str">
        <f>IF(ISBLANK(E4), " ", 'Design Details &amp; Summary'!G94)</f>
        <v xml:space="preserve"> </v>
      </c>
      <c r="G8" s="3363"/>
      <c r="H8" s="579" t="s">
        <v>762</v>
      </c>
      <c r="I8" s="2329"/>
      <c r="J8" s="2329"/>
      <c r="K8" s="2329"/>
      <c r="L8" s="2329"/>
      <c r="M8" s="2329"/>
      <c r="N8" s="2329"/>
      <c r="O8" s="2329"/>
      <c r="P8" s="2329"/>
      <c r="Q8" s="2329"/>
      <c r="R8" s="2329"/>
      <c r="S8" s="2329"/>
      <c r="T8" s="2329"/>
      <c r="U8" s="2332"/>
    </row>
    <row r="9" spans="1:21" ht="6" customHeight="1">
      <c r="A9" s="2331"/>
      <c r="B9" s="2329"/>
      <c r="C9" s="2329"/>
      <c r="D9" s="2329"/>
      <c r="E9" s="2329"/>
      <c r="F9" s="2329"/>
      <c r="G9" s="2329"/>
      <c r="H9" s="2329"/>
      <c r="I9" s="2329"/>
      <c r="J9" s="2329"/>
      <c r="K9" s="2329"/>
      <c r="L9" s="2329"/>
      <c r="M9" s="2329"/>
      <c r="N9" s="2329"/>
      <c r="O9" s="2329"/>
      <c r="P9" s="2329"/>
      <c r="Q9" s="2329"/>
      <c r="R9" s="2329"/>
      <c r="S9" s="2329"/>
      <c r="T9" s="2329"/>
      <c r="U9" s="2332"/>
    </row>
    <row r="10" spans="1:21" ht="19.5" customHeight="1">
      <c r="A10" s="2331" t="s">
        <v>1019</v>
      </c>
      <c r="B10" s="579" t="s">
        <v>1528</v>
      </c>
      <c r="C10" s="2329"/>
      <c r="D10" s="2329"/>
      <c r="E10" s="580"/>
      <c r="F10" s="3364"/>
      <c r="G10" s="3365"/>
      <c r="H10" s="579" t="s">
        <v>762</v>
      </c>
      <c r="I10" s="2329"/>
      <c r="J10" s="2329"/>
      <c r="K10" s="2329"/>
      <c r="L10" s="2329"/>
      <c r="M10" s="2329"/>
      <c r="N10" s="2329"/>
      <c r="O10" s="2329"/>
      <c r="P10" s="2329"/>
      <c r="Q10" s="2329"/>
      <c r="R10" s="2329"/>
      <c r="S10" s="2329"/>
      <c r="T10" s="2329"/>
      <c r="U10" s="2332"/>
    </row>
    <row r="11" spans="1:21" ht="6" customHeight="1">
      <c r="A11" s="2331"/>
      <c r="B11" s="2329"/>
      <c r="C11" s="2329"/>
      <c r="D11" s="2329"/>
      <c r="E11" s="2329"/>
      <c r="F11" s="2329"/>
      <c r="G11" s="2329"/>
      <c r="H11" s="2329"/>
      <c r="I11" s="2329"/>
      <c r="J11" s="2329"/>
      <c r="K11" s="2329"/>
      <c r="L11" s="2329"/>
      <c r="M11" s="2329"/>
      <c r="N11" s="2329"/>
      <c r="O11" s="2329"/>
      <c r="P11" s="2329"/>
      <c r="Q11" s="2329"/>
      <c r="R11" s="2329"/>
      <c r="S11" s="2329"/>
      <c r="T11" s="2329"/>
      <c r="U11" s="2332"/>
    </row>
    <row r="12" spans="1:21" ht="19.5" customHeight="1">
      <c r="A12" s="2331" t="s">
        <v>1529</v>
      </c>
      <c r="B12" s="579" t="s">
        <v>1530</v>
      </c>
      <c r="C12" s="2329"/>
      <c r="D12" s="2329"/>
      <c r="E12" s="2329"/>
      <c r="F12" s="2329"/>
      <c r="G12" s="3362" t="str">
        <f>IF(ISBLANK(E4),"",'Design Details &amp; Summary'!G104)</f>
        <v/>
      </c>
      <c r="H12" s="3363"/>
      <c r="I12" s="579" t="s">
        <v>1531</v>
      </c>
      <c r="J12" s="2329"/>
      <c r="K12" s="2329"/>
      <c r="L12" s="2329"/>
      <c r="M12" s="2329"/>
      <c r="N12" s="2329"/>
      <c r="O12" s="2329"/>
      <c r="P12" s="2329"/>
      <c r="Q12" s="2329"/>
      <c r="R12" s="2329"/>
      <c r="S12" s="2329"/>
      <c r="T12" s="2329"/>
      <c r="U12" s="2332"/>
    </row>
    <row r="13" spans="1:21" ht="6" customHeight="1">
      <c r="A13" s="2331"/>
      <c r="B13" s="2329"/>
      <c r="C13" s="2329"/>
      <c r="D13" s="2329"/>
      <c r="E13" s="2329"/>
      <c r="F13" s="2329"/>
      <c r="G13" s="2329"/>
      <c r="H13" s="2329"/>
      <c r="I13" s="2329"/>
      <c r="J13" s="2329"/>
      <c r="K13" s="2329"/>
      <c r="L13" s="2329"/>
      <c r="M13" s="2329"/>
      <c r="N13" s="2329"/>
      <c r="O13" s="2329"/>
      <c r="P13" s="2329"/>
      <c r="Q13" s="2329"/>
      <c r="R13" s="2329"/>
      <c r="S13" s="2329"/>
      <c r="T13" s="2329"/>
      <c r="U13" s="2332"/>
    </row>
    <row r="14" spans="1:21" ht="19.5" customHeight="1">
      <c r="A14" s="2331" t="s">
        <v>1172</v>
      </c>
      <c r="B14" s="579" t="s">
        <v>1171</v>
      </c>
      <c r="C14" s="2329"/>
      <c r="D14" s="2329"/>
      <c r="E14" s="2329"/>
      <c r="F14" s="3409" t="str">
        <f>IF(ISBLANK(E4),"",'Design Details &amp; Summary'!G106)</f>
        <v xml:space="preserve"> </v>
      </c>
      <c r="G14" s="3410"/>
      <c r="H14" s="579" t="s">
        <v>1315</v>
      </c>
      <c r="I14" s="2329"/>
      <c r="J14" s="2329"/>
      <c r="K14" s="2329"/>
      <c r="L14" s="2329"/>
      <c r="M14" s="2329"/>
      <c r="N14" s="2329"/>
      <c r="O14" s="2329"/>
      <c r="P14" s="2329"/>
      <c r="Q14" s="2329"/>
      <c r="R14" s="2329"/>
      <c r="S14" s="2329"/>
      <c r="T14" s="2329"/>
      <c r="U14" s="2332"/>
    </row>
    <row r="15" spans="1:21" ht="6" customHeight="1">
      <c r="A15" s="2331"/>
      <c r="B15" s="2329"/>
      <c r="C15" s="2329"/>
      <c r="D15" s="2329"/>
      <c r="E15" s="2329"/>
      <c r="F15" s="2329"/>
      <c r="G15" s="2329"/>
      <c r="H15" s="2329"/>
      <c r="I15" s="2329"/>
      <c r="J15" s="2329"/>
      <c r="K15" s="2329"/>
      <c r="L15" s="2329"/>
      <c r="M15" s="2329"/>
      <c r="N15" s="2329"/>
      <c r="O15" s="2329"/>
      <c r="P15" s="2329"/>
      <c r="Q15" s="2329"/>
      <c r="R15" s="2329"/>
      <c r="S15" s="2329"/>
      <c r="T15" s="2329"/>
      <c r="U15" s="2332"/>
    </row>
    <row r="16" spans="1:21" ht="19.5" customHeight="1">
      <c r="A16" s="2331" t="s">
        <v>1532</v>
      </c>
      <c r="B16" s="579" t="s">
        <v>1533</v>
      </c>
      <c r="C16" s="2329"/>
      <c r="D16" s="2329"/>
      <c r="E16" s="1200"/>
      <c r="F16" s="3366"/>
      <c r="G16" s="3367"/>
      <c r="H16" s="2329"/>
      <c r="I16" s="2329"/>
      <c r="J16" s="2329"/>
      <c r="K16" s="2329"/>
      <c r="L16" s="2329"/>
      <c r="M16" s="2329"/>
      <c r="N16" s="2329"/>
      <c r="O16" s="2329"/>
      <c r="P16" s="2329"/>
      <c r="Q16" s="2329"/>
      <c r="R16" s="2329"/>
      <c r="S16" s="2329"/>
      <c r="T16" s="2329"/>
      <c r="U16" s="2332"/>
    </row>
    <row r="17" spans="1:21" ht="6" customHeight="1">
      <c r="A17" s="2331"/>
      <c r="B17" s="2329"/>
      <c r="C17" s="2329"/>
      <c r="D17" s="2329"/>
      <c r="E17" s="2329"/>
      <c r="F17" s="2329"/>
      <c r="G17" s="2329"/>
      <c r="H17" s="2329"/>
      <c r="I17" s="2329"/>
      <c r="J17" s="2329"/>
      <c r="K17" s="2329"/>
      <c r="L17" s="2329"/>
      <c r="M17" s="2329"/>
      <c r="N17" s="2329"/>
      <c r="O17" s="2329"/>
      <c r="P17" s="2329"/>
      <c r="Q17" s="2329"/>
      <c r="R17" s="2329"/>
      <c r="S17" s="2329"/>
      <c r="T17" s="2329"/>
      <c r="U17" s="2332"/>
    </row>
    <row r="18" spans="1:21" ht="15" customHeight="1">
      <c r="A18" s="3374" t="s">
        <v>1534</v>
      </c>
      <c r="B18" s="3375"/>
      <c r="C18" s="3375"/>
      <c r="D18" s="3375"/>
      <c r="E18" s="3375"/>
      <c r="F18" s="3375"/>
      <c r="G18" s="3375"/>
      <c r="H18" s="3375"/>
      <c r="I18" s="3375"/>
      <c r="J18" s="3375"/>
      <c r="K18" s="3375"/>
      <c r="L18" s="3375"/>
      <c r="M18" s="3375"/>
      <c r="N18" s="3375"/>
      <c r="O18" s="3375"/>
      <c r="P18" s="3375"/>
      <c r="Q18" s="3375"/>
      <c r="R18" s="3375"/>
      <c r="S18" s="3375"/>
      <c r="T18" s="3375"/>
      <c r="U18" s="3376"/>
    </row>
    <row r="19" spans="1:21" ht="6" customHeight="1">
      <c r="A19" s="2331"/>
      <c r="B19" s="2329"/>
      <c r="C19" s="2329"/>
      <c r="D19" s="2329"/>
      <c r="E19" s="2329"/>
      <c r="F19" s="2329"/>
      <c r="G19" s="2329"/>
      <c r="H19" s="2329"/>
      <c r="I19" s="2329"/>
      <c r="J19" s="2329"/>
      <c r="K19" s="2329"/>
      <c r="L19" s="2329"/>
      <c r="M19" s="2329"/>
      <c r="N19" s="2329"/>
      <c r="O19" s="2329"/>
      <c r="P19" s="2329"/>
      <c r="Q19" s="2329"/>
      <c r="R19" s="2329"/>
      <c r="S19" s="2329"/>
      <c r="T19" s="2329"/>
      <c r="U19" s="2332"/>
    </row>
    <row r="20" spans="1:21" ht="19.5" customHeight="1">
      <c r="A20" s="2331" t="s">
        <v>1011</v>
      </c>
      <c r="B20" s="579" t="s">
        <v>1535</v>
      </c>
      <c r="C20" s="2329"/>
      <c r="D20" s="2329"/>
      <c r="E20" s="3398"/>
      <c r="F20" s="3399"/>
      <c r="G20" s="579" t="s">
        <v>762</v>
      </c>
      <c r="H20" s="2329"/>
      <c r="I20" s="579" t="s">
        <v>1536</v>
      </c>
      <c r="J20" s="2329"/>
      <c r="K20" s="2329"/>
      <c r="L20" s="3394"/>
      <c r="M20" s="3395"/>
      <c r="N20" s="2329" t="s">
        <v>1537</v>
      </c>
      <c r="O20" s="2329"/>
      <c r="P20" s="2329"/>
      <c r="Q20" s="2329"/>
      <c r="R20" s="2329"/>
      <c r="S20" s="2329"/>
      <c r="T20" s="2329"/>
      <c r="U20" s="2332"/>
    </row>
    <row r="21" spans="1:21" ht="6" customHeight="1">
      <c r="A21" s="2331"/>
      <c r="B21" s="2329"/>
      <c r="C21" s="2329"/>
      <c r="D21" s="2329"/>
      <c r="E21" s="2329"/>
      <c r="F21" s="2329"/>
      <c r="G21" s="2329"/>
      <c r="H21" s="2329"/>
      <c r="I21" s="2329"/>
      <c r="J21" s="2329"/>
      <c r="K21" s="2329"/>
      <c r="L21" s="2329"/>
      <c r="M21" s="2329"/>
      <c r="N21" s="2329"/>
      <c r="O21" s="2329"/>
      <c r="P21" s="2329"/>
      <c r="Q21" s="2329"/>
      <c r="R21" s="2329"/>
      <c r="S21" s="2329"/>
      <c r="T21" s="2329"/>
      <c r="U21" s="2332"/>
    </row>
    <row r="22" spans="1:21" ht="19.5" customHeight="1">
      <c r="A22" s="2331" t="s">
        <v>1019</v>
      </c>
      <c r="B22" s="579" t="s">
        <v>1538</v>
      </c>
      <c r="C22" s="2329"/>
      <c r="D22" s="2329"/>
      <c r="E22" s="3394"/>
      <c r="F22" s="3395"/>
      <c r="G22" s="579" t="s">
        <v>1539</v>
      </c>
      <c r="H22" s="2329"/>
      <c r="I22" s="2329"/>
      <c r="J22" s="2329"/>
      <c r="K22" s="2329"/>
      <c r="L22" s="2329"/>
      <c r="M22" s="2329"/>
      <c r="N22" s="2329"/>
      <c r="O22" s="2329"/>
      <c r="P22" s="2329"/>
      <c r="Q22" s="2329"/>
      <c r="R22" s="2329"/>
      <c r="S22" s="2329"/>
      <c r="T22" s="2329"/>
      <c r="U22" s="2332"/>
    </row>
    <row r="23" spans="1:21" ht="6" customHeight="1">
      <c r="A23" s="2331"/>
      <c r="B23" s="2329"/>
      <c r="C23" s="2329"/>
      <c r="D23" s="2329"/>
      <c r="E23" s="2329"/>
      <c r="F23" s="2329"/>
      <c r="G23" s="2329"/>
      <c r="H23" s="2329"/>
      <c r="I23" s="2329"/>
      <c r="J23" s="2329"/>
      <c r="K23" s="2329"/>
      <c r="L23" s="2329"/>
      <c r="M23" s="2329"/>
      <c r="N23" s="2329"/>
      <c r="O23" s="2329"/>
      <c r="P23" s="2329"/>
      <c r="Q23" s="2329"/>
      <c r="R23" s="2329"/>
      <c r="S23" s="2329"/>
      <c r="T23" s="2329"/>
      <c r="U23" s="2332"/>
    </row>
    <row r="24" spans="1:21" ht="19.5" customHeight="1">
      <c r="A24" s="2331" t="s">
        <v>1168</v>
      </c>
      <c r="B24" s="579" t="s">
        <v>1540</v>
      </c>
      <c r="C24" s="2329"/>
      <c r="D24" s="2329"/>
      <c r="E24" s="2329"/>
      <c r="F24" s="2329"/>
      <c r="G24" s="2329"/>
      <c r="H24" s="2329"/>
      <c r="I24" s="2329"/>
      <c r="J24" s="3362" t="str">
        <f>E4</f>
        <v/>
      </c>
      <c r="K24" s="3363"/>
      <c r="L24" s="2329"/>
      <c r="M24" s="582" t="s">
        <v>1541</v>
      </c>
      <c r="N24" s="3362" t="str">
        <f>G12</f>
        <v/>
      </c>
      <c r="O24" s="3363"/>
      <c r="P24" s="3416" t="s">
        <v>1542</v>
      </c>
      <c r="Q24" s="3417"/>
      <c r="R24" s="3377" t="str">
        <f>IF(ISBLANK(F10),"",J24/N24)</f>
        <v/>
      </c>
      <c r="S24" s="3378"/>
      <c r="T24" s="579" t="s">
        <v>1543</v>
      </c>
      <c r="U24" s="2332"/>
    </row>
    <row r="25" spans="1:21" ht="6" customHeight="1">
      <c r="A25" s="2331"/>
      <c r="B25" s="2329"/>
      <c r="C25" s="2329"/>
      <c r="D25" s="2329"/>
      <c r="E25" s="2329"/>
      <c r="F25" s="2329"/>
      <c r="G25" s="2329"/>
      <c r="H25" s="2329"/>
      <c r="I25" s="2329"/>
      <c r="J25" s="2329"/>
      <c r="K25" s="2329"/>
      <c r="L25" s="2329"/>
      <c r="M25" s="2329"/>
      <c r="N25" s="2329"/>
      <c r="O25" s="2329"/>
      <c r="P25" s="2329"/>
      <c r="Q25" s="2329"/>
      <c r="R25" s="2329"/>
      <c r="S25" s="2329"/>
      <c r="T25" s="2329"/>
      <c r="U25" s="2332"/>
    </row>
    <row r="26" spans="1:21" ht="15" customHeight="1">
      <c r="A26" s="2331" t="s">
        <v>1172</v>
      </c>
      <c r="B26" s="579" t="s">
        <v>1544</v>
      </c>
      <c r="C26" s="2329"/>
      <c r="D26" s="2329"/>
      <c r="E26" s="2329"/>
      <c r="F26" s="2329"/>
      <c r="G26" s="2329"/>
      <c r="H26" s="2329"/>
      <c r="I26" s="2329"/>
      <c r="J26" s="2329"/>
      <c r="K26" s="2329"/>
      <c r="L26" s="2329"/>
      <c r="M26" s="2329"/>
      <c r="N26" s="2329"/>
      <c r="O26" s="2329"/>
      <c r="P26" s="2329"/>
      <c r="Q26" s="2329"/>
      <c r="R26" s="2329"/>
      <c r="S26" s="2329"/>
      <c r="T26" s="2329"/>
      <c r="U26" s="2332"/>
    </row>
    <row r="27" spans="1:21" ht="6" customHeight="1">
      <c r="A27" s="2331"/>
      <c r="B27" s="2329"/>
      <c r="C27" s="2329"/>
      <c r="D27" s="2329"/>
      <c r="E27" s="2329"/>
      <c r="F27" s="2329"/>
      <c r="G27" s="2329"/>
      <c r="H27" s="2329"/>
      <c r="I27" s="2329"/>
      <c r="J27" s="2329"/>
      <c r="K27" s="2329"/>
      <c r="L27" s="2329"/>
      <c r="M27" s="2329"/>
      <c r="N27" s="2329"/>
      <c r="O27" s="2329"/>
      <c r="P27" s="2329"/>
      <c r="Q27" s="2329"/>
      <c r="R27" s="2329"/>
      <c r="S27" s="2329"/>
      <c r="T27" s="2329"/>
      <c r="U27" s="2332"/>
    </row>
    <row r="28" spans="1:21" ht="19.5" customHeight="1">
      <c r="A28" s="2331"/>
      <c r="B28" s="3362" t="str">
        <f>E4</f>
        <v/>
      </c>
      <c r="C28" s="3363"/>
      <c r="D28" s="582" t="s">
        <v>1541</v>
      </c>
      <c r="E28" s="3362" t="str">
        <f>F14</f>
        <v xml:space="preserve"> </v>
      </c>
      <c r="F28" s="3363"/>
      <c r="G28" s="579" t="s">
        <v>1545</v>
      </c>
      <c r="H28" s="2329"/>
      <c r="I28" s="3362" t="str">
        <f>IF(ISBLANK(F10),"",B28/E28)</f>
        <v/>
      </c>
      <c r="J28" s="3413"/>
      <c r="K28" s="579" t="s">
        <v>609</v>
      </c>
      <c r="L28" s="2329"/>
      <c r="M28" s="2329"/>
      <c r="N28" s="2329"/>
      <c r="O28" s="2329"/>
      <c r="P28" s="2329"/>
      <c r="Q28" s="2329"/>
      <c r="R28" s="2329"/>
      <c r="S28" s="2329"/>
      <c r="T28" s="2329"/>
      <c r="U28" s="2332"/>
    </row>
    <row r="29" spans="1:21" ht="6" customHeight="1">
      <c r="A29" s="2331"/>
      <c r="B29" s="2329"/>
      <c r="C29" s="2329"/>
      <c r="D29" s="2329"/>
      <c r="E29" s="2329"/>
      <c r="F29" s="2329"/>
      <c r="G29" s="2329"/>
      <c r="H29" s="2329"/>
      <c r="I29" s="2329"/>
      <c r="J29" s="2329"/>
      <c r="K29" s="2329"/>
      <c r="L29" s="2329"/>
      <c r="M29" s="2329"/>
      <c r="N29" s="2329"/>
      <c r="O29" s="2329"/>
      <c r="P29" s="2329"/>
      <c r="Q29" s="2329"/>
      <c r="R29" s="2329"/>
      <c r="S29" s="2329"/>
      <c r="T29" s="2329"/>
      <c r="U29" s="2332"/>
    </row>
    <row r="30" spans="1:21" ht="19.5" customHeight="1">
      <c r="A30" s="2331" t="s">
        <v>1177</v>
      </c>
      <c r="B30" s="579" t="s">
        <v>1546</v>
      </c>
      <c r="C30" s="2329"/>
      <c r="D30" s="2329"/>
      <c r="E30" s="2329"/>
      <c r="F30" s="2329"/>
      <c r="G30" s="2329"/>
      <c r="H30" s="2329"/>
      <c r="I30" s="2329"/>
      <c r="J30" s="2329"/>
      <c r="K30" s="2329"/>
      <c r="L30" s="2329"/>
      <c r="M30" s="2329"/>
      <c r="N30" s="2329"/>
      <c r="O30" s="2329"/>
      <c r="P30" s="3380"/>
      <c r="Q30" s="3381"/>
      <c r="R30" s="579" t="s">
        <v>609</v>
      </c>
      <c r="S30" s="2329"/>
      <c r="T30" s="2329"/>
      <c r="U30" s="2332"/>
    </row>
    <row r="31" spans="1:21" s="441" customFormat="1" ht="15" customHeight="1">
      <c r="A31" s="2333"/>
      <c r="B31" s="583" t="s">
        <v>1547</v>
      </c>
      <c r="C31" s="2334"/>
      <c r="D31" s="2334"/>
      <c r="E31" s="2334"/>
      <c r="F31" s="2334"/>
      <c r="G31" s="2334"/>
      <c r="H31" s="2334"/>
      <c r="I31" s="2334"/>
      <c r="J31" s="2334"/>
      <c r="K31" s="2334"/>
      <c r="L31" s="2334"/>
      <c r="M31" s="2334"/>
      <c r="N31" s="2334"/>
      <c r="O31" s="2334"/>
      <c r="P31" s="2334"/>
      <c r="Q31" s="2334"/>
      <c r="R31" s="2334"/>
      <c r="S31" s="2334"/>
      <c r="T31" s="2334"/>
      <c r="U31" s="2335"/>
    </row>
    <row r="32" spans="1:21" ht="6" customHeight="1">
      <c r="A32" s="2331"/>
      <c r="B32" s="2329"/>
      <c r="C32" s="2329"/>
      <c r="D32" s="2329"/>
      <c r="E32" s="2329"/>
      <c r="F32" s="2329"/>
      <c r="G32" s="2329"/>
      <c r="H32" s="2329"/>
      <c r="I32" s="2329"/>
      <c r="J32" s="2329"/>
      <c r="K32" s="2329"/>
      <c r="L32" s="2329"/>
      <c r="M32" s="2329"/>
      <c r="N32" s="2329"/>
      <c r="O32" s="2329"/>
      <c r="P32" s="2329"/>
      <c r="Q32" s="2329"/>
      <c r="R32" s="2329"/>
      <c r="S32" s="2329"/>
      <c r="T32" s="2329"/>
      <c r="U32" s="2332"/>
    </row>
    <row r="33" spans="1:21" ht="19.5" customHeight="1">
      <c r="A33" s="2331" t="s">
        <v>1179</v>
      </c>
      <c r="B33" s="579" t="s">
        <v>1548</v>
      </c>
      <c r="C33" s="2329"/>
      <c r="D33" s="2329"/>
      <c r="E33" s="2329"/>
      <c r="F33" s="2329"/>
      <c r="G33" s="2329"/>
      <c r="H33" s="2329"/>
      <c r="I33" s="2329"/>
      <c r="J33" s="2329"/>
      <c r="K33" s="2329"/>
      <c r="L33" s="3377" t="str">
        <f>R24</f>
        <v/>
      </c>
      <c r="M33" s="3378"/>
      <c r="N33" s="582" t="s">
        <v>1549</v>
      </c>
      <c r="O33" s="3362" t="str">
        <f>IF(ISBLANK(F10),"",P30)</f>
        <v/>
      </c>
      <c r="P33" s="3363"/>
      <c r="Q33" s="2213" t="s">
        <v>1240</v>
      </c>
      <c r="R33" s="3360" t="str">
        <f>IF(ISBLANK(F10),"",L33/O33)</f>
        <v/>
      </c>
      <c r="S33" s="3361"/>
      <c r="T33" s="579" t="s">
        <v>609</v>
      </c>
      <c r="U33" s="2332"/>
    </row>
    <row r="34" spans="1:21" ht="6" customHeight="1">
      <c r="A34" s="2331"/>
      <c r="B34" s="2329"/>
      <c r="C34" s="2329"/>
      <c r="D34" s="2329"/>
      <c r="E34" s="2329"/>
      <c r="F34" s="2329"/>
      <c r="G34" s="2329"/>
      <c r="H34" s="2329"/>
      <c r="I34" s="2329"/>
      <c r="J34" s="2329"/>
      <c r="K34" s="2329"/>
      <c r="L34" s="2329"/>
      <c r="M34" s="2329"/>
      <c r="N34" s="2329"/>
      <c r="O34" s="2329"/>
      <c r="P34" s="2329"/>
      <c r="Q34" s="2329"/>
      <c r="R34" s="2329"/>
      <c r="S34" s="2329"/>
      <c r="T34" s="2329"/>
      <c r="U34" s="2332"/>
    </row>
    <row r="35" spans="1:21" ht="19.5" customHeight="1">
      <c r="A35" s="2331" t="s">
        <v>1181</v>
      </c>
      <c r="B35" s="579" t="s">
        <v>1550</v>
      </c>
      <c r="C35" s="2329"/>
      <c r="D35" s="2329"/>
      <c r="E35" s="3394"/>
      <c r="F35" s="3395"/>
      <c r="G35" s="579" t="s">
        <v>609</v>
      </c>
      <c r="H35" s="2329"/>
      <c r="I35" s="2329"/>
      <c r="J35" s="2329"/>
      <c r="K35" s="2329"/>
      <c r="L35" s="2329"/>
      <c r="M35" s="2329"/>
      <c r="N35" s="2329"/>
      <c r="O35" s="2329"/>
      <c r="P35" s="2329"/>
      <c r="Q35" s="2329"/>
      <c r="R35" s="2329"/>
      <c r="S35" s="2329"/>
      <c r="T35" s="2329"/>
      <c r="U35" s="2332"/>
    </row>
    <row r="36" spans="1:21" ht="6" customHeight="1">
      <c r="A36" s="2331"/>
      <c r="B36" s="2329"/>
      <c r="C36" s="2329"/>
      <c r="D36" s="2329"/>
      <c r="E36" s="2329"/>
      <c r="F36" s="2329"/>
      <c r="G36" s="2329"/>
      <c r="H36" s="2329"/>
      <c r="I36" s="2329"/>
      <c r="J36" s="2329"/>
      <c r="K36" s="2329"/>
      <c r="L36" s="2329"/>
      <c r="M36" s="2329"/>
      <c r="N36" s="2329"/>
      <c r="O36" s="2329"/>
      <c r="P36" s="2329"/>
      <c r="Q36" s="2329"/>
      <c r="R36" s="2329"/>
      <c r="S36" s="2329"/>
      <c r="T36" s="2329"/>
      <c r="U36" s="2332"/>
    </row>
    <row r="37" spans="1:21" ht="15" customHeight="1">
      <c r="A37" s="2331" t="s">
        <v>1184</v>
      </c>
      <c r="B37" s="579" t="s">
        <v>1551</v>
      </c>
      <c r="C37" s="2329"/>
      <c r="D37" s="2329"/>
      <c r="E37" s="2329"/>
      <c r="F37" s="2329"/>
      <c r="G37" s="2329"/>
      <c r="H37" s="2329"/>
      <c r="I37" s="2329"/>
      <c r="J37" s="2329"/>
      <c r="K37" s="2329"/>
      <c r="L37" s="2329"/>
      <c r="M37" s="2329"/>
      <c r="N37" s="2329"/>
      <c r="O37" s="2329"/>
      <c r="P37" s="2329"/>
      <c r="Q37" s="2329"/>
      <c r="R37" s="2329"/>
      <c r="S37" s="2329"/>
      <c r="T37" s="2329"/>
      <c r="U37" s="2332"/>
    </row>
    <row r="38" spans="1:21" ht="6" customHeight="1">
      <c r="A38" s="2331"/>
      <c r="B38" s="2329"/>
      <c r="C38" s="2329"/>
      <c r="D38" s="2329"/>
      <c r="E38" s="2329"/>
      <c r="F38" s="2329"/>
      <c r="G38" s="2329"/>
      <c r="H38" s="2329"/>
      <c r="I38" s="2329"/>
      <c r="J38" s="2329"/>
      <c r="K38" s="2329"/>
      <c r="L38" s="2329"/>
      <c r="M38" s="2329"/>
      <c r="N38" s="2329"/>
      <c r="O38" s="2329"/>
      <c r="P38" s="2329"/>
      <c r="Q38" s="2329"/>
      <c r="R38" s="2329"/>
      <c r="S38" s="2329"/>
      <c r="T38" s="2329"/>
      <c r="U38" s="2332"/>
    </row>
    <row r="39" spans="1:21" ht="19.5" customHeight="1">
      <c r="A39" s="2331"/>
      <c r="B39" s="3360" t="str">
        <f>R33</f>
        <v/>
      </c>
      <c r="C39" s="3363"/>
      <c r="D39" s="582" t="s">
        <v>1552</v>
      </c>
      <c r="E39" s="3362" t="str">
        <f>IF(ISBLANK(F10),"",E35)</f>
        <v/>
      </c>
      <c r="F39" s="3363"/>
      <c r="G39" s="582" t="s">
        <v>1443</v>
      </c>
      <c r="H39" s="3362" t="str">
        <f>IF(ISBLANK(E35),"",ROUNDUP((B39/E39),0))</f>
        <v/>
      </c>
      <c r="I39" s="3363"/>
      <c r="J39" s="579" t="s">
        <v>1553</v>
      </c>
      <c r="K39" s="2329"/>
      <c r="L39" s="2329"/>
      <c r="M39" s="2329"/>
      <c r="N39" s="2329"/>
      <c r="O39" s="2329"/>
      <c r="P39" s="2329"/>
      <c r="Q39" s="2329"/>
      <c r="R39" s="2329"/>
      <c r="S39" s="2329"/>
      <c r="T39" s="2329"/>
      <c r="U39" s="2332"/>
    </row>
    <row r="40" spans="1:21" ht="6" customHeight="1">
      <c r="A40" s="2331"/>
      <c r="B40" s="2329"/>
      <c r="C40" s="2329"/>
      <c r="D40" s="2329"/>
      <c r="E40" s="2329"/>
      <c r="F40" s="2329"/>
      <c r="G40" s="2329"/>
      <c r="H40" s="2329"/>
      <c r="I40" s="2329"/>
      <c r="J40" s="2329"/>
      <c r="K40" s="2329"/>
      <c r="L40" s="2329"/>
      <c r="M40" s="2329"/>
      <c r="N40" s="2329"/>
      <c r="O40" s="2329"/>
      <c r="P40" s="2329"/>
      <c r="Q40" s="2329"/>
      <c r="R40" s="2329"/>
      <c r="S40" s="2329"/>
      <c r="T40" s="2329"/>
      <c r="U40" s="2332"/>
    </row>
    <row r="41" spans="1:21" ht="19.5" customHeight="1">
      <c r="A41" s="2331" t="s">
        <v>1186</v>
      </c>
      <c r="B41" s="579" t="s">
        <v>1554</v>
      </c>
      <c r="C41" s="2329"/>
      <c r="D41" s="2329"/>
      <c r="E41" s="3394"/>
      <c r="F41" s="3395"/>
      <c r="G41" s="579" t="s">
        <v>1555</v>
      </c>
      <c r="H41" s="2329"/>
      <c r="I41" s="2329"/>
      <c r="J41" s="2329"/>
      <c r="K41" s="2329"/>
      <c r="L41" s="2329"/>
      <c r="M41" s="2329"/>
      <c r="N41" s="2329"/>
      <c r="O41" s="2329"/>
      <c r="P41" s="2329"/>
      <c r="Q41" s="2329"/>
      <c r="R41" s="2329"/>
      <c r="S41" s="2329"/>
      <c r="T41" s="2329"/>
      <c r="U41" s="2332"/>
    </row>
    <row r="42" spans="1:21" ht="6" customHeight="1">
      <c r="A42" s="2331"/>
      <c r="B42" s="2329"/>
      <c r="C42" s="2329"/>
      <c r="D42" s="2329"/>
      <c r="E42" s="2329"/>
      <c r="F42" s="2329"/>
      <c r="G42" s="2329"/>
      <c r="H42" s="2329"/>
      <c r="I42" s="2329"/>
      <c r="J42" s="2329"/>
      <c r="K42" s="2329"/>
      <c r="L42" s="2329"/>
      <c r="M42" s="2329"/>
      <c r="N42" s="2329"/>
      <c r="O42" s="2329"/>
      <c r="P42" s="2329"/>
      <c r="Q42" s="2329"/>
      <c r="R42" s="2329"/>
      <c r="S42" s="2329"/>
      <c r="T42" s="2329"/>
      <c r="U42" s="2332"/>
    </row>
    <row r="43" spans="1:21" ht="15" customHeight="1">
      <c r="A43" s="2331" t="s">
        <v>1224</v>
      </c>
      <c r="B43" s="579" t="s">
        <v>1556</v>
      </c>
      <c r="C43" s="2329"/>
      <c r="D43" s="2329"/>
      <c r="E43" s="2329"/>
      <c r="F43" s="2329"/>
      <c r="G43" s="2329"/>
      <c r="H43" s="2329"/>
      <c r="I43" s="2329"/>
      <c r="J43" s="2329"/>
      <c r="K43" s="2329"/>
      <c r="L43" s="2329"/>
      <c r="M43" s="2329"/>
      <c r="N43" s="2329"/>
      <c r="O43" s="2329"/>
      <c r="P43" s="2329"/>
      <c r="Q43" s="2329"/>
      <c r="R43" s="2329"/>
      <c r="S43" s="2329"/>
      <c r="T43" s="2329"/>
      <c r="U43" s="2332"/>
    </row>
    <row r="44" spans="1:21" ht="6" customHeight="1">
      <c r="A44" s="2331"/>
      <c r="B44" s="2329"/>
      <c r="C44" s="2329"/>
      <c r="D44" s="2329"/>
      <c r="E44" s="2329"/>
      <c r="F44" s="2329"/>
      <c r="G44" s="2329"/>
      <c r="H44" s="2329"/>
      <c r="I44" s="2329"/>
      <c r="J44" s="2329"/>
      <c r="K44" s="2329"/>
      <c r="L44" s="2329"/>
      <c r="M44" s="2329"/>
      <c r="N44" s="2329"/>
      <c r="O44" s="2329"/>
      <c r="P44" s="2329"/>
      <c r="Q44" s="2329"/>
      <c r="R44" s="2329"/>
      <c r="S44" s="2329"/>
      <c r="T44" s="2329"/>
      <c r="U44" s="2332"/>
    </row>
    <row r="45" spans="1:21" ht="19.5" customHeight="1">
      <c r="A45" s="2331"/>
      <c r="B45" s="442" t="s">
        <v>1557</v>
      </c>
      <c r="C45" s="3362" t="str">
        <f>H39</f>
        <v/>
      </c>
      <c r="D45" s="3363"/>
      <c r="E45" s="2213" t="s">
        <v>1558</v>
      </c>
      <c r="F45" s="3362" t="str">
        <f>IF(ISBLANK(F10),"",E41)</f>
        <v/>
      </c>
      <c r="G45" s="3363"/>
      <c r="H45" s="443" t="s">
        <v>1559</v>
      </c>
      <c r="I45" s="582" t="s">
        <v>1343</v>
      </c>
      <c r="J45" s="3362" t="str">
        <f>IF(ISBLANK(F10),"",P30)</f>
        <v/>
      </c>
      <c r="K45" s="3363"/>
      <c r="L45" s="582" t="s">
        <v>1560</v>
      </c>
      <c r="M45" s="3362" t="str">
        <f>IF(ISBLANK(F10),"",(C45/F45)*J45)</f>
        <v/>
      </c>
      <c r="N45" s="3363"/>
      <c r="O45" s="579" t="s">
        <v>609</v>
      </c>
      <c r="P45" s="2329"/>
      <c r="Q45" s="2329"/>
      <c r="R45" s="2329"/>
      <c r="S45" s="2329"/>
      <c r="T45" s="2329"/>
      <c r="U45" s="2332"/>
    </row>
    <row r="46" spans="1:21" ht="6" customHeight="1">
      <c r="A46" s="2331"/>
      <c r="B46" s="2329"/>
      <c r="C46" s="2329"/>
      <c r="D46" s="2329"/>
      <c r="E46" s="2329"/>
      <c r="F46" s="2329"/>
      <c r="G46" s="2329"/>
      <c r="H46" s="2329"/>
      <c r="I46" s="2329"/>
      <c r="J46" s="2329"/>
      <c r="K46" s="2329"/>
      <c r="L46" s="2329"/>
      <c r="M46" s="2329"/>
      <c r="N46" s="2329"/>
      <c r="O46" s="2329"/>
      <c r="P46" s="2329"/>
      <c r="Q46" s="2329"/>
      <c r="R46" s="2329"/>
      <c r="S46" s="2329"/>
      <c r="T46" s="2329"/>
      <c r="U46" s="2332"/>
    </row>
    <row r="47" spans="1:21" ht="19.5" customHeight="1">
      <c r="A47" s="2331" t="s">
        <v>1227</v>
      </c>
      <c r="B47" s="579" t="s">
        <v>1561</v>
      </c>
      <c r="C47" s="2329"/>
      <c r="D47" s="2329"/>
      <c r="E47" s="2329"/>
      <c r="F47" s="2329"/>
      <c r="G47" s="2329"/>
      <c r="H47" s="2329"/>
      <c r="I47" s="2329"/>
      <c r="J47" s="2329"/>
      <c r="K47" s="3411">
        <v>2</v>
      </c>
      <c r="L47" s="3411"/>
      <c r="M47" s="582" t="s">
        <v>1343</v>
      </c>
      <c r="N47" s="3362" t="str">
        <f>H39</f>
        <v/>
      </c>
      <c r="O47" s="3363"/>
      <c r="P47" s="2213" t="s">
        <v>1240</v>
      </c>
      <c r="Q47" s="3362" t="str">
        <f>IF(ISBLANK(F10),"",K47*N47)</f>
        <v/>
      </c>
      <c r="R47" s="3363"/>
      <c r="S47" s="579" t="s">
        <v>1562</v>
      </c>
      <c r="T47" s="2329"/>
      <c r="U47" s="2332"/>
    </row>
    <row r="48" spans="1:21" ht="6" customHeight="1">
      <c r="A48" s="2331"/>
      <c r="B48" s="2329"/>
      <c r="C48" s="2329"/>
      <c r="D48" s="2329"/>
      <c r="E48" s="2329"/>
      <c r="F48" s="2329"/>
      <c r="G48" s="2329"/>
      <c r="H48" s="2329"/>
      <c r="I48" s="2329"/>
      <c r="J48" s="2329"/>
      <c r="K48" s="2329"/>
      <c r="L48" s="2329"/>
      <c r="M48" s="2329"/>
      <c r="N48" s="2329"/>
      <c r="O48" s="2329"/>
      <c r="P48" s="2329"/>
      <c r="Q48" s="2329"/>
      <c r="R48" s="2329"/>
      <c r="S48" s="2329"/>
      <c r="T48" s="2329"/>
      <c r="U48" s="2332"/>
    </row>
    <row r="49" spans="1:21" ht="12" customHeight="1">
      <c r="A49" s="2331"/>
      <c r="B49" s="2329"/>
      <c r="C49" s="2329"/>
      <c r="D49" s="2329"/>
      <c r="E49" s="2329"/>
      <c r="F49" s="2329"/>
      <c r="G49" s="2329"/>
      <c r="H49" s="2329"/>
      <c r="I49" s="2329"/>
      <c r="J49" s="2329"/>
      <c r="K49" s="2329"/>
      <c r="L49" s="2329"/>
      <c r="M49" s="2329"/>
      <c r="N49" s="2329"/>
      <c r="O49" s="2329"/>
      <c r="P49" s="2329"/>
      <c r="Q49" s="2329"/>
      <c r="R49" s="2329"/>
      <c r="S49" s="2329"/>
      <c r="T49" s="2329"/>
      <c r="U49" s="2332"/>
    </row>
    <row r="50" spans="1:21" ht="12" customHeight="1">
      <c r="A50" s="2331"/>
      <c r="B50" s="2329"/>
      <c r="C50" s="2329"/>
      <c r="D50" s="2329"/>
      <c r="E50" s="2329"/>
      <c r="F50" s="2329"/>
      <c r="G50" s="2329"/>
      <c r="H50" s="2329"/>
      <c r="I50" s="2329"/>
      <c r="J50" s="2329"/>
      <c r="K50" s="2329"/>
      <c r="L50" s="2329"/>
      <c r="M50" s="2329"/>
      <c r="N50" s="2329"/>
      <c r="O50" s="2329"/>
      <c r="P50" s="2329"/>
      <c r="Q50" s="2329"/>
      <c r="R50" s="2329"/>
      <c r="S50" s="2329"/>
      <c r="T50" s="2329"/>
      <c r="U50" s="2332"/>
    </row>
    <row r="51" spans="1:21" ht="12" customHeight="1">
      <c r="A51" s="2331"/>
      <c r="B51" s="2329"/>
      <c r="C51" s="2329"/>
      <c r="D51" s="2329"/>
      <c r="E51" s="2329"/>
      <c r="F51" s="2329"/>
      <c r="G51" s="2329"/>
      <c r="H51" s="2329"/>
      <c r="I51" s="2329"/>
      <c r="J51" s="2329"/>
      <c r="K51" s="2329"/>
      <c r="L51" s="2329"/>
      <c r="M51" s="2329"/>
      <c r="N51" s="2329"/>
      <c r="O51" s="2329"/>
      <c r="P51" s="2329"/>
      <c r="Q51" s="2329"/>
      <c r="R51" s="2329"/>
      <c r="S51" s="2329"/>
      <c r="T51" s="2329"/>
      <c r="U51" s="2332"/>
    </row>
    <row r="52" spans="1:21" ht="12" customHeight="1">
      <c r="A52" s="2331"/>
      <c r="B52" s="2329"/>
      <c r="C52" s="2329"/>
      <c r="D52" s="2329"/>
      <c r="E52" s="2329"/>
      <c r="F52" s="2329"/>
      <c r="G52" s="2329"/>
      <c r="H52" s="2329"/>
      <c r="I52" s="2329"/>
      <c r="J52" s="2329"/>
      <c r="K52" s="2329"/>
      <c r="L52" s="2329"/>
      <c r="M52" s="2329"/>
      <c r="N52" s="2329"/>
      <c r="O52" s="2329"/>
      <c r="P52" s="2329"/>
      <c r="Q52" s="2329"/>
      <c r="R52" s="2329"/>
      <c r="S52" s="2329"/>
      <c r="T52" s="2329"/>
      <c r="U52" s="2332"/>
    </row>
    <row r="53" spans="1:21" ht="12" customHeight="1">
      <c r="A53" s="2331"/>
      <c r="B53" s="2329"/>
      <c r="C53" s="2329"/>
      <c r="D53" s="2329"/>
      <c r="E53" s="2329"/>
      <c r="F53" s="2329"/>
      <c r="G53" s="2329"/>
      <c r="H53" s="2329"/>
      <c r="I53" s="2329"/>
      <c r="J53" s="2329"/>
      <c r="K53" s="2329"/>
      <c r="L53" s="2329"/>
      <c r="M53" s="2329"/>
      <c r="N53" s="2329"/>
      <c r="O53" s="2329"/>
      <c r="P53" s="2329"/>
      <c r="Q53" s="2329"/>
      <c r="R53" s="2329"/>
      <c r="S53" s="2329"/>
      <c r="T53" s="2329"/>
      <c r="U53" s="2332"/>
    </row>
    <row r="54" spans="1:21" ht="12" customHeight="1">
      <c r="A54" s="2331"/>
      <c r="B54" s="2329"/>
      <c r="C54" s="2329"/>
      <c r="D54" s="2329"/>
      <c r="E54" s="2329"/>
      <c r="F54" s="2329"/>
      <c r="G54" s="2329"/>
      <c r="H54" s="2329"/>
      <c r="I54" s="2329"/>
      <c r="J54" s="2329"/>
      <c r="K54" s="2329"/>
      <c r="L54" s="2329"/>
      <c r="M54" s="2329"/>
      <c r="N54" s="2329"/>
      <c r="O54" s="2329"/>
      <c r="P54" s="2329"/>
      <c r="Q54" s="2329"/>
      <c r="R54" s="2329"/>
      <c r="S54" s="2329"/>
      <c r="T54" s="2329"/>
      <c r="U54" s="2332"/>
    </row>
    <row r="55" spans="1:21" ht="12" customHeight="1">
      <c r="A55" s="2331"/>
      <c r="B55" s="2329"/>
      <c r="C55" s="2329"/>
      <c r="D55" s="2329"/>
      <c r="E55" s="2329"/>
      <c r="F55" s="2329"/>
      <c r="G55" s="2329"/>
      <c r="H55" s="2329"/>
      <c r="I55" s="2329"/>
      <c r="J55" s="2329"/>
      <c r="K55" s="2329"/>
      <c r="L55" s="2329"/>
      <c r="M55" s="2329"/>
      <c r="N55" s="2329"/>
      <c r="O55" s="2329"/>
      <c r="P55" s="2329"/>
      <c r="Q55" s="2329"/>
      <c r="R55" s="2329"/>
      <c r="S55" s="2329"/>
      <c r="T55" s="2329"/>
      <c r="U55" s="2332"/>
    </row>
    <row r="56" spans="1:21" ht="12" customHeight="1">
      <c r="A56" s="2331"/>
      <c r="B56" s="2329"/>
      <c r="C56" s="2329"/>
      <c r="D56" s="2329"/>
      <c r="E56" s="2329"/>
      <c r="F56" s="2329"/>
      <c r="G56" s="2329"/>
      <c r="H56" s="2329"/>
      <c r="I56" s="2329"/>
      <c r="J56" s="2329"/>
      <c r="K56" s="2329"/>
      <c r="L56" s="2329"/>
      <c r="M56" s="2329"/>
      <c r="N56" s="2329"/>
      <c r="O56" s="2329"/>
      <c r="P56" s="2329"/>
      <c r="Q56" s="2329"/>
      <c r="R56" s="2329"/>
      <c r="S56" s="2329"/>
      <c r="T56" s="2329"/>
      <c r="U56" s="2332"/>
    </row>
    <row r="57" spans="1:21" ht="12" customHeight="1">
      <c r="A57" s="2331"/>
      <c r="B57" s="2329"/>
      <c r="C57" s="2329"/>
      <c r="D57" s="2329"/>
      <c r="E57" s="2329"/>
      <c r="F57" s="2329"/>
      <c r="G57" s="2329"/>
      <c r="H57" s="2329"/>
      <c r="I57" s="2329"/>
      <c r="J57" s="2329"/>
      <c r="K57" s="2329"/>
      <c r="L57" s="2329"/>
      <c r="M57" s="2329"/>
      <c r="N57" s="2329"/>
      <c r="O57" s="2329"/>
      <c r="P57" s="2329"/>
      <c r="Q57" s="2329"/>
      <c r="R57" s="2329"/>
      <c r="S57" s="2329"/>
      <c r="T57" s="2329"/>
      <c r="U57" s="2332"/>
    </row>
    <row r="58" spans="1:21" ht="12" customHeight="1">
      <c r="A58" s="2331"/>
      <c r="B58" s="2329"/>
      <c r="C58" s="2329"/>
      <c r="D58" s="2329"/>
      <c r="E58" s="2329"/>
      <c r="F58" s="2329"/>
      <c r="G58" s="2329"/>
      <c r="H58" s="2329"/>
      <c r="I58" s="2329"/>
      <c r="J58" s="2329"/>
      <c r="K58" s="2329"/>
      <c r="L58" s="2329"/>
      <c r="M58" s="2329"/>
      <c r="N58" s="2329"/>
      <c r="O58" s="2329"/>
      <c r="P58" s="2329"/>
      <c r="Q58" s="2329"/>
      <c r="R58" s="2329"/>
      <c r="S58" s="2329"/>
      <c r="T58" s="2329"/>
      <c r="U58" s="2332"/>
    </row>
    <row r="59" spans="1:21" ht="12" customHeight="1">
      <c r="A59" s="2331"/>
      <c r="B59" s="2329"/>
      <c r="C59" s="2329"/>
      <c r="D59" s="2329"/>
      <c r="E59" s="2329"/>
      <c r="F59" s="2329"/>
      <c r="G59" s="2329"/>
      <c r="H59" s="2329"/>
      <c r="I59" s="2329"/>
      <c r="J59" s="2329"/>
      <c r="K59" s="2329"/>
      <c r="L59" s="2329"/>
      <c r="M59" s="2329"/>
      <c r="N59" s="2329"/>
      <c r="O59" s="2329"/>
      <c r="P59" s="2329"/>
      <c r="Q59" s="2329"/>
      <c r="R59" s="2329"/>
      <c r="S59" s="2329"/>
      <c r="T59" s="2329"/>
      <c r="U59" s="2332"/>
    </row>
    <row r="60" spans="1:21" ht="12" customHeight="1">
      <c r="A60" s="2331"/>
      <c r="B60" s="2329"/>
      <c r="C60" s="2329"/>
      <c r="D60" s="2329"/>
      <c r="E60" s="2329"/>
      <c r="F60" s="2329"/>
      <c r="G60" s="2329"/>
      <c r="H60" s="2329"/>
      <c r="I60" s="2329"/>
      <c r="J60" s="2329"/>
      <c r="K60" s="2329"/>
      <c r="L60" s="2329"/>
      <c r="M60" s="2329"/>
      <c r="N60" s="2329"/>
      <c r="O60" s="2329"/>
      <c r="P60" s="2329"/>
      <c r="Q60" s="2329"/>
      <c r="R60" s="2329"/>
      <c r="S60" s="2329"/>
      <c r="T60" s="2329"/>
      <c r="U60" s="2332"/>
    </row>
    <row r="61" spans="1:21" ht="12" customHeight="1">
      <c r="A61" s="2331"/>
      <c r="B61" s="2329"/>
      <c r="C61" s="2329"/>
      <c r="D61" s="2329"/>
      <c r="E61" s="2329"/>
      <c r="F61" s="2329"/>
      <c r="G61" s="2329"/>
      <c r="H61" s="2329"/>
      <c r="I61" s="2329"/>
      <c r="J61" s="2329"/>
      <c r="K61" s="2329"/>
      <c r="L61" s="2329"/>
      <c r="M61" s="2329"/>
      <c r="N61" s="2329"/>
      <c r="O61" s="2329"/>
      <c r="P61" s="2329"/>
      <c r="Q61" s="2329"/>
      <c r="R61" s="2329"/>
      <c r="S61" s="2329"/>
      <c r="T61" s="2329"/>
      <c r="U61" s="2332"/>
    </row>
    <row r="62" spans="1:21" ht="12" customHeight="1">
      <c r="A62" s="2331"/>
      <c r="B62" s="2329"/>
      <c r="C62" s="2329"/>
      <c r="D62" s="2329"/>
      <c r="E62" s="2329"/>
      <c r="F62" s="2329"/>
      <c r="G62" s="2329"/>
      <c r="H62" s="2329"/>
      <c r="I62" s="2329"/>
      <c r="J62" s="2329"/>
      <c r="K62" s="2329"/>
      <c r="L62" s="2329"/>
      <c r="M62" s="2329"/>
      <c r="N62" s="2329"/>
      <c r="O62" s="2329"/>
      <c r="P62" s="2329"/>
      <c r="Q62" s="2329"/>
      <c r="R62" s="2329"/>
      <c r="S62" s="2329"/>
      <c r="T62" s="2329"/>
      <c r="U62" s="2332"/>
    </row>
    <row r="63" spans="1:21" ht="12" customHeight="1">
      <c r="A63" s="2331"/>
      <c r="B63" s="2329"/>
      <c r="C63" s="2329"/>
      <c r="D63" s="2329"/>
      <c r="E63" s="2329"/>
      <c r="F63" s="2329"/>
      <c r="G63" s="2329"/>
      <c r="H63" s="2329"/>
      <c r="I63" s="2329"/>
      <c r="J63" s="2329"/>
      <c r="K63" s="2329"/>
      <c r="L63" s="2329"/>
      <c r="M63" s="2329"/>
      <c r="N63" s="2329"/>
      <c r="O63" s="2329"/>
      <c r="P63" s="2329"/>
      <c r="Q63" s="2329"/>
      <c r="R63" s="2329"/>
      <c r="S63" s="2329"/>
      <c r="T63" s="2329"/>
      <c r="U63" s="2332"/>
    </row>
    <row r="64" spans="1:21" ht="12" customHeight="1">
      <c r="A64" s="2331"/>
      <c r="B64" s="2329"/>
      <c r="C64" s="2329"/>
      <c r="D64" s="2329"/>
      <c r="E64" s="2329"/>
      <c r="F64" s="2329"/>
      <c r="G64" s="2329"/>
      <c r="H64" s="2329"/>
      <c r="I64" s="2329"/>
      <c r="J64" s="2329"/>
      <c r="K64" s="2329"/>
      <c r="L64" s="2329"/>
      <c r="M64" s="2329"/>
      <c r="N64" s="2329"/>
      <c r="O64" s="2329"/>
      <c r="P64" s="2329"/>
      <c r="Q64" s="2329"/>
      <c r="R64" s="2329"/>
      <c r="S64" s="2329"/>
      <c r="T64" s="2329"/>
      <c r="U64" s="2332"/>
    </row>
    <row r="65" spans="1:21" ht="12" customHeight="1">
      <c r="A65" s="2331"/>
      <c r="B65" s="2329"/>
      <c r="C65" s="2329"/>
      <c r="D65" s="2329"/>
      <c r="E65" s="2329"/>
      <c r="F65" s="2329"/>
      <c r="G65" s="2329"/>
      <c r="H65" s="2329"/>
      <c r="I65" s="2329"/>
      <c r="J65" s="2329"/>
      <c r="K65" s="2329"/>
      <c r="L65" s="2329"/>
      <c r="M65" s="2329"/>
      <c r="N65" s="2329"/>
      <c r="O65" s="2329"/>
      <c r="P65" s="2329"/>
      <c r="Q65" s="2329"/>
      <c r="R65" s="2329"/>
      <c r="S65" s="2329"/>
      <c r="T65" s="2329"/>
      <c r="U65" s="2332"/>
    </row>
    <row r="66" spans="1:21" ht="12" customHeight="1">
      <c r="A66" s="2331"/>
      <c r="B66" s="2329"/>
      <c r="C66" s="2329"/>
      <c r="D66" s="2329"/>
      <c r="E66" s="2329"/>
      <c r="F66" s="2329"/>
      <c r="G66" s="2329"/>
      <c r="H66" s="2329"/>
      <c r="I66" s="2329"/>
      <c r="J66" s="2329"/>
      <c r="K66" s="2329"/>
      <c r="L66" s="2329"/>
      <c r="M66" s="2329"/>
      <c r="N66" s="2329"/>
      <c r="O66" s="2329"/>
      <c r="P66" s="2329"/>
      <c r="Q66" s="2329"/>
      <c r="R66" s="2329"/>
      <c r="S66" s="2329"/>
      <c r="T66" s="2329"/>
      <c r="U66" s="2332"/>
    </row>
    <row r="67" spans="1:21" ht="12" customHeight="1">
      <c r="A67" s="2331"/>
      <c r="B67" s="2329"/>
      <c r="C67" s="2329"/>
      <c r="D67" s="2329"/>
      <c r="E67" s="2329"/>
      <c r="F67" s="2329"/>
      <c r="G67" s="2329"/>
      <c r="H67" s="2329"/>
      <c r="I67" s="2329"/>
      <c r="J67" s="2329"/>
      <c r="K67" s="2329"/>
      <c r="L67" s="2329"/>
      <c r="M67" s="2329"/>
      <c r="N67" s="2329"/>
      <c r="O67" s="2329"/>
      <c r="P67" s="2329"/>
      <c r="Q67" s="2329"/>
      <c r="R67" s="2329"/>
      <c r="S67" s="2329"/>
      <c r="T67" s="2329"/>
      <c r="U67" s="2332"/>
    </row>
    <row r="68" spans="1:21" ht="12" customHeight="1">
      <c r="A68" s="2331"/>
      <c r="B68" s="2329"/>
      <c r="C68" s="2329"/>
      <c r="D68" s="2329"/>
      <c r="E68" s="2329"/>
      <c r="F68" s="2329"/>
      <c r="G68" s="2329"/>
      <c r="H68" s="2329"/>
      <c r="I68" s="2329"/>
      <c r="J68" s="2329"/>
      <c r="K68" s="2329"/>
      <c r="L68" s="2329"/>
      <c r="M68" s="2329"/>
      <c r="N68" s="2329"/>
      <c r="O68" s="2329"/>
      <c r="P68" s="2329"/>
      <c r="Q68" s="2329"/>
      <c r="R68" s="2329"/>
      <c r="S68" s="2329"/>
      <c r="T68" s="2329"/>
      <c r="U68" s="2332"/>
    </row>
    <row r="69" spans="1:21" ht="12" customHeight="1">
      <c r="A69" s="2331"/>
      <c r="B69" s="2329"/>
      <c r="C69" s="2329"/>
      <c r="D69" s="2329"/>
      <c r="E69" s="2329"/>
      <c r="F69" s="2329"/>
      <c r="G69" s="2329"/>
      <c r="H69" s="2329"/>
      <c r="I69" s="2329"/>
      <c r="J69" s="2329"/>
      <c r="K69" s="2329"/>
      <c r="L69" s="2329"/>
      <c r="M69" s="2329"/>
      <c r="N69" s="2329"/>
      <c r="O69" s="2329"/>
      <c r="P69" s="2329"/>
      <c r="Q69" s="2329"/>
      <c r="R69" s="2329"/>
      <c r="S69" s="2329"/>
      <c r="T69" s="2329"/>
      <c r="U69" s="2332"/>
    </row>
    <row r="70" spans="1:21" ht="12" customHeight="1">
      <c r="A70" s="2331"/>
      <c r="B70" s="2329"/>
      <c r="C70" s="2329"/>
      <c r="D70" s="2329"/>
      <c r="E70" s="2329"/>
      <c r="F70" s="2329"/>
      <c r="G70" s="2329"/>
      <c r="H70" s="2329"/>
      <c r="I70" s="2329"/>
      <c r="J70" s="2329"/>
      <c r="K70" s="2329"/>
      <c r="L70" s="2329"/>
      <c r="M70" s="2329"/>
      <c r="N70" s="2329"/>
      <c r="O70" s="2329"/>
      <c r="P70" s="2329"/>
      <c r="Q70" s="2329"/>
      <c r="R70" s="2329"/>
      <c r="S70" s="2329"/>
      <c r="T70" s="2329"/>
      <c r="U70" s="2332"/>
    </row>
    <row r="71" spans="1:21" ht="12" customHeight="1">
      <c r="A71" s="2331"/>
      <c r="B71" s="2329"/>
      <c r="C71" s="2329"/>
      <c r="D71" s="2329"/>
      <c r="E71" s="2329"/>
      <c r="F71" s="2329"/>
      <c r="G71" s="2329"/>
      <c r="H71" s="2329"/>
      <c r="I71" s="2329"/>
      <c r="J71" s="2329"/>
      <c r="K71" s="2329"/>
      <c r="L71" s="2329"/>
      <c r="M71" s="2329"/>
      <c r="N71" s="2329"/>
      <c r="O71" s="2329"/>
      <c r="P71" s="2329"/>
      <c r="Q71" s="2329"/>
      <c r="R71" s="2329"/>
      <c r="S71" s="2329"/>
      <c r="T71" s="2329"/>
      <c r="U71" s="2332"/>
    </row>
    <row r="72" spans="1:21" ht="6" customHeight="1">
      <c r="A72" s="2331"/>
      <c r="B72" s="2329"/>
      <c r="C72" s="2329"/>
      <c r="D72" s="2329"/>
      <c r="E72" s="2329"/>
      <c r="F72" s="2329"/>
      <c r="G72" s="2329"/>
      <c r="H72" s="2329"/>
      <c r="I72" s="2329"/>
      <c r="J72" s="2329"/>
      <c r="K72" s="2329"/>
      <c r="L72" s="2329"/>
      <c r="M72" s="2329"/>
      <c r="N72" s="2329"/>
      <c r="O72" s="2329"/>
      <c r="P72" s="2329"/>
      <c r="Q72" s="2329"/>
      <c r="R72" s="2329"/>
      <c r="S72" s="2329"/>
      <c r="T72" s="2329"/>
      <c r="U72" s="2332"/>
    </row>
    <row r="73" spans="1:21" ht="15" customHeight="1">
      <c r="A73" s="2331"/>
      <c r="B73" s="2329" t="s">
        <v>1563</v>
      </c>
      <c r="C73" s="2329"/>
      <c r="D73" s="2329"/>
      <c r="E73" s="2329"/>
      <c r="F73" s="2329"/>
      <c r="G73" s="2329"/>
      <c r="H73" s="2329"/>
      <c r="I73" s="2329"/>
      <c r="J73" s="2329"/>
      <c r="K73" s="2329"/>
      <c r="L73" s="2329"/>
      <c r="M73" s="2329" t="s">
        <v>1564</v>
      </c>
      <c r="N73" s="2329"/>
      <c r="O73" s="2329"/>
      <c r="P73" s="2329"/>
      <c r="Q73" s="2329"/>
      <c r="R73" s="2329"/>
      <c r="S73" s="2329"/>
      <c r="T73" s="2329"/>
      <c r="U73" s="2332"/>
    </row>
    <row r="74" spans="1:21" ht="14.45" customHeight="1">
      <c r="A74" s="2331"/>
      <c r="B74" s="3382" t="s">
        <v>1565</v>
      </c>
      <c r="C74" s="3382"/>
      <c r="D74" s="3382"/>
      <c r="E74" s="3382"/>
      <c r="F74" s="3382"/>
      <c r="G74" s="3382"/>
      <c r="H74" s="3382"/>
      <c r="I74" s="3382"/>
      <c r="J74" s="3382"/>
      <c r="K74" s="3382"/>
      <c r="L74" s="2337"/>
      <c r="M74" s="3382" t="s">
        <v>1566</v>
      </c>
      <c r="N74" s="3382"/>
      <c r="O74" s="3382"/>
      <c r="P74" s="3382"/>
      <c r="Q74" s="3382"/>
      <c r="R74" s="3382"/>
      <c r="S74" s="3382"/>
      <c r="T74" s="3382"/>
      <c r="U74" s="2338"/>
    </row>
    <row r="75" spans="1:21">
      <c r="A75" s="2331"/>
      <c r="B75" s="3382"/>
      <c r="C75" s="3382"/>
      <c r="D75" s="3382"/>
      <c r="E75" s="3382"/>
      <c r="F75" s="3382"/>
      <c r="G75" s="3382"/>
      <c r="H75" s="3382"/>
      <c r="I75" s="3382"/>
      <c r="J75" s="3382"/>
      <c r="K75" s="3382"/>
      <c r="L75" s="2337"/>
      <c r="M75" s="3382"/>
      <c r="N75" s="3382"/>
      <c r="O75" s="3382"/>
      <c r="P75" s="3382"/>
      <c r="Q75" s="3382"/>
      <c r="R75" s="3382"/>
      <c r="S75" s="3382"/>
      <c r="T75" s="3382"/>
      <c r="U75" s="2338"/>
    </row>
    <row r="76" spans="1:21" ht="6" customHeight="1">
      <c r="A76" s="2331"/>
      <c r="B76" s="2336"/>
      <c r="C76" s="2336"/>
      <c r="D76" s="2336"/>
      <c r="E76" s="2336"/>
      <c r="F76" s="2336"/>
      <c r="G76" s="2336"/>
      <c r="H76" s="2336"/>
      <c r="I76" s="2336"/>
      <c r="J76" s="2336"/>
      <c r="K76" s="2336"/>
      <c r="L76" s="2337"/>
      <c r="M76" s="2336"/>
      <c r="N76" s="2336"/>
      <c r="O76" s="2336"/>
      <c r="P76" s="2336"/>
      <c r="Q76" s="2336"/>
      <c r="R76" s="2336"/>
      <c r="S76" s="2336"/>
      <c r="T76" s="2336"/>
      <c r="U76" s="2339"/>
    </row>
    <row r="77" spans="1:21" ht="15" customHeight="1">
      <c r="A77" s="2331"/>
      <c r="B77" s="2340" t="s">
        <v>1567</v>
      </c>
      <c r="C77" s="2336"/>
      <c r="D77" s="2336"/>
      <c r="E77" s="2336"/>
      <c r="F77" s="2336"/>
      <c r="G77" s="2336"/>
      <c r="H77" s="2336"/>
      <c r="I77" s="2336"/>
      <c r="J77" s="2336"/>
      <c r="K77" s="2336"/>
      <c r="L77" s="2337"/>
      <c r="M77" s="2336"/>
      <c r="N77" s="2336"/>
      <c r="O77" s="2336"/>
      <c r="P77" s="2336"/>
      <c r="Q77" s="2336"/>
      <c r="R77" s="2336"/>
      <c r="S77" s="2336"/>
      <c r="T77" s="2336"/>
      <c r="U77" s="2339"/>
    </row>
    <row r="78" spans="1:21" ht="6" customHeight="1">
      <c r="A78" s="2341"/>
      <c r="B78" s="2342"/>
      <c r="C78" s="2342"/>
      <c r="D78" s="2342"/>
      <c r="E78" s="2342"/>
      <c r="F78" s="2342"/>
      <c r="G78" s="2342"/>
      <c r="H78" s="2342"/>
      <c r="I78" s="2342"/>
      <c r="J78" s="2342"/>
      <c r="K78" s="2342"/>
      <c r="L78" s="2342"/>
      <c r="M78" s="2342"/>
      <c r="N78" s="2342"/>
      <c r="O78" s="2342"/>
      <c r="P78" s="2342"/>
      <c r="Q78" s="2342"/>
      <c r="R78" s="2342"/>
      <c r="S78" s="2342"/>
      <c r="T78" s="2342"/>
      <c r="U78" s="2343"/>
    </row>
    <row r="79" spans="1:21" ht="15" customHeight="1">
      <c r="A79" s="3374" t="s">
        <v>1568</v>
      </c>
      <c r="B79" s="3375"/>
      <c r="C79" s="3375"/>
      <c r="D79" s="3375"/>
      <c r="E79" s="3375"/>
      <c r="F79" s="3375"/>
      <c r="G79" s="3375"/>
      <c r="H79" s="3375"/>
      <c r="I79" s="3375"/>
      <c r="J79" s="3375"/>
      <c r="K79" s="3375"/>
      <c r="L79" s="3375"/>
      <c r="M79" s="3375"/>
      <c r="N79" s="3375"/>
      <c r="O79" s="3375"/>
      <c r="P79" s="3375"/>
      <c r="Q79" s="3375"/>
      <c r="R79" s="3375"/>
      <c r="S79" s="3375"/>
      <c r="T79" s="3375"/>
      <c r="U79" s="3376"/>
    </row>
    <row r="80" spans="1:21" ht="6" customHeight="1">
      <c r="A80" s="2344"/>
      <c r="B80" s="2345"/>
      <c r="C80" s="2345"/>
      <c r="D80" s="2345"/>
      <c r="E80" s="2345"/>
      <c r="F80" s="2345"/>
      <c r="G80" s="2345"/>
      <c r="H80" s="2345"/>
      <c r="I80" s="2345"/>
      <c r="J80" s="2345"/>
      <c r="K80" s="2345"/>
      <c r="L80" s="2345"/>
      <c r="M80" s="2345"/>
      <c r="N80" s="2345"/>
      <c r="O80" s="2345"/>
      <c r="P80" s="2345"/>
      <c r="Q80" s="2345"/>
      <c r="R80" s="2345"/>
      <c r="S80" s="2345"/>
      <c r="T80" s="2345"/>
      <c r="U80" s="2346"/>
    </row>
    <row r="81" spans="1:21" ht="19.5" customHeight="1">
      <c r="A81" s="2331" t="s">
        <v>1011</v>
      </c>
      <c r="B81" s="579" t="s">
        <v>1569</v>
      </c>
      <c r="C81" s="2329"/>
      <c r="D81" s="2329"/>
      <c r="E81" s="3394"/>
      <c r="F81" s="3395"/>
      <c r="G81" s="579" t="s">
        <v>609</v>
      </c>
      <c r="H81" s="2329"/>
      <c r="I81" s="2329"/>
      <c r="J81" s="2329"/>
      <c r="K81" s="2329"/>
      <c r="L81" s="2329"/>
      <c r="M81" s="2329"/>
      <c r="N81" s="2329"/>
      <c r="O81" s="2329"/>
      <c r="P81" s="2329"/>
      <c r="Q81" s="2329"/>
      <c r="R81" s="2329"/>
      <c r="S81" s="2329"/>
      <c r="T81" s="2329"/>
      <c r="U81" s="2332"/>
    </row>
    <row r="82" spans="1:21" ht="6" customHeight="1">
      <c r="A82" s="2331"/>
      <c r="B82" s="2329"/>
      <c r="C82" s="2329"/>
      <c r="D82" s="2329"/>
      <c r="E82" s="2329"/>
      <c r="F82" s="2329"/>
      <c r="G82" s="2329"/>
      <c r="H82" s="2329"/>
      <c r="I82" s="2329"/>
      <c r="J82" s="2329"/>
      <c r="K82" s="2329"/>
      <c r="L82" s="2329"/>
      <c r="M82" s="2329"/>
      <c r="N82" s="2329"/>
      <c r="O82" s="2329"/>
      <c r="P82" s="2329"/>
      <c r="Q82" s="2329"/>
      <c r="R82" s="2329"/>
      <c r="S82" s="2329"/>
      <c r="T82" s="2329"/>
      <c r="U82" s="2332"/>
    </row>
    <row r="83" spans="1:21" ht="19.5" customHeight="1">
      <c r="A83" s="2331" t="s">
        <v>1019</v>
      </c>
      <c r="B83" s="579" t="s">
        <v>848</v>
      </c>
      <c r="C83" s="2329"/>
      <c r="D83" s="2329"/>
      <c r="E83" s="3383"/>
      <c r="F83" s="3384"/>
      <c r="G83" s="586" t="s">
        <v>609</v>
      </c>
      <c r="H83" s="2329"/>
      <c r="I83" s="579" t="s">
        <v>1570</v>
      </c>
      <c r="J83" s="2329"/>
      <c r="K83" s="2329"/>
      <c r="L83" s="2329"/>
      <c r="M83" s="3398"/>
      <c r="N83" s="3399"/>
      <c r="O83" s="579" t="s">
        <v>762</v>
      </c>
      <c r="P83" s="2329"/>
      <c r="Q83" s="2329"/>
      <c r="R83" s="2329"/>
      <c r="S83" s="2329"/>
      <c r="T83" s="2329"/>
      <c r="U83" s="2332"/>
    </row>
    <row r="84" spans="1:21" ht="6" customHeight="1">
      <c r="A84" s="2331"/>
      <c r="B84" s="2329"/>
      <c r="C84" s="2329"/>
      <c r="D84" s="2329"/>
      <c r="E84" s="2329"/>
      <c r="F84" s="2329"/>
      <c r="G84" s="2329"/>
      <c r="H84" s="2329"/>
      <c r="I84" s="2329"/>
      <c r="J84" s="2329"/>
      <c r="K84" s="2329"/>
      <c r="L84" s="2329"/>
      <c r="M84" s="2329"/>
      <c r="N84" s="2329"/>
      <c r="O84" s="2329"/>
      <c r="P84" s="2329"/>
      <c r="Q84" s="2329"/>
      <c r="R84" s="2329"/>
      <c r="S84" s="2329"/>
      <c r="T84" s="2329"/>
      <c r="U84" s="2332"/>
    </row>
    <row r="85" spans="1:21" ht="19.5" customHeight="1">
      <c r="A85" s="2331"/>
      <c r="B85" s="579" t="s">
        <v>1571</v>
      </c>
      <c r="C85" s="2329"/>
      <c r="D85" s="2329"/>
      <c r="E85" s="2329"/>
      <c r="F85" s="2329"/>
      <c r="G85" s="2329"/>
      <c r="H85" s="2329"/>
      <c r="I85" s="2329"/>
      <c r="J85" s="2329"/>
      <c r="K85" s="2329"/>
      <c r="L85" s="2329"/>
      <c r="M85" s="3362" t="str">
        <f>IF(ISBLANK(E81),"",E83)</f>
        <v/>
      </c>
      <c r="N85" s="3363"/>
      <c r="O85" s="585" t="s">
        <v>1572</v>
      </c>
      <c r="P85" s="3394"/>
      <c r="Q85" s="3395"/>
      <c r="R85" s="585" t="s">
        <v>1573</v>
      </c>
      <c r="S85" s="3362" t="str">
        <f>IF(ISBLANK(E81),"",M85*P85)</f>
        <v/>
      </c>
      <c r="T85" s="3363"/>
      <c r="U85" s="581" t="s">
        <v>1537</v>
      </c>
    </row>
    <row r="86" spans="1:21" ht="6" customHeight="1">
      <c r="A86" s="2331"/>
      <c r="B86" s="2329"/>
      <c r="C86" s="2329"/>
      <c r="D86" s="2329"/>
      <c r="E86" s="2329"/>
      <c r="F86" s="2329"/>
      <c r="G86" s="2329"/>
      <c r="H86" s="2329"/>
      <c r="I86" s="2329"/>
      <c r="J86" s="2329"/>
      <c r="K86" s="2329"/>
      <c r="L86" s="2329"/>
      <c r="M86" s="2329"/>
      <c r="N86" s="2329"/>
      <c r="O86" s="2329"/>
      <c r="P86" s="2329"/>
      <c r="Q86" s="2329"/>
      <c r="R86" s="2329"/>
      <c r="S86" s="2329"/>
      <c r="T86" s="2329"/>
      <c r="U86" s="2332"/>
    </row>
    <row r="87" spans="1:21" ht="19.5" customHeight="1">
      <c r="A87" s="2331" t="s">
        <v>1168</v>
      </c>
      <c r="B87" s="579" t="s">
        <v>1574</v>
      </c>
      <c r="C87" s="2329"/>
      <c r="D87" s="2329"/>
      <c r="E87" s="3383"/>
      <c r="F87" s="3384"/>
      <c r="G87" s="579" t="s">
        <v>609</v>
      </c>
      <c r="H87" s="2329"/>
      <c r="I87" s="579" t="s">
        <v>1575</v>
      </c>
      <c r="J87" s="2329"/>
      <c r="K87" s="2329"/>
      <c r="L87" s="2329"/>
      <c r="M87" s="3398"/>
      <c r="N87" s="3399"/>
      <c r="O87" s="579" t="s">
        <v>762</v>
      </c>
      <c r="P87" s="2329"/>
      <c r="Q87" s="2329"/>
      <c r="R87" s="2329"/>
      <c r="S87" s="2329"/>
      <c r="T87" s="2329"/>
      <c r="U87" s="2332"/>
    </row>
    <row r="88" spans="1:21" ht="6" customHeight="1">
      <c r="A88" s="2331"/>
      <c r="B88" s="2329"/>
      <c r="C88" s="2329"/>
      <c r="D88" s="2329"/>
      <c r="E88" s="2329"/>
      <c r="F88" s="2329"/>
      <c r="G88" s="2329"/>
      <c r="H88" s="2329"/>
      <c r="I88" s="2329"/>
      <c r="J88" s="2329"/>
      <c r="K88" s="2329"/>
      <c r="L88" s="2329"/>
      <c r="M88" s="2329"/>
      <c r="N88" s="2329"/>
      <c r="O88" s="2329"/>
      <c r="P88" s="2329"/>
      <c r="Q88" s="2329"/>
      <c r="R88" s="2329"/>
      <c r="S88" s="2329"/>
      <c r="T88" s="2329"/>
      <c r="U88" s="2332"/>
    </row>
    <row r="89" spans="1:21" ht="19.5" customHeight="1">
      <c r="A89" s="2331"/>
      <c r="B89" s="579" t="s">
        <v>1576</v>
      </c>
      <c r="C89" s="2329"/>
      <c r="D89" s="2329"/>
      <c r="E89" s="2329"/>
      <c r="F89" s="2329"/>
      <c r="G89" s="2329"/>
      <c r="H89" s="2329"/>
      <c r="I89" s="2329"/>
      <c r="J89" s="2329"/>
      <c r="K89" s="2329"/>
      <c r="L89" s="2329"/>
      <c r="M89" s="3362" t="str">
        <f>IF(ISBLANK(E81),"",E87)</f>
        <v/>
      </c>
      <c r="N89" s="3363"/>
      <c r="O89" s="585" t="s">
        <v>1572</v>
      </c>
      <c r="P89" s="3394"/>
      <c r="Q89" s="3395"/>
      <c r="R89" s="585" t="s">
        <v>1573</v>
      </c>
      <c r="S89" s="3362" t="str">
        <f>IF(ISBLANK(E81),"",M89*P89)</f>
        <v/>
      </c>
      <c r="T89" s="3363"/>
      <c r="U89" s="581" t="s">
        <v>1537</v>
      </c>
    </row>
    <row r="90" spans="1:21" ht="6" customHeight="1">
      <c r="A90" s="2331"/>
      <c r="B90" s="2329"/>
      <c r="C90" s="2329"/>
      <c r="D90" s="2329"/>
      <c r="E90" s="2329"/>
      <c r="F90" s="2329"/>
      <c r="G90" s="2329"/>
      <c r="H90" s="2329"/>
      <c r="I90" s="2329"/>
      <c r="J90" s="2329"/>
      <c r="K90" s="2329"/>
      <c r="L90" s="2329"/>
      <c r="M90" s="2329"/>
      <c r="N90" s="2329"/>
      <c r="O90" s="2329"/>
      <c r="P90" s="2329"/>
      <c r="Q90" s="2329"/>
      <c r="R90" s="2329"/>
      <c r="S90" s="2329"/>
      <c r="T90" s="2329"/>
      <c r="U90" s="2332"/>
    </row>
    <row r="91" spans="1:21" ht="19.5" customHeight="1">
      <c r="A91" s="2331" t="s">
        <v>1172</v>
      </c>
      <c r="B91" s="579" t="s">
        <v>1577</v>
      </c>
      <c r="C91" s="2329"/>
      <c r="D91" s="2329"/>
      <c r="E91" s="2329"/>
      <c r="F91" s="2329"/>
      <c r="G91" s="2329"/>
      <c r="H91" s="2329"/>
      <c r="I91" s="2329"/>
      <c r="J91" s="2329"/>
      <c r="K91" s="2329"/>
      <c r="L91" s="578"/>
      <c r="M91" s="3362" t="str">
        <f>S85</f>
        <v/>
      </c>
      <c r="N91" s="3363"/>
      <c r="O91" s="582" t="s">
        <v>1578</v>
      </c>
      <c r="P91" s="3362" t="str">
        <f>S89</f>
        <v/>
      </c>
      <c r="Q91" s="3363"/>
      <c r="R91" s="582" t="s">
        <v>1579</v>
      </c>
      <c r="S91" s="3362" t="str">
        <f>IF(ISBLANK(E81),"",M91+P91)</f>
        <v/>
      </c>
      <c r="T91" s="3363"/>
      <c r="U91" s="578" t="s">
        <v>1537</v>
      </c>
    </row>
    <row r="92" spans="1:21" ht="6" customHeight="1">
      <c r="A92" s="2331"/>
      <c r="B92" s="2329"/>
      <c r="C92" s="2329"/>
      <c r="D92" s="2329"/>
      <c r="E92" s="2329"/>
      <c r="F92" s="2329"/>
      <c r="G92" s="2329"/>
      <c r="H92" s="2329"/>
      <c r="I92" s="2329"/>
      <c r="J92" s="2329"/>
      <c r="K92" s="2329"/>
      <c r="L92" s="2329"/>
      <c r="M92" s="2329"/>
      <c r="N92" s="2329"/>
      <c r="O92" s="2329"/>
      <c r="P92" s="2329"/>
      <c r="Q92" s="2329"/>
      <c r="R92" s="2329"/>
      <c r="S92" s="2329"/>
      <c r="T92" s="2329"/>
      <c r="U92" s="2332"/>
    </row>
    <row r="93" spans="1:21" ht="19.5" customHeight="1">
      <c r="A93" s="2331" t="s">
        <v>1177</v>
      </c>
      <c r="B93" s="579" t="s">
        <v>1580</v>
      </c>
      <c r="C93" s="2329"/>
      <c r="D93" s="2329"/>
      <c r="E93" s="2329"/>
      <c r="F93" s="2329"/>
      <c r="G93" s="2329"/>
      <c r="H93" s="2329"/>
      <c r="I93" s="2329"/>
      <c r="J93" s="2329"/>
      <c r="K93" s="2329"/>
      <c r="L93" s="2329"/>
      <c r="M93" s="3362" t="str">
        <f>M45</f>
        <v/>
      </c>
      <c r="N93" s="3363"/>
      <c r="O93" s="585" t="s">
        <v>1552</v>
      </c>
      <c r="P93" s="3362" t="str">
        <f>IF(ISBLANK(E81),"",E81)</f>
        <v/>
      </c>
      <c r="Q93" s="3363"/>
      <c r="R93" s="585" t="s">
        <v>1279</v>
      </c>
      <c r="S93" s="3362" t="str">
        <f>IF(ISBLANK(E81),"",M93/P93)</f>
        <v/>
      </c>
      <c r="T93" s="3363"/>
      <c r="U93" s="581" t="s">
        <v>1581</v>
      </c>
    </row>
    <row r="94" spans="1:21" ht="6" customHeight="1">
      <c r="A94" s="2331"/>
      <c r="B94" s="2329"/>
      <c r="C94" s="2329"/>
      <c r="D94" s="2329"/>
      <c r="E94" s="2329"/>
      <c r="F94" s="2329"/>
      <c r="G94" s="2329"/>
      <c r="H94" s="2329"/>
      <c r="I94" s="2329"/>
      <c r="J94" s="2329"/>
      <c r="K94" s="2329"/>
      <c r="L94" s="2329"/>
      <c r="M94" s="2329"/>
      <c r="N94" s="2329"/>
      <c r="O94" s="2329"/>
      <c r="P94" s="2329"/>
      <c r="Q94" s="2329"/>
      <c r="R94" s="2329"/>
      <c r="S94" s="2329"/>
      <c r="T94" s="2329"/>
      <c r="U94" s="2332"/>
    </row>
    <row r="95" spans="1:21" s="579" customFormat="1" ht="15" customHeight="1">
      <c r="A95" s="586" t="s">
        <v>1177</v>
      </c>
      <c r="B95" s="579" t="s">
        <v>1582</v>
      </c>
      <c r="U95" s="581"/>
    </row>
    <row r="96" spans="1:21" s="579" customFormat="1" ht="6" customHeight="1">
      <c r="A96" s="586"/>
      <c r="U96" s="581"/>
    </row>
    <row r="97" spans="1:21" s="579" customFormat="1" ht="19.5" customHeight="1">
      <c r="A97" s="586"/>
      <c r="B97" s="587" t="s">
        <v>1557</v>
      </c>
      <c r="C97" s="3362" t="str">
        <f>S93</f>
        <v/>
      </c>
      <c r="D97" s="3363"/>
      <c r="E97" s="585" t="s">
        <v>1343</v>
      </c>
      <c r="F97" s="3362" t="str">
        <f>IF(ISBLANK(E81),"",E22)</f>
        <v/>
      </c>
      <c r="G97" s="3363"/>
      <c r="H97" s="584" t="s">
        <v>1583</v>
      </c>
      <c r="I97" s="582" t="s">
        <v>1558</v>
      </c>
      <c r="J97" s="588">
        <v>60</v>
      </c>
      <c r="K97" s="582" t="s">
        <v>1240</v>
      </c>
      <c r="L97" s="3362" t="str">
        <f>IF(ISBLANK(E81),"",(C97*F97)/60)</f>
        <v/>
      </c>
      <c r="M97" s="3363"/>
      <c r="N97" s="584" t="s">
        <v>1584</v>
      </c>
      <c r="U97" s="581"/>
    </row>
    <row r="98" spans="1:21" s="579" customFormat="1" ht="6" customHeight="1">
      <c r="A98" s="586"/>
      <c r="U98" s="581"/>
    </row>
    <row r="99" spans="1:21" s="579" customFormat="1" ht="19.5" customHeight="1">
      <c r="A99" s="586" t="s">
        <v>1179</v>
      </c>
      <c r="B99" s="579" t="s">
        <v>1585</v>
      </c>
      <c r="M99" s="3362" t="str">
        <f>M45</f>
        <v/>
      </c>
      <c r="N99" s="3363"/>
      <c r="O99" s="582" t="s">
        <v>1572</v>
      </c>
      <c r="P99" s="3362" t="str">
        <f>IF(ISBLANK(E81),"",L20)</f>
        <v/>
      </c>
      <c r="Q99" s="3363"/>
      <c r="R99" s="582" t="s">
        <v>1240</v>
      </c>
      <c r="S99" s="3362" t="str">
        <f>IF(ISBLANK(E81),"",M99*P99)</f>
        <v/>
      </c>
      <c r="T99" s="3363"/>
      <c r="U99" s="581" t="s">
        <v>1537</v>
      </c>
    </row>
    <row r="100" spans="1:21" s="579" customFormat="1" ht="6" customHeight="1">
      <c r="A100" s="586"/>
      <c r="U100" s="581"/>
    </row>
    <row r="101" spans="1:21" s="579" customFormat="1" ht="15" customHeight="1">
      <c r="A101" s="586" t="s">
        <v>1181</v>
      </c>
      <c r="B101" s="579" t="s">
        <v>1586</v>
      </c>
      <c r="U101" s="581"/>
    </row>
    <row r="102" spans="1:21" s="579" customFormat="1" ht="6" customHeight="1">
      <c r="A102" s="586"/>
      <c r="U102" s="581"/>
    </row>
    <row r="103" spans="1:21" s="579" customFormat="1" ht="19.5" customHeight="1">
      <c r="A103" s="586"/>
      <c r="B103" s="587" t="s">
        <v>1557</v>
      </c>
      <c r="C103" s="3379">
        <v>4</v>
      </c>
      <c r="D103" s="3379"/>
      <c r="E103" s="582" t="s">
        <v>1343</v>
      </c>
      <c r="F103" s="3362" t="str">
        <f>S99</f>
        <v/>
      </c>
      <c r="G103" s="3363"/>
      <c r="H103" s="589" t="s">
        <v>1587</v>
      </c>
      <c r="I103" s="582" t="s">
        <v>1588</v>
      </c>
      <c r="J103" s="3362" t="str">
        <f>S91</f>
        <v/>
      </c>
      <c r="K103" s="3363"/>
      <c r="L103" s="582" t="s">
        <v>1579</v>
      </c>
      <c r="M103" s="3362" t="str">
        <f>IF(ISBLANK(E81),"",(4*S99)+S91)</f>
        <v/>
      </c>
      <c r="N103" s="3363"/>
      <c r="O103" s="579" t="s">
        <v>1537</v>
      </c>
      <c r="U103" s="581"/>
    </row>
    <row r="104" spans="1:21" s="579" customFormat="1" ht="6" customHeight="1">
      <c r="A104" s="586"/>
      <c r="U104" s="581"/>
    </row>
    <row r="105" spans="1:21" s="579" customFormat="1" ht="15" customHeight="1">
      <c r="A105" s="586" t="s">
        <v>1184</v>
      </c>
      <c r="B105" s="579" t="s">
        <v>1589</v>
      </c>
      <c r="U105" s="581"/>
    </row>
    <row r="106" spans="1:21" s="579" customFormat="1" ht="6" customHeight="1">
      <c r="A106" s="586"/>
      <c r="U106" s="581"/>
    </row>
    <row r="107" spans="1:21" s="579" customFormat="1" ht="19.5" customHeight="1">
      <c r="A107" s="586"/>
      <c r="B107" s="3362" t="str">
        <f>M45</f>
        <v/>
      </c>
      <c r="C107" s="3363"/>
      <c r="D107" s="582" t="s">
        <v>1389</v>
      </c>
      <c r="E107" s="3362" t="str">
        <f>IF(ISBLANK(E81),"",F10/12)</f>
        <v/>
      </c>
      <c r="F107" s="3363"/>
      <c r="G107" s="582" t="s">
        <v>1572</v>
      </c>
      <c r="H107" s="3389" t="str">
        <f>IF(ISBLANK(E81),"",E20/12)</f>
        <v/>
      </c>
      <c r="I107" s="3390"/>
      <c r="J107" s="582" t="s">
        <v>1572</v>
      </c>
      <c r="K107" s="3391" t="str">
        <f>IF(ISBLANK(E81),"",F16)</f>
        <v/>
      </c>
      <c r="L107" s="3363"/>
      <c r="M107" s="582" t="s">
        <v>1343</v>
      </c>
      <c r="N107" s="3379">
        <v>7.5</v>
      </c>
      <c r="O107" s="3379"/>
      <c r="P107" s="582" t="s">
        <v>1240</v>
      </c>
      <c r="Q107" s="3362" t="str">
        <f>IF(ISBLANK(E81),"",B107*E107*H107*K107*N107)</f>
        <v/>
      </c>
      <c r="R107" s="3363"/>
      <c r="S107" s="579" t="s">
        <v>1537</v>
      </c>
      <c r="U107" s="581"/>
    </row>
    <row r="108" spans="1:21" s="579" customFormat="1" ht="6" customHeight="1">
      <c r="A108" s="586"/>
      <c r="U108" s="581"/>
    </row>
    <row r="109" spans="1:21" s="579" customFormat="1" ht="19.5" customHeight="1">
      <c r="A109" s="586" t="s">
        <v>1186</v>
      </c>
      <c r="B109" s="579" t="s">
        <v>1590</v>
      </c>
      <c r="O109" s="3394"/>
      <c r="P109" s="3395"/>
      <c r="Q109" s="579" t="s">
        <v>1537</v>
      </c>
      <c r="U109" s="581"/>
    </row>
    <row r="110" spans="1:21" s="579" customFormat="1" ht="6" customHeight="1">
      <c r="A110" s="586"/>
      <c r="U110" s="581"/>
    </row>
    <row r="111" spans="1:21" s="579" customFormat="1" ht="19.5" customHeight="1">
      <c r="A111" s="586" t="s">
        <v>1224</v>
      </c>
      <c r="B111" s="579" t="s">
        <v>1591</v>
      </c>
      <c r="L111" s="3362" t="str">
        <f>IF(ISBLANK(E81),"",O109)</f>
        <v/>
      </c>
      <c r="M111" s="3363"/>
      <c r="N111" s="585" t="s">
        <v>1558</v>
      </c>
      <c r="O111" s="3362" t="str">
        <f>L97</f>
        <v/>
      </c>
      <c r="P111" s="3363"/>
      <c r="Q111" s="585" t="s">
        <v>1240</v>
      </c>
      <c r="R111" s="3360" t="str">
        <f>IF(ISBLANK(E81),"",L111/O111)</f>
        <v/>
      </c>
      <c r="S111" s="3361"/>
      <c r="T111" s="579" t="s">
        <v>1592</v>
      </c>
      <c r="U111" s="581"/>
    </row>
    <row r="112" spans="1:21" s="579" customFormat="1" ht="6" customHeight="1">
      <c r="A112" s="586"/>
      <c r="U112" s="581"/>
    </row>
    <row r="113" spans="1:21" s="579" customFormat="1" ht="15" customHeight="1">
      <c r="A113" s="586" t="s">
        <v>1227</v>
      </c>
      <c r="B113" s="579" t="s">
        <v>1593</v>
      </c>
      <c r="O113" s="583" t="s">
        <v>1594</v>
      </c>
      <c r="U113" s="581"/>
    </row>
    <row r="114" spans="1:21" s="579" customFormat="1" ht="6" customHeight="1">
      <c r="A114" s="586"/>
      <c r="U114" s="581"/>
    </row>
    <row r="115" spans="1:21" s="579" customFormat="1" ht="19.5" customHeight="1">
      <c r="A115" s="586"/>
      <c r="B115" s="3362" t="str">
        <f>E4</f>
        <v/>
      </c>
      <c r="C115" s="3363"/>
      <c r="D115" s="582" t="s">
        <v>1558</v>
      </c>
      <c r="E115" s="3362" t="str">
        <f>IF(ISBLANK(E81),"",E41)</f>
        <v/>
      </c>
      <c r="F115" s="3363"/>
      <c r="G115" s="582" t="s">
        <v>1558</v>
      </c>
      <c r="H115" s="3362" t="str">
        <f>IF(ISBLANK(E81),"",O109)</f>
        <v/>
      </c>
      <c r="I115" s="3363"/>
      <c r="J115" s="582" t="s">
        <v>1240</v>
      </c>
      <c r="K115" s="3377" t="str">
        <f>IF(ISBLANK(E81),"",MAX(4,(B115/E115/H115)))</f>
        <v/>
      </c>
      <c r="L115" s="3378"/>
      <c r="M115" s="579" t="s">
        <v>1595</v>
      </c>
      <c r="U115" s="581"/>
    </row>
    <row r="116" spans="1:21" s="579" customFormat="1" ht="6" customHeight="1">
      <c r="A116" s="586"/>
      <c r="U116" s="581"/>
    </row>
    <row r="117" spans="1:21" s="579" customFormat="1" ht="19.5" customHeight="1">
      <c r="A117" s="586" t="s">
        <v>1480</v>
      </c>
      <c r="B117" s="579" t="s">
        <v>1596</v>
      </c>
      <c r="I117" s="3385">
        <v>1440</v>
      </c>
      <c r="J117" s="3385"/>
      <c r="K117" s="582" t="s">
        <v>1558</v>
      </c>
      <c r="L117" s="3386" t="str">
        <f>K115</f>
        <v/>
      </c>
      <c r="M117" s="3369"/>
      <c r="N117" s="582" t="s">
        <v>1240</v>
      </c>
      <c r="O117" s="3387" t="str">
        <f>IF(ISBLANK(E81),"",I117/L117)</f>
        <v/>
      </c>
      <c r="P117" s="3388"/>
      <c r="Q117" s="579" t="s">
        <v>1592</v>
      </c>
      <c r="U117" s="581"/>
    </row>
    <row r="118" spans="1:21" s="579" customFormat="1" ht="6" customHeight="1">
      <c r="A118" s="586"/>
      <c r="U118" s="581"/>
    </row>
    <row r="119" spans="1:21" s="579" customFormat="1" ht="19.5" customHeight="1">
      <c r="A119" s="586" t="s">
        <v>1483</v>
      </c>
      <c r="B119" s="579" t="s">
        <v>1597</v>
      </c>
      <c r="I119" s="3360" t="str">
        <f>O117</f>
        <v/>
      </c>
      <c r="J119" s="3363"/>
      <c r="K119" s="582" t="s">
        <v>988</v>
      </c>
      <c r="L119" s="3360" t="str">
        <f>R111</f>
        <v/>
      </c>
      <c r="M119" s="3363"/>
      <c r="N119" s="582" t="s">
        <v>1240</v>
      </c>
      <c r="O119" s="3360" t="str">
        <f>IF(ISBLANK(E81),"",I119-L119)</f>
        <v/>
      </c>
      <c r="P119" s="3363"/>
      <c r="Q119" s="579" t="s">
        <v>1592</v>
      </c>
      <c r="U119" s="581"/>
    </row>
    <row r="120" spans="1:21" s="579" customFormat="1" ht="6" customHeight="1">
      <c r="A120" s="586"/>
      <c r="U120" s="581"/>
    </row>
    <row r="121" spans="1:21" s="579" customFormat="1" ht="19.5" customHeight="1">
      <c r="A121" s="586" t="s">
        <v>1485</v>
      </c>
      <c r="B121" s="579" t="s">
        <v>1598</v>
      </c>
      <c r="M121" s="3362" t="str">
        <f>Q47</f>
        <v/>
      </c>
      <c r="N121" s="3363"/>
      <c r="O121" s="588" t="s">
        <v>1343</v>
      </c>
      <c r="P121" s="3379">
        <f>1.6</f>
        <v>1.6</v>
      </c>
      <c r="Q121" s="3379"/>
      <c r="R121" s="588" t="s">
        <v>1240</v>
      </c>
      <c r="S121" s="3362" t="str">
        <f>IF(ISBLANK(E81),"",M121*P121)</f>
        <v/>
      </c>
      <c r="T121" s="3363"/>
      <c r="U121" s="578" t="s">
        <v>1537</v>
      </c>
    </row>
    <row r="122" spans="1:21" s="579" customFormat="1" ht="6" customHeight="1">
      <c r="A122" s="586"/>
      <c r="U122" s="581"/>
    </row>
    <row r="123" spans="1:21" s="579" customFormat="1" ht="15" customHeight="1">
      <c r="A123" s="586" t="s">
        <v>1599</v>
      </c>
      <c r="B123" s="579" t="s">
        <v>1600</v>
      </c>
      <c r="U123" s="581"/>
    </row>
    <row r="124" spans="1:21" s="579" customFormat="1" ht="6" customHeight="1">
      <c r="A124" s="586"/>
      <c r="U124" s="581"/>
    </row>
    <row r="125" spans="1:21" s="579" customFormat="1" ht="19.5" customHeight="1">
      <c r="A125" s="586"/>
      <c r="B125" s="3368" t="str">
        <f>L97</f>
        <v/>
      </c>
      <c r="C125" s="3369"/>
      <c r="D125" s="582" t="s">
        <v>987</v>
      </c>
      <c r="E125" s="3362" t="str">
        <f>S121</f>
        <v/>
      </c>
      <c r="F125" s="3363"/>
      <c r="G125" s="582" t="s">
        <v>1240</v>
      </c>
      <c r="H125" s="3368" t="str">
        <f>IF(ISBLANK(E81),"",B125+E125)</f>
        <v/>
      </c>
      <c r="I125" s="3369"/>
      <c r="J125" s="584" t="s">
        <v>1584</v>
      </c>
      <c r="U125" s="581"/>
    </row>
    <row r="126" spans="1:21" s="579" customFormat="1" ht="6" customHeight="1">
      <c r="A126" s="586"/>
      <c r="U126" s="581"/>
    </row>
    <row r="127" spans="1:21" s="579" customFormat="1" ht="19.5" customHeight="1">
      <c r="A127" s="586" t="s">
        <v>1601</v>
      </c>
      <c r="B127" s="579" t="s">
        <v>1602</v>
      </c>
      <c r="K127" s="3362" t="str">
        <f>H125</f>
        <v/>
      </c>
      <c r="L127" s="3363"/>
      <c r="M127" s="582" t="s">
        <v>1343</v>
      </c>
      <c r="N127" s="3360" t="str">
        <f>R111</f>
        <v/>
      </c>
      <c r="O127" s="3363"/>
      <c r="P127" s="582" t="s">
        <v>1240</v>
      </c>
      <c r="Q127" s="3377" t="str">
        <f>IF(ISBLANK(E81),"",K127*N127)</f>
        <v/>
      </c>
      <c r="R127" s="3378"/>
      <c r="S127" s="579" t="s">
        <v>1537</v>
      </c>
      <c r="U127" s="581"/>
    </row>
    <row r="128" spans="1:21" s="579" customFormat="1" ht="6" customHeight="1">
      <c r="A128" s="586"/>
      <c r="U128" s="581"/>
    </row>
    <row r="129" spans="1:21" s="579" customFormat="1" ht="15" customHeight="1">
      <c r="A129" s="586" t="s">
        <v>1603</v>
      </c>
      <c r="B129" s="579" t="s">
        <v>1604</v>
      </c>
      <c r="C129" s="556"/>
      <c r="D129" s="556"/>
      <c r="E129" s="556"/>
      <c r="F129" s="556"/>
      <c r="G129" s="556"/>
      <c r="H129" s="556"/>
      <c r="I129" s="556"/>
      <c r="J129" s="556"/>
      <c r="K129" s="556"/>
      <c r="L129" s="590"/>
      <c r="U129" s="581"/>
    </row>
    <row r="130" spans="1:21" s="579" customFormat="1" ht="6" customHeight="1">
      <c r="A130" s="586"/>
      <c r="U130" s="581"/>
    </row>
    <row r="131" spans="1:21" s="579" customFormat="1" ht="19.5" customHeight="1">
      <c r="A131" s="586"/>
      <c r="B131" s="3360" t="str">
        <f>IF(ISBLANK(E81),"",E41)</f>
        <v/>
      </c>
      <c r="C131" s="3361"/>
      <c r="D131" s="590" t="s">
        <v>1343</v>
      </c>
      <c r="E131" s="3360" t="str">
        <f>K115</f>
        <v/>
      </c>
      <c r="F131" s="3361"/>
      <c r="G131" s="590" t="s">
        <v>1343</v>
      </c>
      <c r="H131" s="3360" t="str">
        <f>R111</f>
        <v/>
      </c>
      <c r="I131" s="3361"/>
      <c r="J131" s="590" t="s">
        <v>1240</v>
      </c>
      <c r="K131" s="3360" t="str">
        <f>IF(ISBLANK(E81),"",B131*E131*H131)</f>
        <v/>
      </c>
      <c r="L131" s="3361"/>
      <c r="M131" s="556" t="s">
        <v>1592</v>
      </c>
      <c r="U131" s="581"/>
    </row>
    <row r="132" spans="1:21" ht="6" customHeight="1">
      <c r="A132" s="2331"/>
      <c r="B132" s="2329"/>
      <c r="C132" s="2329"/>
      <c r="D132" s="2329"/>
      <c r="E132" s="2329"/>
      <c r="F132" s="2329"/>
      <c r="G132" s="2329"/>
      <c r="H132" s="2329"/>
      <c r="I132" s="2329"/>
      <c r="J132" s="2329"/>
      <c r="K132" s="2329"/>
      <c r="L132" s="2329"/>
      <c r="M132" s="2329"/>
      <c r="N132" s="2329"/>
      <c r="O132" s="2329"/>
      <c r="P132" s="2329"/>
      <c r="Q132" s="2329"/>
      <c r="R132" s="2329"/>
      <c r="S132" s="2329"/>
      <c r="T132" s="2329"/>
      <c r="U132" s="2332"/>
    </row>
    <row r="133" spans="1:21" ht="15" customHeight="1">
      <c r="A133" s="3374" t="s">
        <v>1605</v>
      </c>
      <c r="B133" s="3375"/>
      <c r="C133" s="3375"/>
      <c r="D133" s="3375"/>
      <c r="E133" s="3375"/>
      <c r="F133" s="3375"/>
      <c r="G133" s="3375"/>
      <c r="H133" s="3375"/>
      <c r="I133" s="3375"/>
      <c r="J133" s="3375"/>
      <c r="K133" s="3375"/>
      <c r="L133" s="3375"/>
      <c r="M133" s="3375"/>
      <c r="N133" s="3375"/>
      <c r="O133" s="3375"/>
      <c r="P133" s="3375"/>
      <c r="Q133" s="3375"/>
      <c r="R133" s="3375"/>
      <c r="S133" s="3375"/>
      <c r="T133" s="3375"/>
      <c r="U133" s="3376"/>
    </row>
    <row r="134" spans="1:21" ht="6" customHeight="1">
      <c r="A134" s="2331"/>
      <c r="B134" s="2329"/>
      <c r="C134" s="2329"/>
      <c r="D134" s="2329"/>
      <c r="E134" s="2329"/>
      <c r="F134" s="2329"/>
      <c r="G134" s="2329"/>
      <c r="H134" s="2329"/>
      <c r="I134" s="2329"/>
      <c r="J134" s="2329"/>
      <c r="K134" s="2329"/>
      <c r="L134" s="2329"/>
      <c r="M134" s="2329"/>
      <c r="N134" s="2329"/>
      <c r="O134" s="2329"/>
      <c r="P134" s="2329"/>
      <c r="Q134" s="2329"/>
      <c r="R134" s="2329"/>
      <c r="S134" s="2329"/>
      <c r="T134" s="2329"/>
      <c r="U134" s="2332"/>
    </row>
    <row r="135" spans="1:21" s="579" customFormat="1" ht="19.5" customHeight="1">
      <c r="A135" s="586" t="s">
        <v>1011</v>
      </c>
      <c r="B135" s="579" t="s">
        <v>1569</v>
      </c>
      <c r="E135" s="3394"/>
      <c r="F135" s="3395"/>
      <c r="G135" s="579" t="s">
        <v>609</v>
      </c>
      <c r="U135" s="581"/>
    </row>
    <row r="136" spans="1:21" s="579" customFormat="1" ht="6" customHeight="1">
      <c r="A136" s="586"/>
      <c r="U136" s="581"/>
    </row>
    <row r="137" spans="1:21" s="579" customFormat="1" ht="19.5" customHeight="1">
      <c r="A137" s="586" t="s">
        <v>1019</v>
      </c>
      <c r="B137" s="579" t="s">
        <v>848</v>
      </c>
      <c r="E137" s="3394"/>
      <c r="F137" s="3395"/>
      <c r="G137" s="579" t="s">
        <v>609</v>
      </c>
      <c r="I137" s="579" t="s">
        <v>1570</v>
      </c>
      <c r="M137" s="3398"/>
      <c r="N137" s="3399"/>
      <c r="O137" s="579" t="s">
        <v>762</v>
      </c>
      <c r="U137" s="581"/>
    </row>
    <row r="138" spans="1:21" s="579" customFormat="1" ht="6" customHeight="1">
      <c r="A138" s="586"/>
      <c r="U138" s="581"/>
    </row>
    <row r="139" spans="1:21" s="579" customFormat="1" ht="19.5" customHeight="1">
      <c r="A139" s="586"/>
      <c r="B139" s="579" t="s">
        <v>1571</v>
      </c>
      <c r="M139" s="3368" t="str">
        <f>IF(ISBLANK(E135),"",E137)</f>
        <v/>
      </c>
      <c r="N139" s="3369"/>
      <c r="O139" s="585" t="s">
        <v>1343</v>
      </c>
      <c r="P139" s="3394"/>
      <c r="Q139" s="3395"/>
      <c r="R139" s="585" t="s">
        <v>1240</v>
      </c>
      <c r="S139" s="3368" t="str">
        <f>IF(ISBLANK(E135),"",M139*P139)</f>
        <v/>
      </c>
      <c r="T139" s="3369"/>
      <c r="U139" s="581" t="s">
        <v>1537</v>
      </c>
    </row>
    <row r="140" spans="1:21" s="579" customFormat="1" ht="6" customHeight="1">
      <c r="A140" s="586"/>
      <c r="U140" s="581"/>
    </row>
    <row r="141" spans="1:21" s="579" customFormat="1" ht="19.5" customHeight="1">
      <c r="A141" s="586" t="s">
        <v>1168</v>
      </c>
      <c r="B141" s="579" t="s">
        <v>1574</v>
      </c>
      <c r="E141" s="3396"/>
      <c r="F141" s="3397"/>
      <c r="G141" s="579" t="s">
        <v>609</v>
      </c>
      <c r="I141" s="579" t="s">
        <v>1575</v>
      </c>
      <c r="M141" s="3398"/>
      <c r="N141" s="3399"/>
      <c r="O141" s="579" t="s">
        <v>762</v>
      </c>
      <c r="U141" s="581"/>
    </row>
    <row r="142" spans="1:21" s="579" customFormat="1" ht="6" customHeight="1">
      <c r="A142" s="586"/>
      <c r="U142" s="581"/>
    </row>
    <row r="143" spans="1:21" s="579" customFormat="1" ht="19.5" customHeight="1">
      <c r="A143" s="586"/>
      <c r="B143" s="579" t="s">
        <v>1576</v>
      </c>
      <c r="M143" s="3368" t="str">
        <f>IF(ISBLANK(E135),"",E141)</f>
        <v/>
      </c>
      <c r="N143" s="3369"/>
      <c r="O143" s="585" t="s">
        <v>1343</v>
      </c>
      <c r="P143" s="3394"/>
      <c r="Q143" s="3395"/>
      <c r="R143" s="585" t="s">
        <v>1240</v>
      </c>
      <c r="S143" s="3368" t="str">
        <f>IF(ISBLANK(E135),"",M143*P143)</f>
        <v/>
      </c>
      <c r="T143" s="3369"/>
      <c r="U143" s="581" t="s">
        <v>1537</v>
      </c>
    </row>
    <row r="144" spans="1:21" s="579" customFormat="1" ht="6" customHeight="1">
      <c r="A144" s="586"/>
      <c r="U144" s="581"/>
    </row>
    <row r="145" spans="1:21" s="579" customFormat="1" ht="19.5" customHeight="1">
      <c r="A145" s="586" t="s">
        <v>1172</v>
      </c>
      <c r="B145" s="579" t="s">
        <v>1606</v>
      </c>
      <c r="L145" s="578"/>
      <c r="M145" s="3362" t="str">
        <f>S139</f>
        <v/>
      </c>
      <c r="N145" s="3363"/>
      <c r="O145" s="598" t="s">
        <v>987</v>
      </c>
      <c r="P145" s="3362" t="str">
        <f>S143</f>
        <v/>
      </c>
      <c r="Q145" s="3363"/>
      <c r="R145" s="585" t="s">
        <v>1240</v>
      </c>
      <c r="S145" s="3362" t="str">
        <f>IF(ISBLANK(E135),"",M145+P145)</f>
        <v/>
      </c>
      <c r="T145" s="3363"/>
      <c r="U145" s="581" t="s">
        <v>1537</v>
      </c>
    </row>
    <row r="146" spans="1:21" s="579" customFormat="1" ht="6" customHeight="1">
      <c r="A146" s="586"/>
      <c r="R146" s="579" t="s">
        <v>1240</v>
      </c>
      <c r="U146" s="581"/>
    </row>
    <row r="147" spans="1:21" s="579" customFormat="1" ht="19.5" customHeight="1">
      <c r="A147" s="586" t="s">
        <v>1177</v>
      </c>
      <c r="B147" s="579" t="s">
        <v>1607</v>
      </c>
      <c r="M147" s="3368" t="str">
        <f>M45</f>
        <v/>
      </c>
      <c r="N147" s="3369"/>
      <c r="O147" s="585" t="s">
        <v>1558</v>
      </c>
      <c r="P147" s="3368" t="str">
        <f>IF(ISBLANK(E135),"",E135)</f>
        <v/>
      </c>
      <c r="Q147" s="3369"/>
      <c r="R147" s="585" t="s">
        <v>1240</v>
      </c>
      <c r="S147" s="3368" t="str">
        <f>IF(ISBLANK(E135),"",M147/P147)</f>
        <v/>
      </c>
      <c r="T147" s="3369"/>
      <c r="U147" s="581" t="s">
        <v>1581</v>
      </c>
    </row>
    <row r="148" spans="1:21" s="579" customFormat="1" ht="6" customHeight="1">
      <c r="A148" s="586"/>
      <c r="U148" s="581"/>
    </row>
    <row r="149" spans="1:21" s="579" customFormat="1" ht="15" customHeight="1">
      <c r="A149" s="586" t="s">
        <v>1179</v>
      </c>
      <c r="B149" s="579" t="s">
        <v>1608</v>
      </c>
      <c r="U149" s="581"/>
    </row>
    <row r="150" spans="1:21" s="579" customFormat="1" ht="6" customHeight="1">
      <c r="A150" s="586"/>
      <c r="U150" s="581"/>
    </row>
    <row r="151" spans="1:21" s="579" customFormat="1" ht="19.5" customHeight="1">
      <c r="A151" s="586"/>
      <c r="B151" s="587"/>
      <c r="C151" s="3362" t="str">
        <f>S147</f>
        <v/>
      </c>
      <c r="D151" s="3363"/>
      <c r="E151" s="703" t="s">
        <v>1609</v>
      </c>
      <c r="F151" s="3362" t="str">
        <f>IF(ISBLANK(E135),"",E22)</f>
        <v/>
      </c>
      <c r="G151" s="3363"/>
      <c r="H151" s="584" t="s">
        <v>1610</v>
      </c>
      <c r="I151" s="582" t="s">
        <v>1558</v>
      </c>
      <c r="J151" s="588">
        <v>60</v>
      </c>
      <c r="K151" s="582" t="s">
        <v>1240</v>
      </c>
      <c r="L151" s="3362" t="str">
        <f>IF(ISBLANK(E135),"",C151*(F151/60))</f>
        <v/>
      </c>
      <c r="M151" s="3363"/>
      <c r="N151" s="584" t="s">
        <v>1584</v>
      </c>
      <c r="U151" s="581"/>
    </row>
    <row r="152" spans="1:21" s="579" customFormat="1" ht="6" customHeight="1">
      <c r="A152" s="586"/>
      <c r="U152" s="581"/>
    </row>
    <row r="153" spans="1:21" s="579" customFormat="1" ht="19.5" customHeight="1">
      <c r="A153" s="586" t="s">
        <v>1181</v>
      </c>
      <c r="B153" s="579" t="s">
        <v>1585</v>
      </c>
      <c r="M153" s="3362" t="str">
        <f>M45</f>
        <v/>
      </c>
      <c r="N153" s="3363"/>
      <c r="O153" s="582" t="s">
        <v>1343</v>
      </c>
      <c r="P153" s="3362" t="str">
        <f>IF(ISBLANK(E135),"",L20)</f>
        <v/>
      </c>
      <c r="Q153" s="3363"/>
      <c r="R153" s="582" t="s">
        <v>1240</v>
      </c>
      <c r="S153" s="3362" t="str">
        <f>IF(ISBLANK(E135),"",M153*P153)</f>
        <v/>
      </c>
      <c r="T153" s="3363"/>
      <c r="U153" s="581" t="s">
        <v>1537</v>
      </c>
    </row>
    <row r="154" spans="1:21" s="579" customFormat="1" ht="6" customHeight="1">
      <c r="A154" s="586"/>
      <c r="U154" s="581"/>
    </row>
    <row r="155" spans="1:21" s="579" customFormat="1" ht="15" customHeight="1">
      <c r="A155" s="586" t="s">
        <v>1184</v>
      </c>
      <c r="B155" s="579" t="s">
        <v>1611</v>
      </c>
      <c r="U155" s="581"/>
    </row>
    <row r="156" spans="1:21" s="579" customFormat="1" ht="6" customHeight="1">
      <c r="A156" s="586"/>
      <c r="U156" s="581"/>
    </row>
    <row r="157" spans="1:21" s="579" customFormat="1" ht="19.5" customHeight="1">
      <c r="A157" s="586"/>
      <c r="B157" s="587" t="s">
        <v>1557</v>
      </c>
      <c r="C157" s="3379">
        <v>4</v>
      </c>
      <c r="D157" s="3379"/>
      <c r="E157" s="582" t="s">
        <v>1343</v>
      </c>
      <c r="F157" s="3362" t="str">
        <f>S153</f>
        <v/>
      </c>
      <c r="G157" s="3363"/>
      <c r="H157" s="584" t="s">
        <v>1559</v>
      </c>
      <c r="I157" s="582" t="s">
        <v>987</v>
      </c>
      <c r="J157" s="3362" t="str">
        <f>S145</f>
        <v/>
      </c>
      <c r="K157" s="3363"/>
      <c r="L157" s="582" t="s">
        <v>1240</v>
      </c>
      <c r="M157" s="3362" t="str">
        <f>IF(ISBLANK(E135),"",(4*S153)+S145)</f>
        <v/>
      </c>
      <c r="N157" s="3363"/>
      <c r="O157" s="579" t="s">
        <v>1537</v>
      </c>
      <c r="U157" s="581"/>
    </row>
    <row r="158" spans="1:21" s="579" customFormat="1" ht="6" customHeight="1">
      <c r="A158" s="586"/>
      <c r="U158" s="581"/>
    </row>
    <row r="159" spans="1:21" s="579" customFormat="1" ht="15" customHeight="1">
      <c r="A159" s="586" t="s">
        <v>1186</v>
      </c>
      <c r="B159" s="579" t="s">
        <v>1589</v>
      </c>
      <c r="U159" s="581"/>
    </row>
    <row r="160" spans="1:21" s="579" customFormat="1" ht="6" customHeight="1">
      <c r="A160" s="586"/>
      <c r="U160" s="581"/>
    </row>
    <row r="161" spans="1:21" s="579" customFormat="1" ht="19.5" customHeight="1">
      <c r="A161" s="586"/>
      <c r="B161" s="3362" t="str">
        <f>M45</f>
        <v/>
      </c>
      <c r="C161" s="3363"/>
      <c r="D161" s="582" t="s">
        <v>1343</v>
      </c>
      <c r="E161" s="3362" t="str">
        <f>IF(ISBLANK(E135),"",F10/12)</f>
        <v/>
      </c>
      <c r="F161" s="3363"/>
      <c r="G161" s="582" t="s">
        <v>1343</v>
      </c>
      <c r="H161" s="3389" t="str">
        <f>IF(ISBLANK(E135),"",E20/12)</f>
        <v/>
      </c>
      <c r="I161" s="3390"/>
      <c r="J161" s="582" t="s">
        <v>1343</v>
      </c>
      <c r="K161" s="3391" t="str">
        <f>IF(ISBLANK(E135),"",F16)</f>
        <v/>
      </c>
      <c r="L161" s="3363"/>
      <c r="M161" s="582" t="s">
        <v>1343</v>
      </c>
      <c r="N161" s="3379">
        <v>7.5</v>
      </c>
      <c r="O161" s="3379"/>
      <c r="P161" s="582" t="s">
        <v>1240</v>
      </c>
      <c r="Q161" s="3368" t="str">
        <f>IF(ISBLANK(E135),"",B161*E161*H161*K161*N161)</f>
        <v/>
      </c>
      <c r="R161" s="3369"/>
      <c r="S161" s="579" t="s">
        <v>1537</v>
      </c>
      <c r="U161" s="581"/>
    </row>
    <row r="162" spans="1:21" s="579" customFormat="1" ht="6" customHeight="1">
      <c r="A162" s="586"/>
      <c r="U162" s="581"/>
    </row>
    <row r="163" spans="1:21" s="579" customFormat="1" ht="19.5" customHeight="1">
      <c r="A163" s="586" t="s">
        <v>1224</v>
      </c>
      <c r="B163" s="579" t="s">
        <v>1590</v>
      </c>
      <c r="O163" s="3370"/>
      <c r="P163" s="3371"/>
      <c r="Q163" s="579" t="s">
        <v>1537</v>
      </c>
      <c r="U163" s="581"/>
    </row>
    <row r="164" spans="1:21" s="579" customFormat="1" ht="6" customHeight="1">
      <c r="A164" s="586"/>
      <c r="U164" s="581"/>
    </row>
    <row r="165" spans="1:21" s="579" customFormat="1" ht="19.5" customHeight="1">
      <c r="A165" s="586" t="s">
        <v>1227</v>
      </c>
      <c r="B165" s="579" t="s">
        <v>1612</v>
      </c>
      <c r="L165" s="3368" t="str">
        <f>IF(ISBLANK(E135),"",O163)</f>
        <v/>
      </c>
      <c r="M165" s="3369"/>
      <c r="N165" s="585" t="s">
        <v>1558</v>
      </c>
      <c r="O165" s="3368" t="str">
        <f>L151</f>
        <v/>
      </c>
      <c r="P165" s="3369"/>
      <c r="Q165" s="585" t="s">
        <v>1240</v>
      </c>
      <c r="R165" s="3387" t="str">
        <f>IF(ISBLANK(E135),"",L165/O165)</f>
        <v/>
      </c>
      <c r="S165" s="3388"/>
      <c r="T165" s="579" t="s">
        <v>1592</v>
      </c>
      <c r="U165" s="581"/>
    </row>
    <row r="166" spans="1:21" s="579" customFormat="1" ht="6" customHeight="1">
      <c r="A166" s="591"/>
      <c r="B166" s="592"/>
      <c r="C166" s="592"/>
      <c r="D166" s="592"/>
      <c r="E166" s="592"/>
      <c r="F166" s="592"/>
      <c r="G166" s="592"/>
      <c r="H166" s="592"/>
      <c r="I166" s="592"/>
      <c r="J166" s="592"/>
      <c r="K166" s="592"/>
      <c r="L166" s="592"/>
      <c r="M166" s="592"/>
      <c r="N166" s="592"/>
      <c r="O166" s="592"/>
      <c r="P166" s="592"/>
      <c r="Q166" s="592"/>
      <c r="R166" s="592"/>
      <c r="S166" s="592"/>
      <c r="T166" s="592"/>
      <c r="U166" s="593"/>
    </row>
    <row r="167" spans="1:21" s="579" customFormat="1" ht="15" customHeight="1">
      <c r="A167" s="594" t="s">
        <v>1480</v>
      </c>
      <c r="B167" s="595" t="s">
        <v>1613</v>
      </c>
      <c r="C167" s="595"/>
      <c r="D167" s="595"/>
      <c r="E167" s="595"/>
      <c r="F167" s="595"/>
      <c r="G167" s="595"/>
      <c r="H167" s="595"/>
      <c r="I167" s="595"/>
      <c r="J167" s="595"/>
      <c r="K167" s="595"/>
      <c r="L167" s="595"/>
      <c r="M167" s="595"/>
      <c r="N167" s="595"/>
      <c r="O167" s="596" t="s">
        <v>1594</v>
      </c>
      <c r="P167" s="595"/>
      <c r="Q167" s="595"/>
      <c r="R167" s="595"/>
      <c r="S167" s="595"/>
      <c r="T167" s="595"/>
      <c r="U167" s="597"/>
    </row>
    <row r="168" spans="1:21" s="579" customFormat="1" ht="6" customHeight="1">
      <c r="A168" s="586"/>
      <c r="U168" s="581"/>
    </row>
    <row r="169" spans="1:21" s="579" customFormat="1" ht="19.5" customHeight="1">
      <c r="A169" s="586"/>
      <c r="B169" s="3362" t="str">
        <f>E4</f>
        <v/>
      </c>
      <c r="C169" s="3363"/>
      <c r="D169" s="582" t="s">
        <v>1558</v>
      </c>
      <c r="E169" s="3362" t="str">
        <f>IF(ISBLANK(E135),"",E41)</f>
        <v/>
      </c>
      <c r="F169" s="3363"/>
      <c r="G169" s="582" t="s">
        <v>1558</v>
      </c>
      <c r="H169" s="3362" t="str">
        <f>IF(ISBLANK(E135),"",O163)</f>
        <v/>
      </c>
      <c r="I169" s="3363"/>
      <c r="J169" s="582" t="s">
        <v>1240</v>
      </c>
      <c r="K169" s="3377" t="str">
        <f>IF(ISBLANK(O163),"",MAX(4,(B169/E169/H169)))</f>
        <v/>
      </c>
      <c r="L169" s="3378"/>
      <c r="M169" s="579" t="s">
        <v>1595</v>
      </c>
      <c r="U169" s="581"/>
    </row>
    <row r="170" spans="1:21" s="579" customFormat="1" ht="6" customHeight="1">
      <c r="A170" s="586"/>
      <c r="U170" s="581"/>
    </row>
    <row r="171" spans="1:21" s="579" customFormat="1" ht="19.5" customHeight="1">
      <c r="A171" s="586" t="s">
        <v>1483</v>
      </c>
      <c r="B171" s="579" t="s">
        <v>1614</v>
      </c>
      <c r="I171" s="3385">
        <v>1440</v>
      </c>
      <c r="J171" s="3385"/>
      <c r="K171" s="582" t="s">
        <v>1558</v>
      </c>
      <c r="L171" s="3386" t="str">
        <f>K169</f>
        <v/>
      </c>
      <c r="M171" s="3369"/>
      <c r="N171" s="582" t="s">
        <v>1240</v>
      </c>
      <c r="O171" s="3387" t="str">
        <f>IF(ISBLANK(O163),"",I171/L171)</f>
        <v/>
      </c>
      <c r="P171" s="3388"/>
      <c r="Q171" s="579" t="s">
        <v>1592</v>
      </c>
      <c r="U171" s="581"/>
    </row>
    <row r="172" spans="1:21" s="579" customFormat="1" ht="6" customHeight="1">
      <c r="A172" s="586"/>
      <c r="U172" s="581"/>
    </row>
    <row r="173" spans="1:21" s="579" customFormat="1" ht="19.5" customHeight="1">
      <c r="A173" s="586" t="s">
        <v>1485</v>
      </c>
      <c r="B173" s="579" t="s">
        <v>1615</v>
      </c>
      <c r="I173" s="3360" t="str">
        <f>O171</f>
        <v/>
      </c>
      <c r="J173" s="3363"/>
      <c r="K173" s="582" t="s">
        <v>988</v>
      </c>
      <c r="L173" s="3360" t="str">
        <f>R165</f>
        <v/>
      </c>
      <c r="M173" s="3363"/>
      <c r="N173" s="582" t="s">
        <v>1240</v>
      </c>
      <c r="O173" s="3360" t="str">
        <f>IF(ISBLANK(O163),"",I173-L173)</f>
        <v/>
      </c>
      <c r="P173" s="3363"/>
      <c r="Q173" s="579" t="s">
        <v>1592</v>
      </c>
      <c r="U173" s="581"/>
    </row>
    <row r="174" spans="1:21" s="579" customFormat="1" ht="6" customHeight="1">
      <c r="A174" s="586"/>
      <c r="U174" s="581"/>
    </row>
    <row r="175" spans="1:21" s="579" customFormat="1" ht="19.5" customHeight="1">
      <c r="A175" s="586" t="s">
        <v>1599</v>
      </c>
      <c r="B175" s="579" t="s">
        <v>1598</v>
      </c>
      <c r="K175" s="3362" t="str">
        <f>Q47</f>
        <v/>
      </c>
      <c r="L175" s="3363"/>
      <c r="M175" s="3392" t="s">
        <v>1616</v>
      </c>
      <c r="N175" s="3393"/>
      <c r="O175" s="3362" t="str">
        <f>IF(ISBLANK(E135),"",K175*N175)</f>
        <v/>
      </c>
      <c r="P175" s="3363"/>
      <c r="Q175" s="584" t="s">
        <v>1038</v>
      </c>
      <c r="U175" s="581"/>
    </row>
    <row r="176" spans="1:21" s="579" customFormat="1" ht="6" customHeight="1">
      <c r="A176" s="586"/>
      <c r="U176" s="581"/>
    </row>
    <row r="177" spans="1:21" s="579" customFormat="1" ht="15" customHeight="1">
      <c r="A177" s="586" t="s">
        <v>1601</v>
      </c>
      <c r="B177" s="579" t="s">
        <v>1617</v>
      </c>
      <c r="U177" s="581"/>
    </row>
    <row r="178" spans="1:21" s="579" customFormat="1" ht="6" customHeight="1">
      <c r="A178" s="586"/>
      <c r="U178" s="581"/>
    </row>
    <row r="179" spans="1:21" s="579" customFormat="1" ht="19.5" customHeight="1">
      <c r="A179" s="586"/>
      <c r="B179" s="3368" t="str">
        <f>L151</f>
        <v/>
      </c>
      <c r="C179" s="3369"/>
      <c r="D179" s="582" t="s">
        <v>987</v>
      </c>
      <c r="E179" s="3362" t="str">
        <f>O175</f>
        <v/>
      </c>
      <c r="F179" s="3363"/>
      <c r="G179" s="582" t="s">
        <v>1240</v>
      </c>
      <c r="H179" s="3368" t="str">
        <f>IF(ISBLANK(E135),"",B179+E179)</f>
        <v/>
      </c>
      <c r="I179" s="3369"/>
      <c r="J179" s="584" t="s">
        <v>1584</v>
      </c>
      <c r="U179" s="581"/>
    </row>
    <row r="180" spans="1:21" s="579" customFormat="1" ht="6" customHeight="1">
      <c r="A180" s="586"/>
      <c r="U180" s="581"/>
    </row>
    <row r="181" spans="1:21" s="579" customFormat="1" ht="19.5" customHeight="1">
      <c r="A181" s="586" t="s">
        <v>1603</v>
      </c>
      <c r="B181" s="579" t="s">
        <v>1618</v>
      </c>
      <c r="I181" s="3362" t="str">
        <f>H179</f>
        <v/>
      </c>
      <c r="J181" s="3363"/>
      <c r="K181" s="582" t="s">
        <v>1343</v>
      </c>
      <c r="L181" s="3360" t="str">
        <f>R165</f>
        <v/>
      </c>
      <c r="M181" s="3363"/>
      <c r="N181" s="582" t="s">
        <v>1240</v>
      </c>
      <c r="O181" s="3377" t="str">
        <f>IF(ISBLANK(E135),"",I181*L181)</f>
        <v/>
      </c>
      <c r="P181" s="3378"/>
      <c r="Q181" s="579" t="s">
        <v>1038</v>
      </c>
      <c r="U181" s="581"/>
    </row>
    <row r="182" spans="1:21" s="579" customFormat="1" ht="6" customHeight="1">
      <c r="A182" s="586"/>
      <c r="U182" s="581"/>
    </row>
    <row r="183" spans="1:21" s="579" customFormat="1" ht="15" customHeight="1">
      <c r="A183" s="586" t="s">
        <v>1619</v>
      </c>
      <c r="B183" s="579" t="s">
        <v>1604</v>
      </c>
      <c r="C183" s="556"/>
      <c r="D183" s="556"/>
      <c r="E183" s="556"/>
      <c r="F183" s="556"/>
      <c r="G183" s="556"/>
      <c r="H183" s="556"/>
      <c r="I183" s="556"/>
      <c r="J183" s="556"/>
      <c r="K183" s="556"/>
      <c r="L183" s="590"/>
      <c r="U183" s="581"/>
    </row>
    <row r="184" spans="1:21" s="579" customFormat="1" ht="6" customHeight="1">
      <c r="A184" s="586"/>
      <c r="U184" s="581"/>
    </row>
    <row r="185" spans="1:21" s="579" customFormat="1" ht="19.5" customHeight="1">
      <c r="A185" s="586"/>
      <c r="B185" s="3360" t="str">
        <f>IF(ISBLANK(E135),"",E41)</f>
        <v/>
      </c>
      <c r="C185" s="3361"/>
      <c r="D185" s="590" t="s">
        <v>1343</v>
      </c>
      <c r="E185" s="3360" t="str">
        <f>K169</f>
        <v/>
      </c>
      <c r="F185" s="3361"/>
      <c r="G185" s="590" t="s">
        <v>1343</v>
      </c>
      <c r="H185" s="3360" t="str">
        <f>R165</f>
        <v/>
      </c>
      <c r="I185" s="3361"/>
      <c r="J185" s="590" t="s">
        <v>1240</v>
      </c>
      <c r="K185" s="3360" t="str">
        <f>IF(ISBLANK(O163),"",B185*E185*H185)</f>
        <v/>
      </c>
      <c r="L185" s="3361"/>
      <c r="M185" s="556" t="s">
        <v>1592</v>
      </c>
      <c r="U185" s="581"/>
    </row>
    <row r="186" spans="1:21" ht="6" customHeight="1">
      <c r="A186" s="2331"/>
      <c r="B186" s="2329"/>
      <c r="C186" s="2329"/>
      <c r="D186" s="2329"/>
      <c r="E186" s="2329"/>
      <c r="F186" s="2329"/>
      <c r="G186" s="2329"/>
      <c r="H186" s="2329"/>
      <c r="I186" s="2329"/>
      <c r="J186" s="2329"/>
      <c r="K186" s="2329"/>
      <c r="L186" s="2329"/>
      <c r="M186" s="2329"/>
      <c r="N186" s="2329"/>
      <c r="O186" s="2329"/>
      <c r="P186" s="2329"/>
      <c r="Q186" s="2329"/>
      <c r="R186" s="2329"/>
      <c r="S186" s="2329"/>
      <c r="T186" s="2329"/>
      <c r="U186" s="2332"/>
    </row>
    <row r="187" spans="1:21" ht="15" customHeight="1">
      <c r="A187" s="3374" t="s">
        <v>1620</v>
      </c>
      <c r="B187" s="3375"/>
      <c r="C187" s="3375"/>
      <c r="D187" s="3375"/>
      <c r="E187" s="3375"/>
      <c r="F187" s="3375"/>
      <c r="G187" s="3375"/>
      <c r="H187" s="3375"/>
      <c r="I187" s="3375"/>
      <c r="J187" s="3375"/>
      <c r="K187" s="3375"/>
      <c r="L187" s="3375"/>
      <c r="M187" s="3375"/>
      <c r="N187" s="3375"/>
      <c r="O187" s="3375"/>
      <c r="P187" s="3375"/>
      <c r="Q187" s="3375"/>
      <c r="R187" s="3375"/>
      <c r="S187" s="3375"/>
      <c r="T187" s="3375"/>
      <c r="U187" s="3376"/>
    </row>
    <row r="188" spans="1:21" ht="6" customHeight="1">
      <c r="A188" s="2331"/>
      <c r="B188" s="2329"/>
      <c r="C188" s="2329"/>
      <c r="D188" s="2329"/>
      <c r="E188" s="2329"/>
      <c r="F188" s="2329"/>
      <c r="G188" s="2329"/>
      <c r="H188" s="2329"/>
      <c r="I188" s="2329"/>
      <c r="J188" s="2329"/>
      <c r="K188" s="2329"/>
      <c r="L188" s="2329"/>
      <c r="M188" s="2329"/>
      <c r="N188" s="2329"/>
      <c r="O188" s="2329"/>
      <c r="P188" s="2329"/>
      <c r="Q188" s="2329"/>
      <c r="R188" s="2329"/>
      <c r="S188" s="2329"/>
      <c r="T188" s="2329"/>
      <c r="U188" s="2332"/>
    </row>
    <row r="189" spans="1:21" s="579" customFormat="1" ht="19.5" customHeight="1">
      <c r="A189" s="586" t="s">
        <v>1011</v>
      </c>
      <c r="B189" s="579" t="s">
        <v>1569</v>
      </c>
      <c r="E189" s="3370"/>
      <c r="F189" s="3371"/>
      <c r="G189" s="579" t="s">
        <v>609</v>
      </c>
      <c r="U189" s="581"/>
    </row>
    <row r="190" spans="1:21" s="579" customFormat="1" ht="6" customHeight="1">
      <c r="A190" s="586"/>
      <c r="U190" s="581"/>
    </row>
    <row r="191" spans="1:21" s="579" customFormat="1" ht="19.5" customHeight="1">
      <c r="A191" s="586" t="s">
        <v>1019</v>
      </c>
      <c r="B191" s="579" t="s">
        <v>848</v>
      </c>
      <c r="F191" s="3370"/>
      <c r="G191" s="3371"/>
      <c r="H191" s="579" t="s">
        <v>609</v>
      </c>
      <c r="I191" s="579" t="s">
        <v>1570</v>
      </c>
      <c r="M191" s="3372"/>
      <c r="N191" s="3373"/>
      <c r="O191" s="579" t="s">
        <v>762</v>
      </c>
      <c r="U191" s="581"/>
    </row>
    <row r="192" spans="1:21" s="579" customFormat="1" ht="6" customHeight="1">
      <c r="A192" s="586"/>
      <c r="U192" s="581"/>
    </row>
    <row r="193" spans="1:21" s="579" customFormat="1" ht="19.5" customHeight="1">
      <c r="A193" s="586"/>
      <c r="B193" s="579" t="s">
        <v>1571</v>
      </c>
      <c r="M193" s="3368" t="str">
        <f>IF(ISBLANK(E189),"",F191)</f>
        <v/>
      </c>
      <c r="N193" s="3369"/>
      <c r="O193" s="585" t="s">
        <v>1343</v>
      </c>
      <c r="P193" s="3370"/>
      <c r="Q193" s="3371"/>
      <c r="R193" s="585" t="s">
        <v>1240</v>
      </c>
      <c r="S193" s="3368" t="str">
        <f>IF(ISBLANK(E189),"",M193*P193)</f>
        <v/>
      </c>
      <c r="T193" s="3369"/>
      <c r="U193" s="581" t="s">
        <v>1537</v>
      </c>
    </row>
    <row r="194" spans="1:21" s="579" customFormat="1" ht="6" customHeight="1">
      <c r="A194" s="586"/>
      <c r="U194" s="581"/>
    </row>
    <row r="195" spans="1:21" s="579" customFormat="1" ht="19.5" customHeight="1">
      <c r="A195" s="586" t="s">
        <v>1168</v>
      </c>
      <c r="B195" s="579" t="s">
        <v>1574</v>
      </c>
      <c r="F195" s="3370"/>
      <c r="G195" s="3371"/>
      <c r="H195" s="579" t="s">
        <v>609</v>
      </c>
      <c r="I195" s="579" t="s">
        <v>1575</v>
      </c>
      <c r="M195" s="3372"/>
      <c r="N195" s="3373"/>
      <c r="O195" s="579" t="s">
        <v>762</v>
      </c>
      <c r="U195" s="581"/>
    </row>
    <row r="196" spans="1:21" s="579" customFormat="1" ht="6" customHeight="1">
      <c r="A196" s="586"/>
      <c r="U196" s="581"/>
    </row>
    <row r="197" spans="1:21" s="579" customFormat="1" ht="19.5" customHeight="1">
      <c r="A197" s="586"/>
      <c r="B197" s="579" t="s">
        <v>1576</v>
      </c>
      <c r="M197" s="3368" t="str">
        <f>IF(ISBLANK(E189),"",F195)</f>
        <v/>
      </c>
      <c r="N197" s="3369"/>
      <c r="O197" s="585" t="s">
        <v>1343</v>
      </c>
      <c r="P197" s="3370"/>
      <c r="Q197" s="3371"/>
      <c r="R197" s="585" t="s">
        <v>1240</v>
      </c>
      <c r="S197" s="3368" t="str">
        <f>IF(ISBLANK(E189),"",M197*P197)</f>
        <v/>
      </c>
      <c r="T197" s="3369"/>
      <c r="U197" s="581" t="s">
        <v>1537</v>
      </c>
    </row>
    <row r="198" spans="1:21" s="579" customFormat="1" ht="6" customHeight="1">
      <c r="A198" s="586"/>
      <c r="U198" s="581"/>
    </row>
    <row r="199" spans="1:21" s="579" customFormat="1" ht="19.5" customHeight="1">
      <c r="A199" s="586" t="s">
        <v>1172</v>
      </c>
      <c r="B199" s="579" t="s">
        <v>1621</v>
      </c>
      <c r="L199" s="3362" t="str">
        <f>S193</f>
        <v/>
      </c>
      <c r="M199" s="3363"/>
      <c r="N199" s="582" t="s">
        <v>987</v>
      </c>
      <c r="O199" s="3362" t="str">
        <f>S197</f>
        <v/>
      </c>
      <c r="P199" s="3363"/>
      <c r="Q199" s="582" t="s">
        <v>1240</v>
      </c>
      <c r="R199" s="3362" t="str">
        <f>IF(ISBLANK(E189),"",L199+O199)</f>
        <v/>
      </c>
      <c r="S199" s="3363"/>
      <c r="T199" s="584" t="s">
        <v>1537</v>
      </c>
      <c r="U199" s="581"/>
    </row>
    <row r="200" spans="1:21" s="579" customFormat="1" ht="6" customHeight="1">
      <c r="A200" s="586"/>
      <c r="U200" s="581"/>
    </row>
    <row r="201" spans="1:21" s="579" customFormat="1" ht="19.5" customHeight="1">
      <c r="A201" s="586" t="s">
        <v>1177</v>
      </c>
      <c r="B201" s="579" t="s">
        <v>1622</v>
      </c>
      <c r="M201" s="3368" t="str">
        <f>M45</f>
        <v/>
      </c>
      <c r="N201" s="3369"/>
      <c r="O201" s="585" t="s">
        <v>1558</v>
      </c>
      <c r="P201" s="3368" t="str">
        <f>IF(ISBLANK(E189),"",E189)</f>
        <v/>
      </c>
      <c r="Q201" s="3369"/>
      <c r="R201" s="585" t="s">
        <v>1240</v>
      </c>
      <c r="S201" s="3368" t="str">
        <f>IF(ISBLANK(E189),"",M201/P201)</f>
        <v/>
      </c>
      <c r="T201" s="3369"/>
      <c r="U201" s="581" t="s">
        <v>1581</v>
      </c>
    </row>
    <row r="202" spans="1:21" s="579" customFormat="1" ht="6" customHeight="1">
      <c r="A202" s="586"/>
      <c r="U202" s="581"/>
    </row>
    <row r="203" spans="1:21" s="579" customFormat="1" ht="15" customHeight="1">
      <c r="A203" s="697" t="s">
        <v>1179</v>
      </c>
      <c r="B203" s="579" t="s">
        <v>1623</v>
      </c>
      <c r="U203" s="581"/>
    </row>
    <row r="204" spans="1:21" s="579" customFormat="1" ht="6" customHeight="1">
      <c r="A204" s="586"/>
      <c r="U204" s="581"/>
    </row>
    <row r="205" spans="1:21" s="579" customFormat="1" ht="19.5" customHeight="1">
      <c r="A205" s="586"/>
      <c r="B205" s="587" t="s">
        <v>1557</v>
      </c>
      <c r="C205" s="3362" t="str">
        <f>S201</f>
        <v/>
      </c>
      <c r="D205" s="3363"/>
      <c r="E205" s="585" t="s">
        <v>1343</v>
      </c>
      <c r="F205" s="3362" t="str">
        <f>IF(ISBLANK(E189),"",E22)</f>
        <v/>
      </c>
      <c r="G205" s="3363"/>
      <c r="H205" s="584" t="s">
        <v>1559</v>
      </c>
      <c r="I205" s="582" t="s">
        <v>1558</v>
      </c>
      <c r="J205" s="588">
        <v>60</v>
      </c>
      <c r="K205" s="582" t="s">
        <v>1240</v>
      </c>
      <c r="L205" s="3362" t="str">
        <f>IF(ISBLANK(E189),"",(C205*F205)/60)</f>
        <v/>
      </c>
      <c r="M205" s="3363"/>
      <c r="N205" s="584" t="s">
        <v>1584</v>
      </c>
      <c r="U205" s="581"/>
    </row>
    <row r="206" spans="1:21" s="579" customFormat="1" ht="6" customHeight="1">
      <c r="A206" s="586"/>
      <c r="U206" s="581"/>
    </row>
    <row r="207" spans="1:21" s="579" customFormat="1" ht="19.5" customHeight="1">
      <c r="A207" s="586" t="s">
        <v>1181</v>
      </c>
      <c r="B207" s="579" t="s">
        <v>1585</v>
      </c>
      <c r="M207" s="3362" t="str">
        <f>M45</f>
        <v/>
      </c>
      <c r="N207" s="3363"/>
      <c r="O207" s="582" t="s">
        <v>1343</v>
      </c>
      <c r="P207" s="3362" t="str">
        <f>IF(ISBLANK(E189),"",L20)</f>
        <v/>
      </c>
      <c r="Q207" s="3363"/>
      <c r="R207" s="582" t="s">
        <v>1240</v>
      </c>
      <c r="S207" s="3362" t="str">
        <f>IF(ISBLANK(E189),"",M207*P207)</f>
        <v/>
      </c>
      <c r="T207" s="3363"/>
      <c r="U207" s="581" t="s">
        <v>1537</v>
      </c>
    </row>
    <row r="208" spans="1:21" s="579" customFormat="1" ht="6" customHeight="1">
      <c r="A208" s="586"/>
      <c r="U208" s="581"/>
    </row>
    <row r="209" spans="1:21" s="579" customFormat="1" ht="15" customHeight="1">
      <c r="A209" s="586" t="s">
        <v>1184</v>
      </c>
      <c r="B209" s="579" t="s">
        <v>1624</v>
      </c>
      <c r="U209" s="581"/>
    </row>
    <row r="210" spans="1:21" s="579" customFormat="1" ht="6" customHeight="1">
      <c r="A210" s="586"/>
      <c r="U210" s="581"/>
    </row>
    <row r="211" spans="1:21" s="579" customFormat="1" ht="19.5" customHeight="1">
      <c r="A211" s="586"/>
      <c r="B211" s="587" t="s">
        <v>1557</v>
      </c>
      <c r="C211" s="3379">
        <v>4</v>
      </c>
      <c r="D211" s="3379"/>
      <c r="E211" s="582" t="s">
        <v>1343</v>
      </c>
      <c r="F211" s="3362" t="str">
        <f>S207</f>
        <v/>
      </c>
      <c r="G211" s="3363"/>
      <c r="H211" s="584" t="s">
        <v>1559</v>
      </c>
      <c r="I211" s="582" t="s">
        <v>987</v>
      </c>
      <c r="J211" s="3362" t="str">
        <f>R199</f>
        <v/>
      </c>
      <c r="K211" s="3363"/>
      <c r="L211" s="582" t="s">
        <v>1240</v>
      </c>
      <c r="M211" s="3362" t="str">
        <f>IF(ISBLANK(E189),"",(4*S207)+R199)</f>
        <v/>
      </c>
      <c r="N211" s="3363"/>
      <c r="O211" s="579" t="s">
        <v>1537</v>
      </c>
      <c r="U211" s="581"/>
    </row>
    <row r="212" spans="1:21" s="579" customFormat="1" ht="6" customHeight="1">
      <c r="A212" s="586"/>
      <c r="U212" s="581"/>
    </row>
    <row r="213" spans="1:21" s="579" customFormat="1" ht="15" customHeight="1">
      <c r="A213" s="586" t="s">
        <v>1186</v>
      </c>
      <c r="B213" s="579" t="s">
        <v>1589</v>
      </c>
      <c r="U213" s="581"/>
    </row>
    <row r="214" spans="1:21" s="579" customFormat="1" ht="6" customHeight="1">
      <c r="A214" s="586"/>
      <c r="U214" s="581"/>
    </row>
    <row r="215" spans="1:21" s="579" customFormat="1" ht="19.5" customHeight="1">
      <c r="A215" s="586"/>
      <c r="B215" s="3362" t="str">
        <f>M45</f>
        <v/>
      </c>
      <c r="C215" s="3363"/>
      <c r="D215" s="582" t="s">
        <v>1343</v>
      </c>
      <c r="E215" s="3362" t="str">
        <f>IF(ISBLANK(E189),"",E10/12)</f>
        <v/>
      </c>
      <c r="F215" s="3363"/>
      <c r="G215" s="582" t="s">
        <v>1343</v>
      </c>
      <c r="H215" s="3389" t="str">
        <f>IF(ISBLANK(E189),"",E20/12)</f>
        <v/>
      </c>
      <c r="I215" s="3390"/>
      <c r="J215" s="582" t="s">
        <v>1343</v>
      </c>
      <c r="K215" s="3391" t="str">
        <f>IF(ISBLANK(E189),"",E16)</f>
        <v/>
      </c>
      <c r="L215" s="3363"/>
      <c r="M215" s="582" t="s">
        <v>1343</v>
      </c>
      <c r="N215" s="3379">
        <v>7.5</v>
      </c>
      <c r="O215" s="3379"/>
      <c r="P215" s="582" t="s">
        <v>1240</v>
      </c>
      <c r="Q215" s="3368" t="str">
        <f>IF(ISBLANK(E189),"",B215*E215*H215*K215*N215)</f>
        <v/>
      </c>
      <c r="R215" s="3369"/>
      <c r="S215" s="579" t="s">
        <v>1537</v>
      </c>
      <c r="U215" s="581"/>
    </row>
    <row r="216" spans="1:21" s="579" customFormat="1" ht="6" customHeight="1">
      <c r="A216" s="586"/>
      <c r="U216" s="581"/>
    </row>
    <row r="217" spans="1:21" s="579" customFormat="1" ht="19.5" customHeight="1">
      <c r="A217" s="586" t="s">
        <v>1224</v>
      </c>
      <c r="B217" s="579" t="s">
        <v>1590</v>
      </c>
      <c r="O217" s="3370"/>
      <c r="P217" s="3371"/>
      <c r="Q217" s="579" t="s">
        <v>1537</v>
      </c>
      <c r="U217" s="581"/>
    </row>
    <row r="218" spans="1:21" s="579" customFormat="1" ht="6" customHeight="1">
      <c r="A218" s="586"/>
      <c r="U218" s="581"/>
    </row>
    <row r="219" spans="1:21" s="579" customFormat="1" ht="19.5" customHeight="1">
      <c r="A219" s="586" t="s">
        <v>1227</v>
      </c>
      <c r="B219" s="579" t="s">
        <v>1625</v>
      </c>
      <c r="L219" s="3368" t="str">
        <f>IF(ISBLANK(E189),"",O217)</f>
        <v/>
      </c>
      <c r="M219" s="3369"/>
      <c r="N219" s="585" t="s">
        <v>1558</v>
      </c>
      <c r="O219" s="3368" t="str">
        <f>L205</f>
        <v/>
      </c>
      <c r="P219" s="3369"/>
      <c r="Q219" s="585" t="s">
        <v>1240</v>
      </c>
      <c r="R219" s="3387" t="str">
        <f>IF(ISBLANK(E189),"",L219/O219)</f>
        <v/>
      </c>
      <c r="S219" s="3388"/>
      <c r="T219" s="579" t="s">
        <v>1592</v>
      </c>
      <c r="U219" s="581"/>
    </row>
    <row r="220" spans="1:21" s="579" customFormat="1" ht="6" customHeight="1">
      <c r="A220" s="586"/>
      <c r="U220" s="581"/>
    </row>
    <row r="221" spans="1:21" s="579" customFormat="1" ht="15" customHeight="1">
      <c r="A221" s="586" t="s">
        <v>1480</v>
      </c>
      <c r="B221" s="579" t="s">
        <v>1626</v>
      </c>
      <c r="O221" s="583" t="s">
        <v>1594</v>
      </c>
      <c r="U221" s="581"/>
    </row>
    <row r="222" spans="1:21" s="579" customFormat="1" ht="6" customHeight="1">
      <c r="A222" s="586"/>
      <c r="U222" s="581"/>
    </row>
    <row r="223" spans="1:21" s="579" customFormat="1" ht="19.5" customHeight="1">
      <c r="A223" s="586"/>
      <c r="B223" s="3362" t="str">
        <f>E4</f>
        <v/>
      </c>
      <c r="C223" s="3363"/>
      <c r="D223" s="582" t="s">
        <v>1558</v>
      </c>
      <c r="E223" s="3362" t="str">
        <f>IF(ISBLANK(E189),"",E41)</f>
        <v/>
      </c>
      <c r="F223" s="3363"/>
      <c r="G223" s="582" t="s">
        <v>1558</v>
      </c>
      <c r="H223" s="3362" t="str">
        <f>IF(ISBLANK(E189),"",O217)</f>
        <v/>
      </c>
      <c r="I223" s="3363"/>
      <c r="J223" s="582" t="s">
        <v>1240</v>
      </c>
      <c r="K223" s="3377" t="str">
        <f>IF(ISBLANK(E189),"",MAX(4,(B223/E223/H223)))</f>
        <v/>
      </c>
      <c r="L223" s="3378"/>
      <c r="M223" s="579" t="s">
        <v>1595</v>
      </c>
      <c r="U223" s="581"/>
    </row>
    <row r="224" spans="1:21" s="579" customFormat="1" ht="6" customHeight="1">
      <c r="A224" s="586"/>
      <c r="U224" s="581"/>
    </row>
    <row r="225" spans="1:21" s="579" customFormat="1" ht="19.5" customHeight="1">
      <c r="A225" s="586" t="s">
        <v>1483</v>
      </c>
      <c r="B225" s="579" t="s">
        <v>1627</v>
      </c>
      <c r="I225" s="3385">
        <v>1440</v>
      </c>
      <c r="J225" s="3385"/>
      <c r="K225" s="582" t="s">
        <v>1558</v>
      </c>
      <c r="L225" s="3386" t="str">
        <f>K223</f>
        <v/>
      </c>
      <c r="M225" s="3369"/>
      <c r="N225" s="582" t="s">
        <v>1240</v>
      </c>
      <c r="O225" s="3387" t="str">
        <f>IF(ISBLANK(E189),"",I225/L225)</f>
        <v/>
      </c>
      <c r="P225" s="3388"/>
      <c r="Q225" s="579" t="s">
        <v>1592</v>
      </c>
      <c r="U225" s="581"/>
    </row>
    <row r="226" spans="1:21" s="579" customFormat="1" ht="6" customHeight="1">
      <c r="A226" s="586"/>
      <c r="U226" s="581"/>
    </row>
    <row r="227" spans="1:21" s="579" customFormat="1" ht="19.5" customHeight="1">
      <c r="A227" s="586" t="s">
        <v>1485</v>
      </c>
      <c r="B227" s="579" t="s">
        <v>1628</v>
      </c>
      <c r="I227" s="3360" t="str">
        <f>O225</f>
        <v/>
      </c>
      <c r="J227" s="3363"/>
      <c r="K227" s="582" t="s">
        <v>988</v>
      </c>
      <c r="L227" s="3360" t="str">
        <f>R219</f>
        <v/>
      </c>
      <c r="M227" s="3363"/>
      <c r="N227" s="582" t="s">
        <v>1240</v>
      </c>
      <c r="O227" s="3360" t="str">
        <f>IF(ISBLANK(E189),"",I227-L227)</f>
        <v/>
      </c>
      <c r="P227" s="3363"/>
      <c r="Q227" s="579" t="s">
        <v>1592</v>
      </c>
      <c r="U227" s="581"/>
    </row>
    <row r="228" spans="1:21" s="579" customFormat="1" ht="6" customHeight="1">
      <c r="A228" s="586"/>
      <c r="U228" s="581"/>
    </row>
    <row r="229" spans="1:21" s="579" customFormat="1" ht="19.5" customHeight="1">
      <c r="A229" s="586" t="s">
        <v>1599</v>
      </c>
      <c r="B229" s="579" t="s">
        <v>1598</v>
      </c>
      <c r="M229" s="3362" t="str">
        <f>Q47</f>
        <v/>
      </c>
      <c r="N229" s="3363"/>
      <c r="O229" s="588" t="s">
        <v>1343</v>
      </c>
      <c r="P229" s="3379">
        <f>1.6</f>
        <v>1.6</v>
      </c>
      <c r="Q229" s="3379"/>
      <c r="R229" s="588" t="s">
        <v>1240</v>
      </c>
      <c r="S229" s="3362" t="str">
        <f>IF(ISBLANK(E189),"",M229*P229)</f>
        <v/>
      </c>
      <c r="T229" s="3363"/>
      <c r="U229" s="578" t="s">
        <v>1537</v>
      </c>
    </row>
    <row r="230" spans="1:21" s="579" customFormat="1" ht="6" customHeight="1">
      <c r="A230" s="586"/>
      <c r="U230" s="581"/>
    </row>
    <row r="231" spans="1:21" s="579" customFormat="1" ht="15" customHeight="1">
      <c r="A231" s="586" t="s">
        <v>1601</v>
      </c>
      <c r="B231" s="579" t="s">
        <v>1629</v>
      </c>
      <c r="U231" s="581"/>
    </row>
    <row r="232" spans="1:21" s="579" customFormat="1" ht="6" customHeight="1">
      <c r="A232" s="586"/>
      <c r="U232" s="581"/>
    </row>
    <row r="233" spans="1:21" s="579" customFormat="1" ht="19.5" customHeight="1">
      <c r="A233" s="586"/>
      <c r="B233" s="3368" t="str">
        <f>L205</f>
        <v/>
      </c>
      <c r="C233" s="3369"/>
      <c r="D233" s="582" t="s">
        <v>987</v>
      </c>
      <c r="E233" s="3362" t="str">
        <f>S229</f>
        <v/>
      </c>
      <c r="F233" s="3363"/>
      <c r="G233" s="582" t="s">
        <v>1240</v>
      </c>
      <c r="H233" s="3368" t="str">
        <f>IF(ISBLANK(E189),"",B233+E233)</f>
        <v/>
      </c>
      <c r="I233" s="3369"/>
      <c r="J233" s="584" t="s">
        <v>1584</v>
      </c>
      <c r="U233" s="581"/>
    </row>
    <row r="234" spans="1:21" s="579" customFormat="1" ht="6" customHeight="1">
      <c r="A234" s="586"/>
      <c r="U234" s="581"/>
    </row>
    <row r="235" spans="1:21" s="579" customFormat="1" ht="19.5" customHeight="1">
      <c r="A235" s="586" t="s">
        <v>1603</v>
      </c>
      <c r="B235" s="579" t="s">
        <v>1630</v>
      </c>
      <c r="K235" s="3362" t="str">
        <f>H233</f>
        <v/>
      </c>
      <c r="L235" s="3363"/>
      <c r="M235" s="582" t="s">
        <v>1343</v>
      </c>
      <c r="N235" s="3360" t="str">
        <f>R219</f>
        <v/>
      </c>
      <c r="O235" s="3363"/>
      <c r="P235" s="582" t="s">
        <v>1240</v>
      </c>
      <c r="Q235" s="3377" t="str">
        <f>IF(ISBLANK(E189),"",K235*N235)</f>
        <v/>
      </c>
      <c r="R235" s="3378"/>
      <c r="S235" s="579" t="s">
        <v>1537</v>
      </c>
      <c r="U235" s="581"/>
    </row>
    <row r="236" spans="1:21" s="579" customFormat="1" ht="6" customHeight="1">
      <c r="A236" s="586"/>
      <c r="U236" s="581"/>
    </row>
    <row r="237" spans="1:21" s="579" customFormat="1" ht="15" customHeight="1">
      <c r="A237" s="586"/>
      <c r="B237" s="579" t="s">
        <v>1604</v>
      </c>
      <c r="C237" s="556"/>
      <c r="D237" s="556"/>
      <c r="E237" s="556"/>
      <c r="F237" s="556"/>
      <c r="G237" s="556"/>
      <c r="H237" s="556"/>
      <c r="I237" s="556"/>
      <c r="J237" s="556"/>
      <c r="K237" s="556"/>
      <c r="L237" s="590"/>
      <c r="U237" s="581"/>
    </row>
    <row r="238" spans="1:21" s="579" customFormat="1" ht="6" customHeight="1">
      <c r="A238" s="586"/>
      <c r="U238" s="581"/>
    </row>
    <row r="239" spans="1:21" s="579" customFormat="1" ht="19.5" customHeight="1">
      <c r="A239" s="586"/>
      <c r="B239" s="3360" t="str">
        <f>IF(ISBLANK(E189),"",E41)</f>
        <v/>
      </c>
      <c r="C239" s="3361"/>
      <c r="D239" s="590" t="s">
        <v>1343</v>
      </c>
      <c r="E239" s="3360" t="str">
        <f>K223</f>
        <v/>
      </c>
      <c r="F239" s="3361"/>
      <c r="G239" s="590" t="s">
        <v>1343</v>
      </c>
      <c r="H239" s="3360" t="str">
        <f>R219</f>
        <v/>
      </c>
      <c r="I239" s="3361"/>
      <c r="J239" s="590" t="s">
        <v>1240</v>
      </c>
      <c r="K239" s="3360" t="str">
        <f>IF(ISBLANK(E189),"",B239*E239*H239)</f>
        <v/>
      </c>
      <c r="L239" s="3361"/>
      <c r="M239" s="1" t="s">
        <v>1592</v>
      </c>
      <c r="U239" s="581"/>
    </row>
    <row r="240" spans="1:21" ht="6" customHeight="1">
      <c r="A240" s="2331"/>
      <c r="B240" s="2329"/>
      <c r="C240" s="2329"/>
      <c r="D240" s="2329"/>
      <c r="E240" s="2329"/>
      <c r="F240" s="2329"/>
      <c r="G240" s="2329"/>
      <c r="H240" s="2329"/>
      <c r="I240" s="2329"/>
      <c r="J240" s="2329"/>
      <c r="K240" s="2329"/>
      <c r="L240" s="2329"/>
      <c r="M240" s="2329"/>
      <c r="N240" s="2329"/>
      <c r="O240" s="2329"/>
      <c r="P240" s="2329"/>
      <c r="Q240" s="2329"/>
      <c r="R240" s="2329"/>
      <c r="S240" s="2329"/>
      <c r="T240" s="2329"/>
      <c r="U240" s="2332"/>
    </row>
    <row r="241" spans="1:21" ht="15" customHeight="1">
      <c r="A241" s="3374" t="s">
        <v>1631</v>
      </c>
      <c r="B241" s="3375"/>
      <c r="C241" s="3375"/>
      <c r="D241" s="3375"/>
      <c r="E241" s="3375"/>
      <c r="F241" s="3375"/>
      <c r="G241" s="3375"/>
      <c r="H241" s="3375"/>
      <c r="I241" s="3375"/>
      <c r="J241" s="3375"/>
      <c r="K241" s="3375"/>
      <c r="L241" s="3375"/>
      <c r="M241" s="3375"/>
      <c r="N241" s="3375"/>
      <c r="O241" s="3375"/>
      <c r="P241" s="3375"/>
      <c r="Q241" s="3375"/>
      <c r="R241" s="3375"/>
      <c r="S241" s="3375"/>
      <c r="T241" s="3375"/>
      <c r="U241" s="3376"/>
    </row>
    <row r="242" spans="1:21" ht="6" customHeight="1">
      <c r="A242" s="2344"/>
      <c r="B242" s="2345"/>
      <c r="C242" s="2345"/>
      <c r="D242" s="2345"/>
      <c r="E242" s="2345"/>
      <c r="F242" s="2345"/>
      <c r="G242" s="2345"/>
      <c r="H242" s="2345"/>
      <c r="I242" s="2345"/>
      <c r="J242" s="2345"/>
      <c r="K242" s="2345"/>
      <c r="L242" s="2345"/>
      <c r="M242" s="2345"/>
      <c r="N242" s="2345"/>
      <c r="O242" s="2345"/>
      <c r="P242" s="2345"/>
      <c r="Q242" s="2345"/>
      <c r="R242" s="2345"/>
      <c r="S242" s="2345"/>
      <c r="T242" s="2345"/>
      <c r="U242" s="2346"/>
    </row>
    <row r="243" spans="1:21" s="579" customFormat="1" ht="19.5" customHeight="1">
      <c r="A243" s="586" t="s">
        <v>1011</v>
      </c>
      <c r="B243" s="579" t="s">
        <v>1569</v>
      </c>
      <c r="E243" s="3370"/>
      <c r="F243" s="3371"/>
      <c r="G243" s="579" t="s">
        <v>609</v>
      </c>
      <c r="U243" s="581"/>
    </row>
    <row r="244" spans="1:21" s="579" customFormat="1" ht="6" customHeight="1">
      <c r="A244" s="586"/>
      <c r="U244" s="581"/>
    </row>
    <row r="245" spans="1:21" s="579" customFormat="1" ht="19.5" customHeight="1">
      <c r="A245" s="586" t="s">
        <v>1019</v>
      </c>
      <c r="B245" s="579" t="s">
        <v>848</v>
      </c>
      <c r="F245" s="3370"/>
      <c r="G245" s="3371"/>
      <c r="H245" s="579" t="s">
        <v>609</v>
      </c>
      <c r="I245" s="579" t="s">
        <v>1570</v>
      </c>
      <c r="M245" s="3372"/>
      <c r="N245" s="3373"/>
      <c r="O245" s="579" t="s">
        <v>762</v>
      </c>
      <c r="U245" s="581"/>
    </row>
    <row r="246" spans="1:21" s="579" customFormat="1" ht="6" customHeight="1">
      <c r="A246" s="586"/>
      <c r="U246" s="581"/>
    </row>
    <row r="247" spans="1:21" s="579" customFormat="1" ht="19.5" customHeight="1">
      <c r="A247" s="586"/>
      <c r="B247" s="579" t="s">
        <v>1571</v>
      </c>
      <c r="M247" s="3368" t="str">
        <f>IF(ISBLANK(E243),"",F245)</f>
        <v/>
      </c>
      <c r="N247" s="3369"/>
      <c r="O247" s="585" t="s">
        <v>1343</v>
      </c>
      <c r="P247" s="3370"/>
      <c r="Q247" s="3371"/>
      <c r="R247" s="585" t="s">
        <v>1240</v>
      </c>
      <c r="S247" s="3368" t="str">
        <f>IF(ISBLANK(E189),"",M247*P247)</f>
        <v/>
      </c>
      <c r="T247" s="3369"/>
      <c r="U247" s="581" t="s">
        <v>1537</v>
      </c>
    </row>
    <row r="248" spans="1:21" s="579" customFormat="1" ht="6" customHeight="1">
      <c r="A248" s="586"/>
      <c r="U248" s="581"/>
    </row>
    <row r="249" spans="1:21" s="579" customFormat="1" ht="19.5" customHeight="1">
      <c r="A249" s="586" t="s">
        <v>1168</v>
      </c>
      <c r="B249" s="579" t="s">
        <v>1574</v>
      </c>
      <c r="F249" s="3370"/>
      <c r="G249" s="3371"/>
      <c r="H249" s="579" t="s">
        <v>609</v>
      </c>
      <c r="I249" s="579" t="s">
        <v>1575</v>
      </c>
      <c r="M249" s="3372"/>
      <c r="N249" s="3373"/>
      <c r="O249" s="579" t="s">
        <v>762</v>
      </c>
      <c r="U249" s="581"/>
    </row>
    <row r="250" spans="1:21" s="579" customFormat="1" ht="6" customHeight="1">
      <c r="A250" s="586"/>
      <c r="U250" s="581"/>
    </row>
    <row r="251" spans="1:21" s="579" customFormat="1" ht="19.5" customHeight="1">
      <c r="A251" s="586"/>
      <c r="B251" s="579" t="s">
        <v>1576</v>
      </c>
      <c r="M251" s="3368" t="str">
        <f>IF(ISBLANK(E189),"",F249)</f>
        <v/>
      </c>
      <c r="N251" s="3369"/>
      <c r="O251" s="585" t="s">
        <v>1343</v>
      </c>
      <c r="P251" s="3370"/>
      <c r="Q251" s="3371"/>
      <c r="R251" s="585" t="s">
        <v>1240</v>
      </c>
      <c r="S251" s="3368" t="str">
        <f>IF(ISBLANK(E189),"",M251*P251)</f>
        <v/>
      </c>
      <c r="T251" s="3369"/>
      <c r="U251" s="581" t="s">
        <v>1537</v>
      </c>
    </row>
    <row r="252" spans="1:21" s="579" customFormat="1" ht="6" customHeight="1">
      <c r="A252" s="586"/>
      <c r="U252" s="581"/>
    </row>
    <row r="253" spans="1:21" s="579" customFormat="1" ht="19.5" customHeight="1">
      <c r="A253" s="586" t="s">
        <v>1172</v>
      </c>
      <c r="B253" s="579" t="s">
        <v>1632</v>
      </c>
      <c r="L253" s="3362" t="str">
        <f>S247</f>
        <v/>
      </c>
      <c r="M253" s="3363"/>
      <c r="N253" s="582" t="s">
        <v>987</v>
      </c>
      <c r="O253" s="3362" t="str">
        <f>S251</f>
        <v/>
      </c>
      <c r="P253" s="3363"/>
      <c r="Q253" s="582" t="s">
        <v>1240</v>
      </c>
      <c r="R253" s="3362" t="str">
        <f>IF(ISBLANK(E189),"",L253+O253)</f>
        <v/>
      </c>
      <c r="S253" s="3363"/>
      <c r="T253" s="584" t="s">
        <v>1537</v>
      </c>
      <c r="U253" s="581"/>
    </row>
    <row r="254" spans="1:21" s="579" customFormat="1" ht="6" customHeight="1">
      <c r="A254" s="586"/>
      <c r="U254" s="581"/>
    </row>
    <row r="255" spans="1:21" s="579" customFormat="1" ht="19.5" customHeight="1">
      <c r="A255" s="586" t="s">
        <v>1177</v>
      </c>
      <c r="B255" s="579" t="s">
        <v>1633</v>
      </c>
      <c r="M255" s="3368" t="str">
        <f>M45</f>
        <v/>
      </c>
      <c r="N255" s="3369"/>
      <c r="O255" s="585" t="s">
        <v>1558</v>
      </c>
      <c r="P255" s="3368" t="str">
        <f>IF(ISBLANK(E189),"",E243)</f>
        <v/>
      </c>
      <c r="Q255" s="3369"/>
      <c r="R255" s="585" t="s">
        <v>1240</v>
      </c>
      <c r="S255" s="3368" t="str">
        <f>IF(ISBLANK(E189),"",M255/P255)</f>
        <v/>
      </c>
      <c r="T255" s="3369"/>
      <c r="U255" s="581" t="s">
        <v>1581</v>
      </c>
    </row>
    <row r="256" spans="1:21" s="579" customFormat="1" ht="6" customHeight="1">
      <c r="A256" s="586"/>
      <c r="U256" s="581"/>
    </row>
    <row r="257" spans="1:21" s="579" customFormat="1" ht="15" customHeight="1">
      <c r="A257" s="586" t="s">
        <v>1179</v>
      </c>
      <c r="B257" s="579" t="s">
        <v>1634</v>
      </c>
      <c r="U257" s="581"/>
    </row>
    <row r="258" spans="1:21" s="579" customFormat="1" ht="6" customHeight="1">
      <c r="A258" s="586"/>
      <c r="U258" s="581"/>
    </row>
    <row r="259" spans="1:21" s="579" customFormat="1" ht="19.5" customHeight="1">
      <c r="A259" s="586"/>
      <c r="B259" s="587" t="s">
        <v>1557</v>
      </c>
      <c r="C259" s="3362" t="str">
        <f>S255</f>
        <v/>
      </c>
      <c r="D259" s="3363"/>
      <c r="E259" s="585" t="s">
        <v>1343</v>
      </c>
      <c r="F259" s="3362" t="str">
        <f>IF(ISBLANK(E189),"",E22)</f>
        <v/>
      </c>
      <c r="G259" s="3363"/>
      <c r="H259" s="584" t="s">
        <v>1559</v>
      </c>
      <c r="I259" s="582" t="s">
        <v>1558</v>
      </c>
      <c r="J259" s="588">
        <v>60</v>
      </c>
      <c r="K259" s="582" t="s">
        <v>1240</v>
      </c>
      <c r="L259" s="3362" t="str">
        <f>IF(ISBLANK(E189),"",(C259*F259)/60)</f>
        <v/>
      </c>
      <c r="M259" s="3363"/>
      <c r="N259" s="584" t="s">
        <v>1584</v>
      </c>
      <c r="U259" s="581"/>
    </row>
    <row r="260" spans="1:21" s="579" customFormat="1" ht="6" customHeight="1">
      <c r="A260" s="586"/>
      <c r="U260" s="581"/>
    </row>
    <row r="261" spans="1:21" s="579" customFormat="1" ht="19.5" customHeight="1">
      <c r="A261" s="586" t="s">
        <v>1181</v>
      </c>
      <c r="B261" s="579" t="s">
        <v>1585</v>
      </c>
      <c r="M261" s="3362" t="str">
        <f>M45</f>
        <v/>
      </c>
      <c r="N261" s="3363"/>
      <c r="O261" s="582" t="s">
        <v>1343</v>
      </c>
      <c r="P261" s="3362" t="str">
        <f>IF(ISBLANK(E189),"",L20)</f>
        <v/>
      </c>
      <c r="Q261" s="3363"/>
      <c r="R261" s="582" t="s">
        <v>1240</v>
      </c>
      <c r="S261" s="3362" t="str">
        <f>IF(ISBLANK(E189),"",M261*P261)</f>
        <v/>
      </c>
      <c r="T261" s="3363"/>
      <c r="U261" s="581" t="s">
        <v>1537</v>
      </c>
    </row>
    <row r="262" spans="1:21" s="579" customFormat="1" ht="6" customHeight="1">
      <c r="A262" s="591"/>
      <c r="B262" s="592"/>
      <c r="C262" s="592"/>
      <c r="D262" s="592"/>
      <c r="E262" s="592"/>
      <c r="F262" s="592"/>
      <c r="G262" s="592"/>
      <c r="H262" s="592"/>
      <c r="I262" s="592"/>
      <c r="J262" s="592"/>
      <c r="K262" s="592"/>
      <c r="L262" s="592"/>
      <c r="M262" s="592"/>
      <c r="N262" s="592"/>
      <c r="O262" s="592"/>
      <c r="P262" s="592"/>
      <c r="Q262" s="592"/>
      <c r="R262" s="592"/>
      <c r="S262" s="592"/>
      <c r="T262" s="592"/>
      <c r="U262" s="593"/>
    </row>
    <row r="263" spans="1:21" s="579" customFormat="1" ht="15" customHeight="1">
      <c r="A263" s="594" t="s">
        <v>1184</v>
      </c>
      <c r="B263" s="595" t="s">
        <v>1635</v>
      </c>
      <c r="C263" s="595"/>
      <c r="D263" s="595"/>
      <c r="E263" s="595"/>
      <c r="F263" s="595"/>
      <c r="G263" s="595"/>
      <c r="H263" s="595"/>
      <c r="I263" s="595"/>
      <c r="J263" s="595"/>
      <c r="K263" s="595"/>
      <c r="L263" s="595"/>
      <c r="M263" s="595"/>
      <c r="N263" s="595"/>
      <c r="O263" s="595"/>
      <c r="P263" s="595"/>
      <c r="Q263" s="595"/>
      <c r="R263" s="595"/>
      <c r="S263" s="595"/>
      <c r="T263" s="595"/>
      <c r="U263" s="597"/>
    </row>
    <row r="264" spans="1:21" s="579" customFormat="1" ht="6" customHeight="1">
      <c r="A264" s="586"/>
      <c r="U264" s="581"/>
    </row>
    <row r="265" spans="1:21" s="579" customFormat="1" ht="19.5" customHeight="1">
      <c r="A265" s="586"/>
      <c r="B265" s="587" t="s">
        <v>1557</v>
      </c>
      <c r="C265" s="3379">
        <v>4</v>
      </c>
      <c r="D265" s="3379"/>
      <c r="E265" s="582" t="s">
        <v>1343</v>
      </c>
      <c r="F265" s="3362" t="str">
        <f>S261</f>
        <v/>
      </c>
      <c r="G265" s="3363"/>
      <c r="H265" s="584" t="s">
        <v>1559</v>
      </c>
      <c r="I265" s="582" t="s">
        <v>987</v>
      </c>
      <c r="J265" s="3362" t="str">
        <f>R253</f>
        <v/>
      </c>
      <c r="K265" s="3363"/>
      <c r="L265" s="582" t="s">
        <v>1240</v>
      </c>
      <c r="M265" s="3362" t="str">
        <f>IF(ISBLANK(E189),"",(4*S261)+R253)</f>
        <v/>
      </c>
      <c r="N265" s="3363"/>
      <c r="O265" s="579" t="s">
        <v>1537</v>
      </c>
      <c r="U265" s="581"/>
    </row>
    <row r="266" spans="1:21" s="579" customFormat="1" ht="6" customHeight="1">
      <c r="A266" s="586"/>
      <c r="U266" s="581"/>
    </row>
    <row r="267" spans="1:21" s="579" customFormat="1" ht="15" customHeight="1">
      <c r="A267" s="586" t="s">
        <v>1186</v>
      </c>
      <c r="B267" s="579" t="s">
        <v>1589</v>
      </c>
      <c r="U267" s="581"/>
    </row>
    <row r="268" spans="1:21" s="579" customFormat="1" ht="6" customHeight="1">
      <c r="A268" s="586"/>
      <c r="U268" s="581"/>
    </row>
    <row r="269" spans="1:21" s="579" customFormat="1" ht="19.5" customHeight="1">
      <c r="A269" s="586"/>
      <c r="B269" s="3362" t="str">
        <f>M45</f>
        <v/>
      </c>
      <c r="C269" s="3363"/>
      <c r="D269" s="582" t="s">
        <v>1343</v>
      </c>
      <c r="E269" s="3362" t="str">
        <f>IF(ISBLANK(E189),"",E10/12)</f>
        <v/>
      </c>
      <c r="F269" s="3363"/>
      <c r="G269" s="582" t="s">
        <v>1343</v>
      </c>
      <c r="H269" s="3389" t="str">
        <f>IF(ISBLANK(E189),"",E20/12)</f>
        <v/>
      </c>
      <c r="I269" s="3390"/>
      <c r="J269" s="582" t="s">
        <v>1343</v>
      </c>
      <c r="K269" s="3391" t="str">
        <f>IF(ISBLANK(E189),"",E16)</f>
        <v/>
      </c>
      <c r="L269" s="3363"/>
      <c r="M269" s="582" t="s">
        <v>1343</v>
      </c>
      <c r="N269" s="3379">
        <v>7.5</v>
      </c>
      <c r="O269" s="3379"/>
      <c r="P269" s="582" t="s">
        <v>1240</v>
      </c>
      <c r="Q269" s="3368" t="str">
        <f>IF(ISBLANK(E189),"",B269*E269*H269*K269*N269)</f>
        <v/>
      </c>
      <c r="R269" s="3369"/>
      <c r="S269" s="579" t="s">
        <v>1537</v>
      </c>
      <c r="U269" s="581"/>
    </row>
    <row r="270" spans="1:21" s="579" customFormat="1" ht="6" customHeight="1">
      <c r="A270" s="586"/>
      <c r="U270" s="581"/>
    </row>
    <row r="271" spans="1:21" s="579" customFormat="1" ht="19.5" customHeight="1">
      <c r="A271" s="586" t="s">
        <v>1224</v>
      </c>
      <c r="B271" s="579" t="s">
        <v>1590</v>
      </c>
      <c r="O271" s="3370"/>
      <c r="P271" s="3371"/>
      <c r="Q271" s="579" t="s">
        <v>1537</v>
      </c>
      <c r="U271" s="581"/>
    </row>
    <row r="272" spans="1:21" s="579" customFormat="1" ht="6" customHeight="1">
      <c r="A272" s="586"/>
      <c r="U272" s="581"/>
    </row>
    <row r="273" spans="1:21" s="579" customFormat="1" ht="19.5" customHeight="1">
      <c r="A273" s="586" t="s">
        <v>1227</v>
      </c>
      <c r="B273" s="579" t="s">
        <v>1636</v>
      </c>
      <c r="L273" s="3368" t="str">
        <f>IF(ISBLANK(E189),"",O271)</f>
        <v/>
      </c>
      <c r="M273" s="3369"/>
      <c r="N273" s="585" t="s">
        <v>1558</v>
      </c>
      <c r="O273" s="3368" t="str">
        <f>L259</f>
        <v/>
      </c>
      <c r="P273" s="3369"/>
      <c r="Q273" s="585" t="s">
        <v>1240</v>
      </c>
      <c r="R273" s="3387" t="str">
        <f>IF(ISBLANK(E189),"",L273/O273)</f>
        <v/>
      </c>
      <c r="S273" s="3388"/>
      <c r="T273" s="579" t="s">
        <v>1592</v>
      </c>
      <c r="U273" s="581"/>
    </row>
    <row r="274" spans="1:21" s="579" customFormat="1" ht="6" customHeight="1">
      <c r="A274" s="586"/>
      <c r="U274" s="581"/>
    </row>
    <row r="275" spans="1:21" s="579" customFormat="1" ht="15" customHeight="1">
      <c r="A275" s="594" t="s">
        <v>1480</v>
      </c>
      <c r="B275" s="595" t="s">
        <v>1637</v>
      </c>
      <c r="C275" s="595"/>
      <c r="D275" s="595"/>
      <c r="E275" s="595"/>
      <c r="F275" s="595"/>
      <c r="G275" s="595"/>
      <c r="H275" s="595"/>
      <c r="I275" s="595"/>
      <c r="J275" s="595"/>
      <c r="K275" s="595"/>
      <c r="L275" s="595"/>
      <c r="M275" s="595"/>
      <c r="N275" s="595"/>
      <c r="O275" s="596" t="s">
        <v>1594</v>
      </c>
      <c r="P275" s="595"/>
      <c r="Q275" s="595"/>
      <c r="R275" s="595"/>
      <c r="S275" s="595"/>
      <c r="T275" s="595"/>
      <c r="U275" s="597"/>
    </row>
    <row r="276" spans="1:21" s="579" customFormat="1" ht="6" customHeight="1">
      <c r="A276" s="586"/>
      <c r="U276" s="581"/>
    </row>
    <row r="277" spans="1:21" s="579" customFormat="1" ht="19.5" customHeight="1">
      <c r="A277" s="586"/>
      <c r="B277" s="3362" t="str">
        <f>E4</f>
        <v/>
      </c>
      <c r="C277" s="3363"/>
      <c r="D277" s="582" t="s">
        <v>1558</v>
      </c>
      <c r="E277" s="3362" t="str">
        <f>IF(ISBLANK(E189),"",E41)</f>
        <v/>
      </c>
      <c r="F277" s="3363"/>
      <c r="G277" s="582" t="s">
        <v>1558</v>
      </c>
      <c r="H277" s="3362" t="str">
        <f>IF(ISBLANK(E189),"",O271)</f>
        <v/>
      </c>
      <c r="I277" s="3363"/>
      <c r="J277" s="582" t="s">
        <v>1240</v>
      </c>
      <c r="K277" s="3377" t="str">
        <f>IF(ISBLANK(E189),"",MAX(4,(B277/E277/H277)))</f>
        <v/>
      </c>
      <c r="L277" s="3378"/>
      <c r="M277" s="579" t="s">
        <v>1595</v>
      </c>
      <c r="U277" s="581"/>
    </row>
    <row r="278" spans="1:21" s="579" customFormat="1" ht="6" customHeight="1">
      <c r="A278" s="586"/>
      <c r="U278" s="581"/>
    </row>
    <row r="279" spans="1:21" s="579" customFormat="1" ht="19.5" customHeight="1">
      <c r="A279" s="586" t="s">
        <v>1483</v>
      </c>
      <c r="B279" s="579" t="s">
        <v>1638</v>
      </c>
      <c r="I279" s="3385">
        <v>1440</v>
      </c>
      <c r="J279" s="3385"/>
      <c r="K279" s="582" t="s">
        <v>1558</v>
      </c>
      <c r="L279" s="3386" t="str">
        <f>K277</f>
        <v/>
      </c>
      <c r="M279" s="3369"/>
      <c r="N279" s="582" t="s">
        <v>1240</v>
      </c>
      <c r="O279" s="3387" t="str">
        <f>IF(ISBLANK(E189),"",I279/L279)</f>
        <v/>
      </c>
      <c r="P279" s="3388"/>
      <c r="Q279" s="579" t="s">
        <v>1592</v>
      </c>
      <c r="U279" s="581"/>
    </row>
    <row r="280" spans="1:21" s="579" customFormat="1" ht="6" customHeight="1">
      <c r="A280" s="586"/>
      <c r="U280" s="581"/>
    </row>
    <row r="281" spans="1:21" s="579" customFormat="1" ht="19.5" customHeight="1">
      <c r="A281" s="586" t="s">
        <v>1485</v>
      </c>
      <c r="B281" s="579" t="s">
        <v>1639</v>
      </c>
      <c r="I281" s="3360" t="str">
        <f>O279</f>
        <v/>
      </c>
      <c r="J281" s="3363"/>
      <c r="K281" s="582" t="s">
        <v>988</v>
      </c>
      <c r="L281" s="3360" t="str">
        <f>R273</f>
        <v/>
      </c>
      <c r="M281" s="3363"/>
      <c r="N281" s="582" t="s">
        <v>1240</v>
      </c>
      <c r="O281" s="3360" t="str">
        <f>IF(ISBLANK(E189),"",I281-L281)</f>
        <v/>
      </c>
      <c r="P281" s="3363"/>
      <c r="Q281" s="579" t="s">
        <v>1592</v>
      </c>
      <c r="U281" s="581"/>
    </row>
    <row r="282" spans="1:21" s="579" customFormat="1" ht="6" customHeight="1">
      <c r="A282" s="586"/>
      <c r="U282" s="581"/>
    </row>
    <row r="283" spans="1:21" s="579" customFormat="1" ht="19.5" customHeight="1">
      <c r="A283" s="586" t="s">
        <v>1599</v>
      </c>
      <c r="B283" s="579" t="s">
        <v>1640</v>
      </c>
      <c r="M283" s="3362" t="str">
        <f>Q47</f>
        <v/>
      </c>
      <c r="N283" s="3363"/>
      <c r="O283" s="588" t="s">
        <v>1343</v>
      </c>
      <c r="P283" s="3379">
        <f>1.6</f>
        <v>1.6</v>
      </c>
      <c r="Q283" s="3379"/>
      <c r="R283" s="588" t="s">
        <v>1240</v>
      </c>
      <c r="S283" s="3362" t="str">
        <f>IF(ISBLANK(E189),"",M283*P283)</f>
        <v/>
      </c>
      <c r="T283" s="3363"/>
      <c r="U283" s="578" t="s">
        <v>1537</v>
      </c>
    </row>
    <row r="284" spans="1:21" s="579" customFormat="1" ht="6" customHeight="1">
      <c r="A284" s="586"/>
      <c r="U284" s="581"/>
    </row>
    <row r="285" spans="1:21" s="579" customFormat="1" ht="15" customHeight="1">
      <c r="A285" s="586" t="s">
        <v>1601</v>
      </c>
      <c r="B285" s="579" t="s">
        <v>1641</v>
      </c>
      <c r="U285" s="581"/>
    </row>
    <row r="286" spans="1:21" s="579" customFormat="1" ht="6" customHeight="1">
      <c r="A286" s="586"/>
      <c r="U286" s="581"/>
    </row>
    <row r="287" spans="1:21" s="579" customFormat="1" ht="19.5" customHeight="1">
      <c r="A287" s="586"/>
      <c r="B287" s="3368" t="str">
        <f>L259</f>
        <v/>
      </c>
      <c r="C287" s="3369"/>
      <c r="D287" s="582" t="s">
        <v>987</v>
      </c>
      <c r="E287" s="3362" t="str">
        <f>S283</f>
        <v/>
      </c>
      <c r="F287" s="3363"/>
      <c r="G287" s="582" t="s">
        <v>1240</v>
      </c>
      <c r="H287" s="3368" t="str">
        <f>IF(ISBLANK(E189),"",B287+E287)</f>
        <v/>
      </c>
      <c r="I287" s="3369"/>
      <c r="J287" s="584" t="s">
        <v>1584</v>
      </c>
      <c r="U287" s="581"/>
    </row>
    <row r="288" spans="1:21" s="579" customFormat="1" ht="6" customHeight="1">
      <c r="A288" s="586"/>
      <c r="U288" s="581"/>
    </row>
    <row r="289" spans="1:22" s="579" customFormat="1" ht="19.5" customHeight="1">
      <c r="A289" s="586" t="s">
        <v>1603</v>
      </c>
      <c r="B289" s="579" t="s">
        <v>1642</v>
      </c>
      <c r="K289" s="3362" t="str">
        <f>H287</f>
        <v/>
      </c>
      <c r="L289" s="3363"/>
      <c r="M289" s="582" t="s">
        <v>1343</v>
      </c>
      <c r="N289" s="3360" t="str">
        <f>R273</f>
        <v/>
      </c>
      <c r="O289" s="3363"/>
      <c r="P289" s="582" t="s">
        <v>1240</v>
      </c>
      <c r="Q289" s="3377" t="str">
        <f>IF(ISBLANK(E189),"",K289*N289)</f>
        <v/>
      </c>
      <c r="R289" s="3378"/>
      <c r="S289" s="579" t="s">
        <v>1537</v>
      </c>
      <c r="U289" s="581"/>
    </row>
    <row r="290" spans="1:22" s="579" customFormat="1" ht="6" customHeight="1">
      <c r="A290" s="586"/>
      <c r="U290" s="581"/>
    </row>
    <row r="291" spans="1:22" s="579" customFormat="1" ht="15" customHeight="1">
      <c r="A291" s="586"/>
      <c r="B291" s="579" t="s">
        <v>1604</v>
      </c>
      <c r="C291" s="556"/>
      <c r="D291" s="556"/>
      <c r="E291" s="556"/>
      <c r="F291" s="556"/>
      <c r="G291" s="556"/>
      <c r="H291" s="556"/>
      <c r="I291" s="556"/>
      <c r="J291" s="556"/>
      <c r="K291" s="556"/>
      <c r="L291" s="590"/>
      <c r="U291" s="581"/>
      <c r="V291" s="556"/>
    </row>
    <row r="292" spans="1:22" s="579" customFormat="1" ht="6" customHeight="1">
      <c r="A292" s="586"/>
      <c r="U292" s="581"/>
    </row>
    <row r="293" spans="1:22" s="579" customFormat="1" ht="19.5" customHeight="1">
      <c r="A293" s="586"/>
      <c r="B293" s="3360" t="str">
        <f>IF(ISBLANK(E189),"",E41)</f>
        <v/>
      </c>
      <c r="C293" s="3361"/>
      <c r="D293" s="590" t="s">
        <v>1343</v>
      </c>
      <c r="E293" s="3360" t="str">
        <f>K277</f>
        <v/>
      </c>
      <c r="F293" s="3361"/>
      <c r="G293" s="590" t="s">
        <v>1343</v>
      </c>
      <c r="H293" s="3360" t="str">
        <f>R273</f>
        <v/>
      </c>
      <c r="I293" s="3361"/>
      <c r="J293" s="590" t="s">
        <v>1240</v>
      </c>
      <c r="K293" s="3360" t="str">
        <f>IF(ISBLANK(E189),"",B293*E293*H293)</f>
        <v/>
      </c>
      <c r="L293" s="3361"/>
      <c r="M293" s="556" t="s">
        <v>1592</v>
      </c>
      <c r="U293" s="581"/>
    </row>
    <row r="294" spans="1:22" ht="6" customHeight="1">
      <c r="A294" s="2341"/>
      <c r="B294" s="2342"/>
      <c r="C294" s="2342"/>
      <c r="D294" s="2342"/>
      <c r="E294" s="2342"/>
      <c r="F294" s="2342"/>
      <c r="G294" s="2342"/>
      <c r="H294" s="2342"/>
      <c r="I294" s="2342"/>
      <c r="J294" s="2342"/>
      <c r="K294" s="2342"/>
      <c r="L294" s="2342"/>
      <c r="M294" s="2342"/>
      <c r="N294" s="2342"/>
      <c r="O294" s="2342"/>
      <c r="P294" s="2342"/>
      <c r="Q294" s="2342"/>
      <c r="R294" s="2342"/>
      <c r="S294" s="2342"/>
      <c r="T294" s="2342"/>
      <c r="U294" s="2343"/>
      <c r="V294" s="2329"/>
    </row>
    <row r="295" spans="1:22">
      <c r="A295" s="2331"/>
      <c r="B295" s="2329" t="s">
        <v>719</v>
      </c>
      <c r="C295" s="2329"/>
      <c r="D295" s="2329"/>
      <c r="E295" s="2329"/>
      <c r="F295" s="2329"/>
      <c r="G295" s="2329"/>
      <c r="H295" s="2329"/>
      <c r="I295" s="2329"/>
      <c r="J295" s="2329"/>
      <c r="K295" s="2329"/>
      <c r="L295" s="2329"/>
      <c r="M295" s="2329"/>
      <c r="N295" s="2329"/>
      <c r="O295" s="2329"/>
      <c r="P295" s="2329"/>
      <c r="Q295" s="2329"/>
      <c r="R295" s="2329"/>
      <c r="S295" s="2329"/>
      <c r="T295" s="2329"/>
      <c r="U295" s="2332"/>
      <c r="V295" s="2329"/>
    </row>
    <row r="296" spans="1:22">
      <c r="A296" s="2331"/>
      <c r="B296" s="3400"/>
      <c r="C296" s="3401"/>
      <c r="D296" s="3401"/>
      <c r="E296" s="3401"/>
      <c r="F296" s="3401"/>
      <c r="G296" s="3401"/>
      <c r="H296" s="3401"/>
      <c r="I296" s="3401"/>
      <c r="J296" s="3401"/>
      <c r="K296" s="3401"/>
      <c r="L296" s="3401"/>
      <c r="M296" s="3401"/>
      <c r="N296" s="3401"/>
      <c r="O296" s="3401"/>
      <c r="P296" s="3401"/>
      <c r="Q296" s="3401"/>
      <c r="R296" s="3401"/>
      <c r="S296" s="3401"/>
      <c r="T296" s="3401"/>
      <c r="U296" s="3402"/>
      <c r="V296" s="2329"/>
    </row>
    <row r="297" spans="1:22">
      <c r="A297" s="2331"/>
      <c r="B297" s="3403"/>
      <c r="C297" s="3404"/>
      <c r="D297" s="3404"/>
      <c r="E297" s="3404"/>
      <c r="F297" s="3404"/>
      <c r="G297" s="3404"/>
      <c r="H297" s="3404"/>
      <c r="I297" s="3404"/>
      <c r="J297" s="3404"/>
      <c r="K297" s="3404"/>
      <c r="L297" s="3404"/>
      <c r="M297" s="3404"/>
      <c r="N297" s="3404"/>
      <c r="O297" s="3404"/>
      <c r="P297" s="3404"/>
      <c r="Q297" s="3404"/>
      <c r="R297" s="3404"/>
      <c r="S297" s="3404"/>
      <c r="T297" s="3404"/>
      <c r="U297" s="3405"/>
      <c r="V297" s="2329"/>
    </row>
    <row r="298" spans="1:22">
      <c r="A298" s="2331"/>
      <c r="B298" s="3403"/>
      <c r="C298" s="3404"/>
      <c r="D298" s="3404"/>
      <c r="E298" s="3404"/>
      <c r="F298" s="3404"/>
      <c r="G298" s="3404"/>
      <c r="H298" s="3404"/>
      <c r="I298" s="3404"/>
      <c r="J298" s="3404"/>
      <c r="K298" s="3404"/>
      <c r="L298" s="3404"/>
      <c r="M298" s="3404"/>
      <c r="N298" s="3404"/>
      <c r="O298" s="3404"/>
      <c r="P298" s="3404"/>
      <c r="Q298" s="3404"/>
      <c r="R298" s="3404"/>
      <c r="S298" s="3404"/>
      <c r="T298" s="3404"/>
      <c r="U298" s="3405"/>
      <c r="V298" s="2329"/>
    </row>
    <row r="299" spans="1:22">
      <c r="A299" s="2331"/>
      <c r="B299" s="3403"/>
      <c r="C299" s="3404"/>
      <c r="D299" s="3404"/>
      <c r="E299" s="3404"/>
      <c r="F299" s="3404"/>
      <c r="G299" s="3404"/>
      <c r="H299" s="3404"/>
      <c r="I299" s="3404"/>
      <c r="J299" s="3404"/>
      <c r="K299" s="3404"/>
      <c r="L299" s="3404"/>
      <c r="M299" s="3404"/>
      <c r="N299" s="3404"/>
      <c r="O299" s="3404"/>
      <c r="P299" s="3404"/>
      <c r="Q299" s="3404"/>
      <c r="R299" s="3404"/>
      <c r="S299" s="3404"/>
      <c r="T299" s="3404"/>
      <c r="U299" s="3405"/>
      <c r="V299" s="2329"/>
    </row>
    <row r="300" spans="1:22">
      <c r="A300" s="2331"/>
      <c r="B300" s="3403"/>
      <c r="C300" s="3404"/>
      <c r="D300" s="3404"/>
      <c r="E300" s="3404"/>
      <c r="F300" s="3404"/>
      <c r="G300" s="3404"/>
      <c r="H300" s="3404"/>
      <c r="I300" s="3404"/>
      <c r="J300" s="3404"/>
      <c r="K300" s="3404"/>
      <c r="L300" s="3404"/>
      <c r="M300" s="3404"/>
      <c r="N300" s="3404"/>
      <c r="O300" s="3404"/>
      <c r="P300" s="3404"/>
      <c r="Q300" s="3404"/>
      <c r="R300" s="3404"/>
      <c r="S300" s="3404"/>
      <c r="T300" s="3404"/>
      <c r="U300" s="3405"/>
      <c r="V300" s="2329"/>
    </row>
    <row r="301" spans="1:22">
      <c r="A301" s="2331"/>
      <c r="B301" s="3403"/>
      <c r="C301" s="3404"/>
      <c r="D301" s="3404"/>
      <c r="E301" s="3404"/>
      <c r="F301" s="3404"/>
      <c r="G301" s="3404"/>
      <c r="H301" s="3404"/>
      <c r="I301" s="3404"/>
      <c r="J301" s="3404"/>
      <c r="K301" s="3404"/>
      <c r="L301" s="3404"/>
      <c r="M301" s="3404"/>
      <c r="N301" s="3404"/>
      <c r="O301" s="3404"/>
      <c r="P301" s="3404"/>
      <c r="Q301" s="3404"/>
      <c r="R301" s="3404"/>
      <c r="S301" s="3404"/>
      <c r="T301" s="3404"/>
      <c r="U301" s="3405"/>
      <c r="V301" s="2329"/>
    </row>
    <row r="302" spans="1:22">
      <c r="A302" s="2331"/>
      <c r="B302" s="3403"/>
      <c r="C302" s="3404"/>
      <c r="D302" s="3404"/>
      <c r="E302" s="3404"/>
      <c r="F302" s="3404"/>
      <c r="G302" s="3404"/>
      <c r="H302" s="3404"/>
      <c r="I302" s="3404"/>
      <c r="J302" s="3404"/>
      <c r="K302" s="3404"/>
      <c r="L302" s="3404"/>
      <c r="M302" s="3404"/>
      <c r="N302" s="3404"/>
      <c r="O302" s="3404"/>
      <c r="P302" s="3404"/>
      <c r="Q302" s="3404"/>
      <c r="R302" s="3404"/>
      <c r="S302" s="3404"/>
      <c r="T302" s="3404"/>
      <c r="U302" s="3405"/>
      <c r="V302" s="2329"/>
    </row>
    <row r="303" spans="1:22">
      <c r="A303" s="2331"/>
      <c r="B303" s="3406"/>
      <c r="C303" s="3407"/>
      <c r="D303" s="3407"/>
      <c r="E303" s="3407"/>
      <c r="F303" s="3407"/>
      <c r="G303" s="3407"/>
      <c r="H303" s="3407"/>
      <c r="I303" s="3407"/>
      <c r="J303" s="3407"/>
      <c r="K303" s="3407"/>
      <c r="L303" s="3407"/>
      <c r="M303" s="3407"/>
      <c r="N303" s="3407"/>
      <c r="O303" s="3407"/>
      <c r="P303" s="3407"/>
      <c r="Q303" s="3407"/>
      <c r="R303" s="3407"/>
      <c r="S303" s="3407"/>
      <c r="T303" s="3407"/>
      <c r="U303" s="3408"/>
      <c r="V303" s="2329"/>
    </row>
    <row r="304" spans="1:22">
      <c r="A304" s="2341"/>
      <c r="B304" s="2342"/>
      <c r="C304" s="2342"/>
      <c r="D304" s="2342"/>
      <c r="E304" s="2342"/>
      <c r="F304" s="2342"/>
      <c r="G304" s="2342"/>
      <c r="H304" s="2342"/>
      <c r="I304" s="2342"/>
      <c r="J304" s="2342"/>
      <c r="K304" s="2342"/>
      <c r="L304" s="2342"/>
      <c r="M304" s="2342"/>
      <c r="N304" s="2342"/>
      <c r="O304" s="2342"/>
      <c r="P304" s="2342"/>
      <c r="Q304" s="2342"/>
      <c r="R304" s="2342"/>
      <c r="S304" s="2342"/>
      <c r="T304" s="2342"/>
      <c r="U304" s="2343"/>
      <c r="V304" s="2329"/>
    </row>
  </sheetData>
  <customSheetViews>
    <customSheetView guid="{D1431318-1DB8-4C45-813B-5A8065DFC797}" showPageBreaks="1" zeroValues="0" printArea="1" view="pageBreakPreview">
      <selection activeCell="F10" sqref="F10:G10"/>
      <rowBreaks count="3" manualBreakCount="3">
        <brk id="78" max="16383" man="1"/>
        <brk id="166" max="16383" man="1"/>
        <brk id="262" max="16383" man="1"/>
      </rowBreaks>
      <pageMargins left="0" right="0" top="0" bottom="0" header="0" footer="0"/>
      <printOptions horizontalCentered="1"/>
      <pageSetup scale="65" orientation="portrait" blackAndWhite="1" r:id="rId1"/>
    </customSheetView>
  </customSheetViews>
  <mergeCells count="284">
    <mergeCell ref="E1:P1"/>
    <mergeCell ref="E35:F35"/>
    <mergeCell ref="B39:C39"/>
    <mergeCell ref="E39:F39"/>
    <mergeCell ref="H39:I39"/>
    <mergeCell ref="E41:F41"/>
    <mergeCell ref="A79:U79"/>
    <mergeCell ref="B28:C28"/>
    <mergeCell ref="E28:F28"/>
    <mergeCell ref="L33:M33"/>
    <mergeCell ref="O33:P33"/>
    <mergeCell ref="R33:S33"/>
    <mergeCell ref="I28:J28"/>
    <mergeCell ref="I2:J2"/>
    <mergeCell ref="K2:L2"/>
    <mergeCell ref="P24:Q24"/>
    <mergeCell ref="E22:F22"/>
    <mergeCell ref="J24:K24"/>
    <mergeCell ref="B296:U303"/>
    <mergeCell ref="E4:F4"/>
    <mergeCell ref="A6:U6"/>
    <mergeCell ref="F14:G14"/>
    <mergeCell ref="A18:U18"/>
    <mergeCell ref="E20:F20"/>
    <mergeCell ref="L20:M20"/>
    <mergeCell ref="S85:T85"/>
    <mergeCell ref="M87:N87"/>
    <mergeCell ref="C45:D45"/>
    <mergeCell ref="F45:G45"/>
    <mergeCell ref="J45:K45"/>
    <mergeCell ref="M45:N45"/>
    <mergeCell ref="Q47:R47"/>
    <mergeCell ref="K47:L47"/>
    <mergeCell ref="N47:O47"/>
    <mergeCell ref="B74:K75"/>
    <mergeCell ref="C97:D97"/>
    <mergeCell ref="F97:G97"/>
    <mergeCell ref="L97:M97"/>
    <mergeCell ref="P91:Q91"/>
    <mergeCell ref="M91:N91"/>
    <mergeCell ref="E81:F81"/>
    <mergeCell ref="M83:N83"/>
    <mergeCell ref="M85:N85"/>
    <mergeCell ref="P85:Q85"/>
    <mergeCell ref="M89:N89"/>
    <mergeCell ref="P89:Q89"/>
    <mergeCell ref="S89:T89"/>
    <mergeCell ref="S91:T91"/>
    <mergeCell ref="M93:N93"/>
    <mergeCell ref="P93:Q93"/>
    <mergeCell ref="S93:T93"/>
    <mergeCell ref="B107:C107"/>
    <mergeCell ref="E107:F107"/>
    <mergeCell ref="H107:I107"/>
    <mergeCell ref="K107:L107"/>
    <mergeCell ref="N107:O107"/>
    <mergeCell ref="Q107:R107"/>
    <mergeCell ref="M99:N99"/>
    <mergeCell ref="P99:Q99"/>
    <mergeCell ref="S99:T99"/>
    <mergeCell ref="C103:D103"/>
    <mergeCell ref="F103:G103"/>
    <mergeCell ref="J103:K103"/>
    <mergeCell ref="M103:N103"/>
    <mergeCell ref="R111:S111"/>
    <mergeCell ref="B115:C115"/>
    <mergeCell ref="E115:F115"/>
    <mergeCell ref="H115:I115"/>
    <mergeCell ref="K115:L115"/>
    <mergeCell ref="I117:J117"/>
    <mergeCell ref="L117:M117"/>
    <mergeCell ref="O117:P117"/>
    <mergeCell ref="O109:P109"/>
    <mergeCell ref="L111:M111"/>
    <mergeCell ref="O111:P111"/>
    <mergeCell ref="I119:J119"/>
    <mergeCell ref="L119:M119"/>
    <mergeCell ref="O119:P119"/>
    <mergeCell ref="P121:Q121"/>
    <mergeCell ref="S121:T121"/>
    <mergeCell ref="B131:C131"/>
    <mergeCell ref="E131:F131"/>
    <mergeCell ref="H131:I131"/>
    <mergeCell ref="K131:L131"/>
    <mergeCell ref="B125:C125"/>
    <mergeCell ref="E125:F125"/>
    <mergeCell ref="H125:I125"/>
    <mergeCell ref="M121:N121"/>
    <mergeCell ref="A133:U133"/>
    <mergeCell ref="E135:F135"/>
    <mergeCell ref="S143:T143"/>
    <mergeCell ref="E137:F137"/>
    <mergeCell ref="E141:F141"/>
    <mergeCell ref="K127:L127"/>
    <mergeCell ref="N127:O127"/>
    <mergeCell ref="Q127:R127"/>
    <mergeCell ref="S145:T145"/>
    <mergeCell ref="P145:Q145"/>
    <mergeCell ref="M145:N145"/>
    <mergeCell ref="M137:N137"/>
    <mergeCell ref="M139:N139"/>
    <mergeCell ref="P139:Q139"/>
    <mergeCell ref="S139:T139"/>
    <mergeCell ref="M141:N141"/>
    <mergeCell ref="M143:N143"/>
    <mergeCell ref="P143:Q143"/>
    <mergeCell ref="M147:N147"/>
    <mergeCell ref="P147:Q147"/>
    <mergeCell ref="S147:T147"/>
    <mergeCell ref="C151:D151"/>
    <mergeCell ref="F151:G151"/>
    <mergeCell ref="L151:M151"/>
    <mergeCell ref="B161:C161"/>
    <mergeCell ref="E161:F161"/>
    <mergeCell ref="H161:I161"/>
    <mergeCell ref="K161:L161"/>
    <mergeCell ref="N161:O161"/>
    <mergeCell ref="Q161:R161"/>
    <mergeCell ref="M153:N153"/>
    <mergeCell ref="P153:Q153"/>
    <mergeCell ref="S153:T153"/>
    <mergeCell ref="C157:D157"/>
    <mergeCell ref="F157:G157"/>
    <mergeCell ref="J157:K157"/>
    <mergeCell ref="M157:N157"/>
    <mergeCell ref="R165:S165"/>
    <mergeCell ref="B169:C169"/>
    <mergeCell ref="E169:F169"/>
    <mergeCell ref="H169:I169"/>
    <mergeCell ref="K169:L169"/>
    <mergeCell ref="I171:J171"/>
    <mergeCell ref="L171:M171"/>
    <mergeCell ref="O171:P171"/>
    <mergeCell ref="H179:I179"/>
    <mergeCell ref="O163:P163"/>
    <mergeCell ref="L165:M165"/>
    <mergeCell ref="O165:P165"/>
    <mergeCell ref="I173:J173"/>
    <mergeCell ref="L173:M173"/>
    <mergeCell ref="O173:P173"/>
    <mergeCell ref="K175:L175"/>
    <mergeCell ref="M175:N175"/>
    <mergeCell ref="O175:P175"/>
    <mergeCell ref="B185:C185"/>
    <mergeCell ref="E185:F185"/>
    <mergeCell ref="H185:I185"/>
    <mergeCell ref="K185:L185"/>
    <mergeCell ref="I181:J181"/>
    <mergeCell ref="L181:M181"/>
    <mergeCell ref="O181:P181"/>
    <mergeCell ref="B179:C179"/>
    <mergeCell ref="E179:F179"/>
    <mergeCell ref="L199:M199"/>
    <mergeCell ref="O199:P199"/>
    <mergeCell ref="R199:S199"/>
    <mergeCell ref="M207:N207"/>
    <mergeCell ref="P207:Q207"/>
    <mergeCell ref="S207:T207"/>
    <mergeCell ref="A187:U187"/>
    <mergeCell ref="E189:F189"/>
    <mergeCell ref="M195:N195"/>
    <mergeCell ref="F191:G191"/>
    <mergeCell ref="M191:N191"/>
    <mergeCell ref="M193:N193"/>
    <mergeCell ref="P193:Q193"/>
    <mergeCell ref="M197:N197"/>
    <mergeCell ref="P197:Q197"/>
    <mergeCell ref="S197:T197"/>
    <mergeCell ref="S193:T193"/>
    <mergeCell ref="F195:G195"/>
    <mergeCell ref="C211:D211"/>
    <mergeCell ref="F211:G211"/>
    <mergeCell ref="J211:K211"/>
    <mergeCell ref="M211:N211"/>
    <mergeCell ref="B215:C215"/>
    <mergeCell ref="S201:T201"/>
    <mergeCell ref="C205:D205"/>
    <mergeCell ref="F205:G205"/>
    <mergeCell ref="L205:M205"/>
    <mergeCell ref="M201:N201"/>
    <mergeCell ref="P201:Q201"/>
    <mergeCell ref="E215:F215"/>
    <mergeCell ref="H215:I215"/>
    <mergeCell ref="K215:L215"/>
    <mergeCell ref="N215:O215"/>
    <mergeCell ref="Q215:R215"/>
    <mergeCell ref="O217:P217"/>
    <mergeCell ref="L219:M219"/>
    <mergeCell ref="O219:P219"/>
    <mergeCell ref="R219:S219"/>
    <mergeCell ref="B223:C223"/>
    <mergeCell ref="E223:F223"/>
    <mergeCell ref="H223:I223"/>
    <mergeCell ref="K223:L223"/>
    <mergeCell ref="I225:J225"/>
    <mergeCell ref="L225:M225"/>
    <mergeCell ref="O225:P225"/>
    <mergeCell ref="B233:C233"/>
    <mergeCell ref="E233:F233"/>
    <mergeCell ref="K235:L235"/>
    <mergeCell ref="N235:O235"/>
    <mergeCell ref="Q235:R235"/>
    <mergeCell ref="B239:C239"/>
    <mergeCell ref="E239:F239"/>
    <mergeCell ref="H239:I239"/>
    <mergeCell ref="K239:L239"/>
    <mergeCell ref="H233:I233"/>
    <mergeCell ref="P247:Q247"/>
    <mergeCell ref="S247:T247"/>
    <mergeCell ref="F249:G249"/>
    <mergeCell ref="M249:N249"/>
    <mergeCell ref="M251:N251"/>
    <mergeCell ref="P251:Q251"/>
    <mergeCell ref="S251:T251"/>
    <mergeCell ref="P229:Q229"/>
    <mergeCell ref="S229:T229"/>
    <mergeCell ref="M261:N261"/>
    <mergeCell ref="E269:F269"/>
    <mergeCell ref="H269:I269"/>
    <mergeCell ref="K269:L269"/>
    <mergeCell ref="N269:O269"/>
    <mergeCell ref="R253:S253"/>
    <mergeCell ref="M255:N255"/>
    <mergeCell ref="P255:Q255"/>
    <mergeCell ref="S255:T255"/>
    <mergeCell ref="O273:P273"/>
    <mergeCell ref="R273:S273"/>
    <mergeCell ref="B277:C277"/>
    <mergeCell ref="E277:F277"/>
    <mergeCell ref="H277:I277"/>
    <mergeCell ref="K277:L277"/>
    <mergeCell ref="B269:C269"/>
    <mergeCell ref="C265:D265"/>
    <mergeCell ref="F265:G265"/>
    <mergeCell ref="J265:K265"/>
    <mergeCell ref="M265:N265"/>
    <mergeCell ref="K289:L289"/>
    <mergeCell ref="N289:O289"/>
    <mergeCell ref="Q289:R289"/>
    <mergeCell ref="M283:N283"/>
    <mergeCell ref="P283:Q283"/>
    <mergeCell ref="S283:T283"/>
    <mergeCell ref="E287:F287"/>
    <mergeCell ref="H287:I287"/>
    <mergeCell ref="R24:S24"/>
    <mergeCell ref="P30:Q30"/>
    <mergeCell ref="M74:T75"/>
    <mergeCell ref="E83:F83"/>
    <mergeCell ref="E87:F87"/>
    <mergeCell ref="I281:J281"/>
    <mergeCell ref="L281:M281"/>
    <mergeCell ref="O281:P281"/>
    <mergeCell ref="O271:P271"/>
    <mergeCell ref="L273:M273"/>
    <mergeCell ref="I279:J279"/>
    <mergeCell ref="L279:M279"/>
    <mergeCell ref="O279:P279"/>
    <mergeCell ref="P261:Q261"/>
    <mergeCell ref="S261:T261"/>
    <mergeCell ref="Q269:R269"/>
    <mergeCell ref="B293:C293"/>
    <mergeCell ref="E293:F293"/>
    <mergeCell ref="H293:I293"/>
    <mergeCell ref="K293:L293"/>
    <mergeCell ref="F8:G8"/>
    <mergeCell ref="F10:G10"/>
    <mergeCell ref="G12:H12"/>
    <mergeCell ref="F16:G16"/>
    <mergeCell ref="N24:O24"/>
    <mergeCell ref="B287:C287"/>
    <mergeCell ref="F245:G245"/>
    <mergeCell ref="M245:N245"/>
    <mergeCell ref="M247:N247"/>
    <mergeCell ref="L253:M253"/>
    <mergeCell ref="O253:P253"/>
    <mergeCell ref="C259:D259"/>
    <mergeCell ref="F259:G259"/>
    <mergeCell ref="L259:M259"/>
    <mergeCell ref="A241:U241"/>
    <mergeCell ref="E243:F243"/>
    <mergeCell ref="I227:J227"/>
    <mergeCell ref="L227:M227"/>
    <mergeCell ref="O227:P227"/>
    <mergeCell ref="M229:N229"/>
  </mergeCells>
  <printOptions horizontalCentered="1"/>
  <pageMargins left="0.5" right="0.5" top="0.25" bottom="0.25" header="0.3" footer="0.3"/>
  <pageSetup scale="65" orientation="portrait" blackAndWhite="1" r:id="rId2"/>
  <rowBreaks count="3" manualBreakCount="3">
    <brk id="78" max="16383" man="1"/>
    <brk id="166" max="16383" man="1"/>
    <brk id="262" max="16383" man="1"/>
  </rowBreaks>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
    <tabColor rgb="FF339966"/>
  </sheetPr>
  <dimension ref="A1:AN111"/>
  <sheetViews>
    <sheetView showGridLines="0" showZeros="0" view="pageBreakPreview" zoomScaleNormal="100" zoomScaleSheetLayoutView="100" workbookViewId="0">
      <selection activeCell="Y20" sqref="Y20"/>
    </sheetView>
  </sheetViews>
  <sheetFormatPr defaultColWidth="5.42578125" defaultRowHeight="15"/>
  <cols>
    <col min="1" max="20" width="5.42578125" style="1" customWidth="1"/>
    <col min="21" max="21" width="19.42578125" style="1" customWidth="1"/>
    <col min="22" max="31" width="5.42578125" style="1" customWidth="1"/>
    <col min="32" max="32" width="16" style="1" customWidth="1"/>
    <col min="33" max="33" width="5.42578125" style="1" customWidth="1"/>
    <col min="34" max="34" width="7.85546875" style="1" customWidth="1"/>
    <col min="35" max="35" width="5.42578125" style="1"/>
    <col min="36" max="36" width="7.42578125" style="1" bestFit="1" customWidth="1"/>
    <col min="37" max="16384" width="5.42578125" style="1"/>
  </cols>
  <sheetData>
    <row r="1" spans="1:40" ht="54.95" customHeight="1" thickBot="1">
      <c r="A1" s="1384"/>
      <c r="B1" s="1385"/>
      <c r="C1" s="1385"/>
      <c r="D1" s="749"/>
      <c r="E1" s="3453" t="s">
        <v>1643</v>
      </c>
      <c r="F1" s="3453"/>
      <c r="G1" s="3453"/>
      <c r="H1" s="3453"/>
      <c r="I1" s="3453"/>
      <c r="J1" s="3453"/>
      <c r="K1" s="3453"/>
      <c r="L1" s="3453"/>
      <c r="M1" s="3453"/>
      <c r="N1" s="1572"/>
      <c r="O1" s="1386"/>
      <c r="P1" s="1386"/>
      <c r="Q1" s="1386"/>
      <c r="R1" s="1387"/>
      <c r="AH1" s="14"/>
      <c r="AI1" s="23"/>
      <c r="AJ1" s="49"/>
      <c r="AM1" s="23"/>
      <c r="AN1" s="20"/>
    </row>
    <row r="2" spans="1:40" s="440" customFormat="1" ht="15.6" customHeight="1">
      <c r="A2" s="1320"/>
      <c r="B2" s="1321"/>
      <c r="C2" s="1321"/>
      <c r="D2" s="1321"/>
      <c r="E2" s="1321"/>
      <c r="F2" s="1321"/>
      <c r="G2" s="1321"/>
      <c r="H2" s="1321"/>
      <c r="I2" s="3459" t="s">
        <v>1164</v>
      </c>
      <c r="J2" s="3459"/>
      <c r="K2" s="3460" t="str">
        <f>IF(ISBLANK('Design Details &amp; Summary'!S3)," ",'Design Details &amp; Summary'!S3)</f>
        <v xml:space="preserve"> </v>
      </c>
      <c r="L2" s="3460"/>
      <c r="M2" s="1321"/>
      <c r="N2" s="1321"/>
      <c r="O2" s="1321"/>
      <c r="P2" s="1321"/>
      <c r="Q2" s="1321"/>
      <c r="R2" s="2347" t="str">
        <f>'Drop-Down Lists'!A2</f>
        <v>v 05.01.2026</v>
      </c>
      <c r="S2" s="2329"/>
      <c r="T2" s="2329"/>
      <c r="U2" s="2329"/>
      <c r="V2" s="2329"/>
      <c r="W2" s="2329"/>
      <c r="X2" s="2329"/>
      <c r="Y2" s="2329"/>
      <c r="Z2" s="2329"/>
      <c r="AA2" s="2329"/>
      <c r="AB2" s="2329"/>
      <c r="AC2" s="2329"/>
      <c r="AD2" s="2329"/>
      <c r="AE2" s="2329"/>
      <c r="AF2" s="2329"/>
      <c r="AG2" s="2329"/>
      <c r="AH2" s="2329"/>
      <c r="AI2" s="2329"/>
      <c r="AJ2" s="2329"/>
      <c r="AK2" s="2329"/>
      <c r="AL2" s="2329"/>
      <c r="AM2" s="2329"/>
      <c r="AN2" s="2329"/>
    </row>
    <row r="3" spans="1:40" s="440" customFormat="1" ht="5.45" customHeight="1">
      <c r="A3" s="1388"/>
      <c r="B3" s="1183"/>
      <c r="C3" s="1183"/>
      <c r="D3" s="1183"/>
      <c r="E3" s="1183"/>
      <c r="F3" s="1183"/>
      <c r="G3" s="1183"/>
      <c r="H3" s="1183"/>
      <c r="I3" s="1184"/>
      <c r="J3" s="1184"/>
      <c r="K3" s="1185"/>
      <c r="L3" s="1185"/>
      <c r="M3" s="1183"/>
      <c r="N3" s="1183"/>
      <c r="O3" s="1183"/>
      <c r="P3" s="1183"/>
      <c r="Q3" s="1183"/>
      <c r="R3" s="1389"/>
      <c r="S3" s="2329"/>
      <c r="T3" s="2329"/>
      <c r="U3" s="2329"/>
      <c r="V3" s="2329"/>
      <c r="W3" s="2329"/>
      <c r="X3" s="2329"/>
      <c r="Y3" s="2329"/>
      <c r="Z3" s="2329"/>
      <c r="AA3" s="2329"/>
      <c r="AB3" s="2329"/>
      <c r="AC3" s="2329"/>
      <c r="AD3" s="2329"/>
      <c r="AE3" s="2329"/>
      <c r="AF3" s="2329"/>
      <c r="AG3" s="2329"/>
      <c r="AH3" s="2329"/>
      <c r="AI3" s="2329"/>
      <c r="AJ3" s="2329"/>
      <c r="AK3" s="2329"/>
      <c r="AL3" s="2329"/>
      <c r="AM3" s="2329"/>
      <c r="AN3" s="2329"/>
    </row>
    <row r="4" spans="1:40" ht="18" customHeight="1">
      <c r="A4" s="868" t="s">
        <v>475</v>
      </c>
      <c r="B4" s="8" t="s">
        <v>1644</v>
      </c>
      <c r="C4" s="1573"/>
      <c r="D4" s="1573"/>
      <c r="E4" s="1573"/>
      <c r="I4" s="3458"/>
      <c r="J4" s="3458"/>
      <c r="K4" s="525" t="s">
        <v>609</v>
      </c>
      <c r="R4" s="2"/>
      <c r="AH4" s="14"/>
      <c r="AI4" s="23"/>
      <c r="AJ4" s="81"/>
      <c r="AM4" s="23"/>
    </row>
    <row r="5" spans="1:40" ht="3.95" customHeight="1">
      <c r="A5" s="868"/>
      <c r="B5" s="8"/>
      <c r="C5" s="1573"/>
      <c r="D5" s="1573"/>
      <c r="E5" s="1573"/>
      <c r="F5" s="1573"/>
      <c r="G5" s="1573"/>
      <c r="H5" s="1573"/>
      <c r="I5" s="1574"/>
      <c r="J5" s="60"/>
      <c r="K5" s="60"/>
      <c r="L5" s="525"/>
      <c r="R5" s="2"/>
      <c r="AH5" s="14"/>
      <c r="AI5" s="23"/>
      <c r="AJ5" s="81"/>
      <c r="AM5" s="23"/>
    </row>
    <row r="6" spans="1:40" ht="18" customHeight="1">
      <c r="A6" s="868" t="s">
        <v>481</v>
      </c>
      <c r="B6" s="8" t="s">
        <v>1645</v>
      </c>
      <c r="C6" s="1573"/>
      <c r="D6" s="1573"/>
      <c r="E6" s="1573"/>
      <c r="I6" s="3458"/>
      <c r="J6" s="3458"/>
      <c r="K6" s="525" t="s">
        <v>609</v>
      </c>
      <c r="R6" s="2"/>
      <c r="AH6" s="14"/>
      <c r="AI6" s="23"/>
      <c r="AJ6" s="81"/>
      <c r="AM6" s="23"/>
    </row>
    <row r="7" spans="1:40" ht="18" customHeight="1">
      <c r="A7" s="868" t="s">
        <v>487</v>
      </c>
      <c r="B7" s="3" t="s">
        <v>1646</v>
      </c>
      <c r="D7" s="3"/>
      <c r="E7" s="3"/>
      <c r="F7" s="3"/>
      <c r="G7" s="3"/>
      <c r="J7" s="2062"/>
      <c r="K7" s="2062"/>
      <c r="N7" s="4"/>
      <c r="O7" s="4"/>
      <c r="R7" s="2"/>
      <c r="AN7" s="20"/>
    </row>
    <row r="8" spans="1:40" ht="3.95" customHeight="1">
      <c r="A8" s="868"/>
      <c r="B8" s="5"/>
      <c r="D8" s="3"/>
      <c r="E8" s="3"/>
      <c r="F8" s="3"/>
      <c r="G8" s="3"/>
      <c r="J8" s="30"/>
      <c r="K8" s="30"/>
      <c r="M8" s="28"/>
      <c r="N8" s="28"/>
      <c r="O8" s="28"/>
      <c r="R8" s="2"/>
    </row>
    <row r="9" spans="1:40" ht="18" customHeight="1">
      <c r="A9" s="516"/>
      <c r="D9" s="83" t="s">
        <v>1647</v>
      </c>
      <c r="E9" s="3165" t="str">
        <f>IF('Design Details &amp; Summary'!AA77=3,"NA",IF(ISBLANK(I4)," ",I4))</f>
        <v xml:space="preserve"> </v>
      </c>
      <c r="F9" s="3166"/>
      <c r="G9" s="3463" t="s">
        <v>1648</v>
      </c>
      <c r="H9" s="2868"/>
      <c r="I9" s="2869"/>
      <c r="J9" s="3165" t="str">
        <f>IF('Design Details &amp; Summary'!AA77=3,"NA",IF(ISBLANK(I4)," ",(ROUNDUP(((I4-4)/3+1),0))))</f>
        <v xml:space="preserve"> </v>
      </c>
      <c r="K9" s="3166"/>
      <c r="L9" s="1" t="s">
        <v>1553</v>
      </c>
      <c r="M9" s="353"/>
      <c r="N9" s="3456" t="s">
        <v>1649</v>
      </c>
      <c r="O9" s="3456"/>
      <c r="P9" s="3456"/>
      <c r="Q9" s="3456"/>
      <c r="R9" s="3457"/>
    </row>
    <row r="10" spans="1:40" ht="6" customHeight="1">
      <c r="A10" s="868"/>
      <c r="B10" s="5"/>
      <c r="D10" s="3"/>
      <c r="E10" s="3"/>
      <c r="F10" s="3"/>
      <c r="G10" s="3"/>
      <c r="J10" s="30"/>
      <c r="K10" s="30"/>
      <c r="M10" s="28"/>
      <c r="N10" s="28"/>
      <c r="O10" s="28"/>
      <c r="R10" s="2"/>
    </row>
    <row r="11" spans="1:40" ht="18" customHeight="1">
      <c r="A11" s="868" t="s">
        <v>493</v>
      </c>
      <c r="B11" s="3" t="s">
        <v>1650</v>
      </c>
      <c r="D11" s="3"/>
      <c r="E11" s="3"/>
      <c r="F11" s="3"/>
      <c r="G11" s="3"/>
      <c r="I11" s="2940"/>
      <c r="J11" s="3461"/>
      <c r="K11" s="1" t="s">
        <v>1553</v>
      </c>
      <c r="N11" s="4"/>
      <c r="R11" s="2"/>
      <c r="AN11" s="20"/>
    </row>
    <row r="12" spans="1:40" ht="18" customHeight="1">
      <c r="A12" s="868"/>
      <c r="B12" s="5" t="s">
        <v>1651</v>
      </c>
      <c r="C12" s="3"/>
      <c r="D12" s="3"/>
      <c r="E12" s="3"/>
      <c r="J12" s="3462"/>
      <c r="K12" s="3462"/>
      <c r="L12" s="8"/>
      <c r="N12" s="28"/>
      <c r="O12" s="28"/>
      <c r="R12" s="2"/>
      <c r="AN12" s="20"/>
    </row>
    <row r="13" spans="1:40" ht="18" customHeight="1">
      <c r="A13" s="516"/>
      <c r="R13" s="2"/>
      <c r="AN13" s="20"/>
    </row>
    <row r="14" spans="1:40" ht="6" customHeight="1">
      <c r="A14" s="868"/>
      <c r="B14" s="5"/>
      <c r="D14" s="3"/>
      <c r="E14" s="3"/>
      <c r="F14" s="3"/>
      <c r="G14" s="3"/>
      <c r="J14" s="30"/>
      <c r="K14" s="30"/>
      <c r="M14" s="28"/>
      <c r="N14" s="28"/>
      <c r="O14" s="28"/>
      <c r="R14" s="2"/>
    </row>
    <row r="15" spans="1:40" ht="18" customHeight="1">
      <c r="A15" s="868" t="s">
        <v>498</v>
      </c>
      <c r="B15" s="3" t="s">
        <v>1652</v>
      </c>
      <c r="C15" s="3"/>
      <c r="D15" s="3"/>
      <c r="E15" s="3"/>
      <c r="F15" s="3"/>
      <c r="G15" s="3"/>
      <c r="H15" s="3"/>
      <c r="I15" s="3"/>
      <c r="J15" s="3"/>
      <c r="K15" s="3"/>
      <c r="L15" s="3"/>
      <c r="M15" s="3"/>
      <c r="P15" s="3454"/>
      <c r="Q15" s="3455"/>
      <c r="R15" s="1325" t="s">
        <v>609</v>
      </c>
      <c r="S15" s="16"/>
    </row>
    <row r="16" spans="1:40" ht="3.95" customHeight="1">
      <c r="A16" s="868"/>
      <c r="B16" s="5"/>
      <c r="D16" s="3"/>
      <c r="E16" s="3"/>
      <c r="F16" s="3"/>
      <c r="G16" s="3"/>
      <c r="J16" s="30"/>
      <c r="K16" s="30"/>
      <c r="M16" s="28"/>
      <c r="N16" s="28"/>
      <c r="O16" s="28"/>
      <c r="R16" s="2"/>
    </row>
    <row r="17" spans="1:34" ht="18" customHeight="1">
      <c r="A17" s="868" t="s">
        <v>504</v>
      </c>
      <c r="B17" s="7" t="s">
        <v>1653</v>
      </c>
      <c r="C17" s="26"/>
      <c r="D17" s="26"/>
      <c r="E17" s="26"/>
      <c r="F17" s="26"/>
      <c r="G17" s="26"/>
      <c r="H17" s="26"/>
      <c r="I17" s="26"/>
      <c r="J17" s="26"/>
      <c r="K17" s="26"/>
      <c r="L17" s="26"/>
      <c r="M17" s="28"/>
      <c r="N17" s="28"/>
      <c r="O17" s="28"/>
      <c r="R17" s="2"/>
    </row>
    <row r="18" spans="1:34" ht="3.95" customHeight="1">
      <c r="A18" s="516"/>
      <c r="B18" s="26"/>
      <c r="C18" s="26"/>
      <c r="D18" s="26"/>
      <c r="E18" s="26"/>
      <c r="F18" s="26"/>
      <c r="G18" s="26"/>
      <c r="H18" s="26"/>
      <c r="I18" s="26"/>
      <c r="J18" s="26"/>
      <c r="K18" s="26"/>
      <c r="L18" s="26"/>
      <c r="M18" s="28"/>
      <c r="N18" s="28"/>
      <c r="O18" s="28"/>
      <c r="R18" s="2"/>
    </row>
    <row r="19" spans="1:34" ht="18" customHeight="1">
      <c r="A19" s="516"/>
      <c r="B19" s="2870" t="str">
        <f>IF(ISBLANK(I6)," ",I6)</f>
        <v xml:space="preserve"> </v>
      </c>
      <c r="C19" s="2871"/>
      <c r="D19" s="4" t="s">
        <v>988</v>
      </c>
      <c r="E19" s="4" t="s">
        <v>1654</v>
      </c>
      <c r="F19" s="4" t="s">
        <v>1240</v>
      </c>
      <c r="G19" s="3174" t="str">
        <f>IF(ISBLANK(I11)," ",B19-2)</f>
        <v xml:space="preserve"> </v>
      </c>
      <c r="H19" s="3175"/>
      <c r="I19" s="8" t="s">
        <v>609</v>
      </c>
      <c r="J19" s="7" t="s">
        <v>2670</v>
      </c>
      <c r="L19" s="28"/>
      <c r="M19" s="28"/>
      <c r="N19" s="28"/>
      <c r="O19" s="28"/>
      <c r="R19" s="2"/>
    </row>
    <row r="20" spans="1:34" ht="3.95" customHeight="1">
      <c r="A20" s="868"/>
      <c r="B20" s="5"/>
      <c r="D20" s="3"/>
      <c r="E20" s="3"/>
      <c r="F20" s="3"/>
      <c r="G20" s="3"/>
      <c r="J20" s="30"/>
      <c r="K20" s="30"/>
      <c r="M20" s="28"/>
      <c r="N20" s="28"/>
      <c r="O20" s="28"/>
      <c r="R20" s="2"/>
    </row>
    <row r="21" spans="1:34" ht="18" customHeight="1">
      <c r="A21" s="868" t="s">
        <v>510</v>
      </c>
      <c r="B21" s="3" t="s">
        <v>1655</v>
      </c>
      <c r="C21" s="3"/>
      <c r="D21" s="3"/>
      <c r="E21" s="3"/>
      <c r="I21" s="3172"/>
      <c r="J21" s="3173"/>
      <c r="K21" s="8" t="s">
        <v>609</v>
      </c>
      <c r="M21" s="744"/>
      <c r="N21" s="744"/>
      <c r="O21" s="744"/>
      <c r="P21" s="744"/>
      <c r="Q21" s="744"/>
      <c r="R21" s="2"/>
    </row>
    <row r="22" spans="1:34" ht="6" customHeight="1">
      <c r="A22" s="516"/>
      <c r="R22" s="2"/>
    </row>
    <row r="23" spans="1:34" ht="27" customHeight="1">
      <c r="A23" s="1390" t="s">
        <v>515</v>
      </c>
      <c r="B23" s="2946" t="s">
        <v>1656</v>
      </c>
      <c r="C23" s="2946"/>
      <c r="D23" s="2946"/>
      <c r="E23" s="2946"/>
      <c r="F23" s="2946"/>
      <c r="G23" s="2946"/>
      <c r="H23" s="2946"/>
      <c r="I23" s="2946"/>
      <c r="J23" s="2946"/>
      <c r="K23" s="2946"/>
      <c r="L23" s="2946"/>
      <c r="M23" s="2946"/>
      <c r="N23" s="2946"/>
      <c r="O23" s="2946"/>
      <c r="P23" s="2946"/>
      <c r="Q23" s="2946"/>
      <c r="R23" s="3434"/>
    </row>
    <row r="24" spans="1:34" ht="3.95" customHeight="1">
      <c r="A24" s="864"/>
      <c r="B24" s="3"/>
      <c r="C24" s="3"/>
      <c r="D24" s="3"/>
      <c r="E24" s="3"/>
      <c r="F24" s="30"/>
      <c r="G24" s="30"/>
      <c r="H24" s="4"/>
      <c r="I24" s="30"/>
      <c r="J24" s="30"/>
      <c r="L24" s="28"/>
      <c r="M24" s="28"/>
      <c r="N24" s="28"/>
      <c r="O24" s="28"/>
      <c r="R24" s="2"/>
    </row>
    <row r="25" spans="1:34" ht="18" customHeight="1">
      <c r="A25" s="516"/>
      <c r="B25" s="7" t="s">
        <v>1657</v>
      </c>
      <c r="C25" s="3"/>
      <c r="G25" s="3174" t="str">
        <f>IF(ISBLANK(I11),"",G19)</f>
        <v/>
      </c>
      <c r="H25" s="3175"/>
      <c r="I25" s="8" t="s">
        <v>609</v>
      </c>
      <c r="J25" s="9" t="s">
        <v>1558</v>
      </c>
      <c r="K25" s="3431" t="str">
        <f>IF(ISBLANK(I21)," ",I21)</f>
        <v xml:space="preserve"> </v>
      </c>
      <c r="L25" s="3432"/>
      <c r="M25" s="8" t="s">
        <v>609</v>
      </c>
      <c r="N25" s="4" t="s">
        <v>1240</v>
      </c>
      <c r="O25" s="3418" t="str">
        <f>IF(ISERROR(ROUNDDOWN((G25/K25),0))," ",ROUNDDOWN((G25/K25),0))</f>
        <v xml:space="preserve"> </v>
      </c>
      <c r="P25" s="3419"/>
      <c r="Q25" s="3" t="s">
        <v>1658</v>
      </c>
      <c r="R25" s="2"/>
    </row>
    <row r="26" spans="1:34" ht="3.95" customHeight="1">
      <c r="A26" s="864"/>
      <c r="B26" s="3"/>
      <c r="C26" s="3"/>
      <c r="D26" s="3"/>
      <c r="E26" s="3"/>
      <c r="F26" s="30"/>
      <c r="G26" s="30"/>
      <c r="H26" s="4"/>
      <c r="I26" s="30"/>
      <c r="J26" s="30"/>
      <c r="L26" s="28"/>
      <c r="M26" s="28"/>
      <c r="N26" s="28"/>
      <c r="O26" s="28"/>
      <c r="R26" s="2"/>
    </row>
    <row r="27" spans="1:34" ht="40.5" customHeight="1">
      <c r="A27" s="1390" t="s">
        <v>519</v>
      </c>
      <c r="B27" s="3448" t="s">
        <v>1659</v>
      </c>
      <c r="C27" s="3449"/>
      <c r="D27" s="3449"/>
      <c r="E27" s="3449"/>
      <c r="F27" s="3449"/>
      <c r="G27" s="3449"/>
      <c r="H27" s="3449"/>
      <c r="I27" s="3449"/>
      <c r="J27" s="3449"/>
      <c r="K27" s="3449"/>
      <c r="L27" s="3449"/>
      <c r="M27" s="3449"/>
      <c r="N27" s="3449"/>
      <c r="O27" s="3449"/>
      <c r="P27" s="3449"/>
      <c r="Q27" s="3449"/>
      <c r="R27" s="3450"/>
      <c r="AH27" s="28"/>
    </row>
    <row r="28" spans="1:34" ht="3.95" customHeight="1">
      <c r="A28" s="864"/>
      <c r="B28" s="3"/>
      <c r="C28" s="3"/>
      <c r="D28" s="3"/>
      <c r="E28" s="3"/>
      <c r="F28" s="30"/>
      <c r="G28" s="30"/>
      <c r="H28" s="4"/>
      <c r="I28" s="30"/>
      <c r="J28" s="30"/>
      <c r="L28" s="28"/>
      <c r="M28" s="28"/>
      <c r="N28" s="28"/>
      <c r="O28" s="28"/>
      <c r="R28" s="2"/>
    </row>
    <row r="29" spans="1:34" ht="18" customHeight="1">
      <c r="A29" s="864"/>
      <c r="B29" s="3446" t="s">
        <v>1660</v>
      </c>
      <c r="C29" s="3446"/>
      <c r="D29" s="3446"/>
      <c r="E29" s="3446"/>
      <c r="F29" s="3446"/>
      <c r="G29" s="3447"/>
      <c r="H29" s="3418" t="str">
        <f>O25</f>
        <v xml:space="preserve"> </v>
      </c>
      <c r="I29" s="3419"/>
      <c r="J29" s="50" t="s">
        <v>1661</v>
      </c>
      <c r="K29" s="3"/>
      <c r="L29" s="4"/>
      <c r="M29" s="3418" t="str">
        <f>IF(ISERROR(H29+1)," ",H29+1)</f>
        <v xml:space="preserve"> </v>
      </c>
      <c r="N29" s="3419"/>
      <c r="O29" s="1" t="s">
        <v>1662</v>
      </c>
      <c r="R29" s="2"/>
      <c r="V29" s="9"/>
      <c r="Y29" s="3"/>
      <c r="Z29" s="3"/>
      <c r="AA29" s="3"/>
      <c r="AB29" s="3"/>
      <c r="AC29" s="3"/>
      <c r="AD29" s="3"/>
      <c r="AE29" s="3"/>
      <c r="AH29" s="28"/>
    </row>
    <row r="30" spans="1:34" ht="3.95" customHeight="1">
      <c r="A30" s="516"/>
      <c r="M30" s="744"/>
      <c r="N30" s="744"/>
      <c r="O30" s="744"/>
      <c r="P30" s="744"/>
      <c r="Q30" s="744"/>
      <c r="R30" s="2"/>
    </row>
    <row r="31" spans="1:34" ht="18" customHeight="1">
      <c r="A31" s="1423" t="s">
        <v>524</v>
      </c>
      <c r="B31" s="3" t="s">
        <v>1663</v>
      </c>
      <c r="C31" s="3"/>
      <c r="D31" s="3"/>
      <c r="E31" s="3"/>
      <c r="I31" s="2872"/>
      <c r="J31" s="2874"/>
      <c r="K31" s="8" t="s">
        <v>629</v>
      </c>
      <c r="M31" s="744"/>
      <c r="N31" s="2063">
        <f>IF(I31="1/4","0.25",IF(I31="3/16","0.1875",IF(I31="1/8","0.125",IF(I31="7/32","0.21875",))))</f>
        <v>0</v>
      </c>
      <c r="O31" s="2064"/>
      <c r="P31" s="744"/>
      <c r="Q31" s="744"/>
      <c r="R31" s="2"/>
    </row>
    <row r="32" spans="1:34" ht="3.95" customHeight="1">
      <c r="A32" s="516"/>
      <c r="B32" s="26"/>
      <c r="C32" s="26"/>
      <c r="D32" s="26"/>
      <c r="E32" s="26"/>
      <c r="F32" s="26"/>
      <c r="G32" s="26"/>
      <c r="H32" s="26"/>
      <c r="I32" s="26"/>
      <c r="J32" s="26"/>
      <c r="K32" s="26"/>
      <c r="L32" s="26"/>
      <c r="M32" s="28"/>
      <c r="N32" s="28"/>
      <c r="O32" s="28"/>
      <c r="R32" s="2"/>
    </row>
    <row r="33" spans="1:34" ht="18" customHeight="1">
      <c r="A33" s="868" t="s">
        <v>477</v>
      </c>
      <c r="B33" s="5" t="s">
        <v>1664</v>
      </c>
      <c r="I33" s="3224"/>
      <c r="J33" s="3225"/>
      <c r="K33" s="8" t="s">
        <v>629</v>
      </c>
      <c r="R33" s="2"/>
    </row>
    <row r="34" spans="1:34" ht="3.95" customHeight="1">
      <c r="A34" s="868"/>
      <c r="B34" s="5"/>
      <c r="I34" s="17"/>
      <c r="J34" s="17"/>
      <c r="K34" s="8"/>
      <c r="L34" s="3464" t="s">
        <v>1665</v>
      </c>
      <c r="M34" s="3464"/>
      <c r="N34" s="3464"/>
      <c r="O34" s="3464"/>
      <c r="P34" s="3464"/>
      <c r="Q34" s="3464"/>
      <c r="R34" s="3464"/>
    </row>
    <row r="35" spans="1:34" ht="18" customHeight="1">
      <c r="A35" s="868" t="s">
        <v>483</v>
      </c>
      <c r="B35" s="3" t="s">
        <v>1666</v>
      </c>
      <c r="D35" s="3"/>
      <c r="E35" s="3"/>
      <c r="F35" s="3"/>
      <c r="G35" s="3"/>
      <c r="I35" s="3224"/>
      <c r="J35" s="3225"/>
      <c r="K35" s="8"/>
      <c r="L35" s="3464"/>
      <c r="M35" s="3464"/>
      <c r="N35" s="3464"/>
      <c r="O35" s="3464"/>
      <c r="P35" s="3464"/>
      <c r="Q35" s="3464"/>
      <c r="R35" s="3464"/>
    </row>
    <row r="36" spans="1:34" ht="3.95" customHeight="1">
      <c r="A36" s="868"/>
      <c r="B36" s="5"/>
      <c r="I36" s="17"/>
      <c r="J36" s="17"/>
      <c r="K36" s="8"/>
      <c r="L36" s="3464"/>
      <c r="M36" s="3464"/>
      <c r="N36" s="3464"/>
      <c r="O36" s="3464"/>
      <c r="P36" s="3464"/>
      <c r="Q36" s="3464"/>
      <c r="R36" s="3464"/>
    </row>
    <row r="37" spans="1:34">
      <c r="A37" s="516"/>
      <c r="R37" s="2"/>
    </row>
    <row r="38" spans="1:34">
      <c r="A38" s="516"/>
      <c r="R38" s="2"/>
    </row>
    <row r="39" spans="1:34">
      <c r="A39" s="516"/>
      <c r="R39" s="2"/>
    </row>
    <row r="40" spans="1:34">
      <c r="A40" s="516"/>
      <c r="R40" s="2"/>
    </row>
    <row r="41" spans="1:34">
      <c r="A41" s="516"/>
      <c r="R41" s="2"/>
    </row>
    <row r="42" spans="1:34">
      <c r="A42" s="516"/>
      <c r="R42" s="2"/>
    </row>
    <row r="43" spans="1:34">
      <c r="A43" s="516"/>
      <c r="R43" s="2"/>
    </row>
    <row r="44" spans="1:34" ht="34.5" customHeight="1">
      <c r="A44" s="864"/>
      <c r="B44" s="2077"/>
      <c r="C44" s="2075"/>
      <c r="D44" s="2075"/>
      <c r="E44" s="2075"/>
      <c r="F44" s="2075"/>
      <c r="G44" s="2075"/>
      <c r="H44" s="2075"/>
      <c r="I44" s="2075"/>
      <c r="J44" s="2075"/>
      <c r="K44" s="2075"/>
      <c r="L44" s="2075"/>
      <c r="M44" s="2075"/>
      <c r="N44" s="2075"/>
      <c r="O44" s="2075"/>
      <c r="P44" s="2075"/>
      <c r="Q44" s="2075"/>
      <c r="R44" s="2076"/>
      <c r="V44" s="9"/>
      <c r="Y44" s="3"/>
      <c r="Z44" s="3"/>
      <c r="AA44" s="3"/>
      <c r="AB44" s="3"/>
      <c r="AC44" s="3"/>
      <c r="AD44" s="3"/>
      <c r="AE44" s="3"/>
      <c r="AH44" s="28"/>
    </row>
    <row r="45" spans="1:34" ht="34.5" customHeight="1">
      <c r="A45" s="864"/>
      <c r="B45" s="1382"/>
      <c r="C45" s="1382"/>
      <c r="D45" s="1382"/>
      <c r="E45" s="1382"/>
      <c r="F45" s="1382"/>
      <c r="G45" s="1382"/>
      <c r="H45" s="1382"/>
      <c r="I45" s="1382"/>
      <c r="J45" s="1382"/>
      <c r="K45" s="744"/>
      <c r="L45" s="744"/>
      <c r="M45" s="744"/>
      <c r="N45" s="744"/>
      <c r="O45" s="744"/>
      <c r="P45" s="744"/>
      <c r="Q45" s="744"/>
      <c r="R45" s="1847"/>
      <c r="V45" s="9"/>
      <c r="Y45" s="3"/>
      <c r="Z45" s="3"/>
      <c r="AA45" s="3"/>
      <c r="AB45" s="3"/>
      <c r="AC45" s="3"/>
      <c r="AD45" s="3"/>
      <c r="AE45" s="3"/>
      <c r="AH45" s="28"/>
    </row>
    <row r="46" spans="1:34" ht="34.5" customHeight="1">
      <c r="A46" s="864"/>
      <c r="B46" s="1382"/>
      <c r="C46" s="1382"/>
      <c r="D46" s="1382"/>
      <c r="E46" s="1382"/>
      <c r="F46" s="1382"/>
      <c r="G46" s="1382"/>
      <c r="H46" s="1382"/>
      <c r="I46" s="1382"/>
      <c r="J46" s="1382"/>
      <c r="K46" s="744"/>
      <c r="L46" s="744"/>
      <c r="M46" s="744"/>
      <c r="N46" s="744"/>
      <c r="O46" s="744"/>
      <c r="P46" s="744"/>
      <c r="Q46" s="744"/>
      <c r="R46" s="1847"/>
      <c r="V46" s="9"/>
      <c r="Y46" s="3"/>
      <c r="Z46" s="3"/>
      <c r="AA46" s="3"/>
      <c r="AB46" s="3"/>
      <c r="AC46" s="3"/>
      <c r="AD46" s="3"/>
      <c r="AE46" s="3"/>
      <c r="AH46" s="28"/>
    </row>
    <row r="47" spans="1:34" ht="13.5" customHeight="1" thickBot="1">
      <c r="A47" s="1018"/>
      <c r="B47" s="1898"/>
      <c r="C47" s="1898"/>
      <c r="D47" s="1898"/>
      <c r="E47" s="1898"/>
      <c r="F47" s="1898"/>
      <c r="G47" s="1898"/>
      <c r="H47" s="1898"/>
      <c r="I47" s="1898"/>
      <c r="J47" s="1898"/>
      <c r="K47" s="1899"/>
      <c r="L47" s="1899"/>
      <c r="M47" s="1899"/>
      <c r="N47" s="1899"/>
      <c r="O47" s="1899"/>
      <c r="P47" s="1899"/>
      <c r="Q47" s="1899"/>
      <c r="R47" s="1900"/>
      <c r="V47" s="9"/>
      <c r="Y47" s="3"/>
      <c r="Z47" s="3"/>
      <c r="AA47" s="3"/>
      <c r="AB47" s="3"/>
      <c r="AC47" s="3"/>
      <c r="AD47" s="3"/>
      <c r="AE47" s="3"/>
      <c r="AH47" s="28"/>
    </row>
    <row r="48" spans="1:34" ht="9.9499999999999993" customHeight="1">
      <c r="A48" s="864"/>
      <c r="B48" s="1382"/>
      <c r="C48" s="1382"/>
      <c r="D48" s="1382"/>
      <c r="E48" s="1382"/>
      <c r="F48" s="1382"/>
      <c r="G48" s="1382"/>
      <c r="H48" s="1382"/>
      <c r="I48" s="1382"/>
      <c r="J48" s="1382"/>
      <c r="K48" s="744"/>
      <c r="L48" s="744"/>
      <c r="M48" s="744"/>
      <c r="N48" s="744"/>
      <c r="O48" s="744"/>
      <c r="P48" s="744"/>
      <c r="Q48" s="744"/>
      <c r="R48" s="1847"/>
      <c r="V48" s="9"/>
      <c r="Y48" s="3"/>
      <c r="Z48" s="3"/>
      <c r="AA48" s="3"/>
      <c r="AB48" s="3"/>
      <c r="AC48" s="3"/>
      <c r="AD48" s="3"/>
      <c r="AE48" s="3"/>
      <c r="AH48" s="28"/>
    </row>
    <row r="49" spans="1:34" ht="34.5" customHeight="1">
      <c r="A49" s="864"/>
      <c r="B49" s="1382"/>
      <c r="C49" s="1382"/>
      <c r="D49" s="1382"/>
      <c r="E49" s="1382"/>
      <c r="F49" s="1382"/>
      <c r="G49" s="1382"/>
      <c r="H49" s="1382"/>
      <c r="I49" s="1382"/>
      <c r="J49" s="1382"/>
      <c r="K49" s="744"/>
      <c r="L49" s="744"/>
      <c r="M49" s="744"/>
      <c r="N49" s="744"/>
      <c r="O49" s="744"/>
      <c r="P49" s="744"/>
      <c r="Q49" s="744"/>
      <c r="R49" s="1847"/>
      <c r="V49" s="9"/>
      <c r="Y49" s="3"/>
      <c r="Z49" s="3"/>
      <c r="AA49" s="3"/>
      <c r="AB49" s="3"/>
      <c r="AC49" s="3"/>
      <c r="AD49" s="3"/>
      <c r="AE49" s="3"/>
      <c r="AH49" s="28"/>
    </row>
    <row r="50" spans="1:34" ht="34.5" customHeight="1">
      <c r="A50" s="864"/>
      <c r="B50" s="1436"/>
      <c r="C50" s="1382"/>
      <c r="D50" s="1382"/>
      <c r="E50" s="1382"/>
      <c r="F50" s="1382"/>
      <c r="G50" s="1382"/>
      <c r="H50" s="1382"/>
      <c r="I50" s="1382"/>
      <c r="J50" s="1382"/>
      <c r="K50" s="744"/>
      <c r="L50" s="744"/>
      <c r="M50" s="744"/>
      <c r="N50" s="744"/>
      <c r="O50" s="744"/>
      <c r="P50" s="744"/>
      <c r="Q50" s="744"/>
      <c r="R50" s="1847"/>
      <c r="V50" s="9"/>
      <c r="Y50" s="3"/>
      <c r="Z50" s="3"/>
      <c r="AA50" s="3"/>
      <c r="AB50" s="3"/>
      <c r="AC50" s="3"/>
      <c r="AD50" s="3"/>
      <c r="AE50" s="3"/>
      <c r="AH50" s="28"/>
    </row>
    <row r="51" spans="1:34" ht="35.25" customHeight="1">
      <c r="A51" s="864"/>
      <c r="B51" s="1436"/>
      <c r="C51" s="1382"/>
      <c r="D51" s="1382"/>
      <c r="E51" s="1382"/>
      <c r="F51" s="1382"/>
      <c r="G51" s="1382"/>
      <c r="H51" s="1382"/>
      <c r="I51" s="1382"/>
      <c r="J51" s="1382"/>
      <c r="K51" s="744"/>
      <c r="L51" s="744"/>
      <c r="M51" s="744"/>
      <c r="N51" s="744"/>
      <c r="O51" s="744"/>
      <c r="P51" s="744"/>
      <c r="Q51" s="744"/>
      <c r="R51" s="1847"/>
      <c r="V51" s="9"/>
      <c r="Y51" s="3"/>
      <c r="Z51" s="3"/>
      <c r="AA51" s="3"/>
      <c r="AB51" s="3"/>
      <c r="AC51" s="3"/>
      <c r="AD51" s="3"/>
      <c r="AE51" s="3"/>
      <c r="AH51" s="28"/>
    </row>
    <row r="52" spans="1:34" ht="8.1" customHeight="1">
      <c r="A52" s="564"/>
      <c r="B52" s="345"/>
      <c r="C52" s="345"/>
      <c r="D52" s="8"/>
      <c r="E52" s="4"/>
      <c r="F52" s="4"/>
      <c r="G52" s="1575"/>
      <c r="H52" s="1575"/>
      <c r="I52" s="8"/>
      <c r="L52" s="4"/>
      <c r="M52" s="345"/>
      <c r="N52" s="345"/>
      <c r="O52" s="4"/>
      <c r="R52" s="2"/>
    </row>
    <row r="53" spans="1:34" ht="15.95" customHeight="1">
      <c r="A53" s="864"/>
      <c r="B53" s="2868" t="s">
        <v>1667</v>
      </c>
      <c r="C53" s="2868"/>
      <c r="D53" s="2868"/>
      <c r="E53" s="2868"/>
      <c r="F53" s="2868"/>
      <c r="G53" s="2868"/>
      <c r="H53" s="4"/>
      <c r="I53" s="4"/>
      <c r="J53" s="30"/>
      <c r="K53" s="2868" t="s">
        <v>1668</v>
      </c>
      <c r="L53" s="2868"/>
      <c r="M53" s="2868"/>
      <c r="N53" s="2868"/>
      <c r="O53" s="2868"/>
      <c r="P53" s="2868"/>
      <c r="Q53" s="1576"/>
      <c r="R53" s="1391"/>
      <c r="S53" s="16"/>
    </row>
    <row r="54" spans="1:34" ht="18" customHeight="1">
      <c r="A54" s="864"/>
      <c r="B54" s="4" t="s">
        <v>1669</v>
      </c>
      <c r="C54" s="30"/>
      <c r="D54" s="3445" t="str">
        <f>M29</f>
        <v xml:space="preserve"> </v>
      </c>
      <c r="E54" s="3445"/>
      <c r="F54" s="31"/>
      <c r="G54" s="31"/>
      <c r="H54" s="4"/>
      <c r="I54" s="8" t="s">
        <v>1670</v>
      </c>
      <c r="K54" s="30"/>
      <c r="L54" s="4"/>
      <c r="N54" s="2167" t="str">
        <f>IF(ISBLANK(I21)," ",(ROUNDUP((M29/2),0)))</f>
        <v xml:space="preserve"> </v>
      </c>
      <c r="O54" s="1577" t="s">
        <v>1671</v>
      </c>
      <c r="P54" s="2167" t="str">
        <f>IF(ISBLANK(I21)," ",(M29-N54))</f>
        <v xml:space="preserve"> </v>
      </c>
      <c r="Q54" s="1576"/>
      <c r="R54" s="1391"/>
      <c r="S54" s="16"/>
    </row>
    <row r="55" spans="1:34" ht="3.95" customHeight="1">
      <c r="A55" s="864"/>
      <c r="B55" s="4"/>
      <c r="C55" s="30"/>
      <c r="D55" s="4"/>
      <c r="E55" s="4"/>
      <c r="F55" s="31"/>
      <c r="G55" s="31"/>
      <c r="H55" s="4"/>
      <c r="I55" s="8"/>
      <c r="K55" s="30"/>
      <c r="L55" s="4"/>
      <c r="N55" s="6"/>
      <c r="O55" s="1577"/>
      <c r="P55" s="6"/>
      <c r="Q55" s="1576"/>
      <c r="R55" s="1391"/>
      <c r="S55" s="16"/>
    </row>
    <row r="56" spans="1:34" ht="18" customHeight="1">
      <c r="A56" s="864"/>
      <c r="B56" s="4"/>
      <c r="C56" s="30"/>
      <c r="D56" s="4"/>
      <c r="E56" s="4"/>
      <c r="F56" s="31"/>
      <c r="H56" s="8" t="s">
        <v>1672</v>
      </c>
      <c r="K56" s="30"/>
      <c r="L56" s="4"/>
      <c r="O56" s="1804"/>
      <c r="P56" s="2168" t="s">
        <v>1671</v>
      </c>
      <c r="Q56" s="1804"/>
      <c r="R56" s="1391"/>
      <c r="S56" s="16"/>
    </row>
    <row r="57" spans="1:34" ht="10.5" customHeight="1">
      <c r="A57" s="864"/>
      <c r="B57" s="4"/>
      <c r="C57" s="30"/>
      <c r="D57" s="4"/>
      <c r="E57" s="4"/>
      <c r="F57" s="31"/>
      <c r="G57" s="31"/>
      <c r="H57" s="4"/>
      <c r="I57" s="1578" t="s">
        <v>1673</v>
      </c>
      <c r="K57" s="30"/>
      <c r="L57" s="4"/>
      <c r="P57" s="1577"/>
      <c r="R57" s="1391"/>
      <c r="S57" s="16"/>
    </row>
    <row r="58" spans="1:34" ht="3.95" customHeight="1">
      <c r="A58" s="864"/>
      <c r="B58" s="4"/>
      <c r="C58" s="30"/>
      <c r="D58" s="4"/>
      <c r="E58" s="4"/>
      <c r="F58" s="31"/>
      <c r="G58" s="31"/>
      <c r="H58" s="4"/>
      <c r="I58" s="1578"/>
      <c r="K58" s="30"/>
      <c r="L58" s="4"/>
      <c r="P58" s="1577"/>
      <c r="R58" s="1391"/>
      <c r="S58" s="16"/>
    </row>
    <row r="59" spans="1:34" ht="18" customHeight="1">
      <c r="A59" s="3451" t="s">
        <v>1674</v>
      </c>
      <c r="B59" s="2868"/>
      <c r="C59" s="2868"/>
      <c r="D59" s="2868"/>
      <c r="E59" s="2868"/>
      <c r="F59" s="3452"/>
      <c r="G59" s="3452"/>
      <c r="H59" s="4"/>
      <c r="I59" s="1578"/>
      <c r="J59" s="2868" t="s">
        <v>1675</v>
      </c>
      <c r="K59" s="2868"/>
      <c r="L59" s="2868"/>
      <c r="M59" s="2868"/>
      <c r="N59" s="2868"/>
      <c r="O59" s="2868"/>
      <c r="P59" s="3452"/>
      <c r="Q59" s="3452"/>
      <c r="R59" s="1391"/>
      <c r="S59" s="16"/>
    </row>
    <row r="60" spans="1:34" ht="3.95" customHeight="1">
      <c r="A60" s="864"/>
      <c r="B60" s="4"/>
      <c r="C60" s="30"/>
      <c r="D60" s="4"/>
      <c r="E60" s="4"/>
      <c r="F60" s="31"/>
      <c r="G60" s="31"/>
      <c r="H60" s="4"/>
      <c r="I60" s="1578"/>
      <c r="K60" s="30"/>
      <c r="L60" s="4"/>
      <c r="P60" s="1577"/>
      <c r="R60" s="1391"/>
      <c r="S60" s="16"/>
    </row>
    <row r="61" spans="1:34" ht="18" customHeight="1">
      <c r="A61" s="1016" t="s">
        <v>489</v>
      </c>
      <c r="B61" s="3441" t="s">
        <v>1676</v>
      </c>
      <c r="C61" s="3441"/>
      <c r="D61" s="3441"/>
      <c r="E61" s="3441"/>
      <c r="F61" s="3441"/>
      <c r="G61" s="3441"/>
      <c r="H61" s="3441"/>
      <c r="I61" s="3441"/>
      <c r="J61" s="3441"/>
      <c r="K61" s="3441"/>
      <c r="L61" s="3441"/>
      <c r="M61" s="3441"/>
      <c r="N61" s="3441"/>
      <c r="O61" s="3441"/>
      <c r="P61" s="3441"/>
      <c r="Q61" s="3441"/>
      <c r="R61" s="3442"/>
    </row>
    <row r="62" spans="1:34" ht="13.5" customHeight="1">
      <c r="A62" s="864"/>
      <c r="B62" s="3443"/>
      <c r="C62" s="3443"/>
      <c r="D62" s="3443"/>
      <c r="E62" s="3443"/>
      <c r="F62" s="3443"/>
      <c r="G62" s="3443"/>
      <c r="H62" s="3443"/>
      <c r="I62" s="3443"/>
      <c r="J62" s="3443"/>
      <c r="K62" s="3443"/>
      <c r="L62" s="3443"/>
      <c r="M62" s="3443"/>
      <c r="N62" s="3443"/>
      <c r="O62" s="3443"/>
      <c r="P62" s="3443"/>
      <c r="Q62" s="3443"/>
      <c r="R62" s="3444"/>
    </row>
    <row r="63" spans="1:34" ht="3.95" customHeight="1">
      <c r="A63" s="564"/>
      <c r="B63" s="345"/>
      <c r="C63" s="345"/>
      <c r="D63" s="8"/>
      <c r="E63" s="4"/>
      <c r="F63" s="4"/>
      <c r="G63" s="1575"/>
      <c r="H63" s="1575"/>
      <c r="I63" s="8"/>
      <c r="L63" s="4"/>
      <c r="M63" s="345"/>
      <c r="N63" s="345"/>
      <c r="O63" s="4"/>
      <c r="R63" s="2"/>
    </row>
    <row r="64" spans="1:34" ht="18" customHeight="1">
      <c r="A64" s="864"/>
      <c r="B64" s="3418" t="str">
        <f>M29</f>
        <v xml:space="preserve"> </v>
      </c>
      <c r="C64" s="3419"/>
      <c r="D64" s="8" t="s">
        <v>1677</v>
      </c>
      <c r="E64" s="8"/>
      <c r="F64" s="8"/>
      <c r="G64" s="3418" t="str">
        <f>IF(ISBLANK(I11)," ",I11)</f>
        <v xml:space="preserve"> </v>
      </c>
      <c r="H64" s="3419"/>
      <c r="I64" s="8" t="s">
        <v>1678</v>
      </c>
      <c r="L64" s="4"/>
      <c r="M64" s="3418" t="str">
        <f>IF(ISERROR(B64*G64)," ",B64*G64)</f>
        <v xml:space="preserve"> </v>
      </c>
      <c r="N64" s="3419"/>
      <c r="O64" s="8" t="s">
        <v>1679</v>
      </c>
      <c r="R64" s="2"/>
    </row>
    <row r="65" spans="1:19" ht="6" customHeight="1">
      <c r="A65" s="864"/>
      <c r="B65" s="30"/>
      <c r="C65" s="30"/>
      <c r="D65" s="8"/>
      <c r="E65" s="6"/>
      <c r="F65" s="31"/>
      <c r="G65" s="31"/>
      <c r="H65" s="4"/>
      <c r="I65" s="4"/>
      <c r="J65" s="30"/>
      <c r="R65" s="1897"/>
      <c r="S65" s="16"/>
    </row>
    <row r="66" spans="1:19" ht="6" customHeight="1">
      <c r="A66" s="564"/>
      <c r="B66" s="3"/>
      <c r="C66" s="30"/>
      <c r="D66" s="30"/>
      <c r="E66" s="4"/>
      <c r="F66" s="4"/>
      <c r="G66" s="4"/>
      <c r="H66" s="27"/>
      <c r="I66" s="27"/>
      <c r="K66" s="4"/>
      <c r="L66" s="4"/>
      <c r="M66" s="2065"/>
      <c r="N66" s="2065"/>
      <c r="O66" s="2065"/>
      <c r="P66" s="2065"/>
      <c r="Q66" s="2065"/>
      <c r="R66" s="1897"/>
    </row>
    <row r="67" spans="1:19" ht="6" customHeight="1">
      <c r="A67" s="564"/>
      <c r="B67" s="345"/>
      <c r="C67" s="345"/>
      <c r="D67" s="8"/>
      <c r="E67" s="4"/>
      <c r="F67" s="4"/>
      <c r="G67" s="1575"/>
      <c r="H67" s="1575"/>
      <c r="I67" s="8"/>
      <c r="L67" s="4"/>
      <c r="M67" s="345"/>
      <c r="N67" s="345"/>
      <c r="O67" s="4"/>
      <c r="R67" s="2"/>
    </row>
    <row r="68" spans="1:19" ht="18" customHeight="1">
      <c r="A68" s="1323" t="s">
        <v>495</v>
      </c>
      <c r="B68" s="8" t="s">
        <v>1680</v>
      </c>
      <c r="D68" s="3"/>
      <c r="E68" s="3"/>
      <c r="F68" s="3"/>
      <c r="G68" s="3"/>
      <c r="H68" s="3"/>
      <c r="I68" s="3"/>
      <c r="J68" s="3"/>
      <c r="R68" s="2"/>
    </row>
    <row r="69" spans="1:19" ht="18" customHeight="1">
      <c r="A69" s="864"/>
      <c r="B69" s="1579" t="s">
        <v>1681</v>
      </c>
      <c r="C69" s="30"/>
      <c r="D69" s="8"/>
      <c r="E69" s="6"/>
      <c r="F69" s="31"/>
      <c r="G69" s="31"/>
      <c r="H69" s="4"/>
      <c r="I69" s="4"/>
      <c r="J69" s="30"/>
      <c r="K69" s="30"/>
      <c r="L69" s="4"/>
      <c r="P69" s="1576"/>
      <c r="Q69" s="1576"/>
      <c r="R69" s="1391"/>
      <c r="S69" s="16"/>
    </row>
    <row r="70" spans="1:19" ht="18" customHeight="1">
      <c r="A70" s="1333" t="s">
        <v>1682</v>
      </c>
      <c r="B70" s="29" t="s">
        <v>1683</v>
      </c>
      <c r="D70" s="3"/>
      <c r="E70" s="3"/>
      <c r="F70" s="3"/>
      <c r="G70" s="3"/>
      <c r="H70" s="3"/>
      <c r="I70" s="3"/>
      <c r="J70" s="3"/>
      <c r="P70" s="3433"/>
      <c r="Q70" s="3433"/>
      <c r="R70" s="3465"/>
    </row>
    <row r="71" spans="1:19" ht="3.95" customHeight="1">
      <c r="A71" s="864"/>
      <c r="B71" s="3"/>
      <c r="C71" s="3"/>
      <c r="D71" s="3"/>
      <c r="E71" s="3"/>
      <c r="F71" s="3"/>
      <c r="G71" s="3"/>
      <c r="H71" s="3"/>
      <c r="I71" s="3"/>
      <c r="J71" s="3"/>
      <c r="P71" s="3433"/>
      <c r="Q71" s="3433"/>
      <c r="R71" s="3465"/>
    </row>
    <row r="72" spans="1:19" ht="20.100000000000001" customHeight="1">
      <c r="A72" s="864"/>
      <c r="B72" s="3169" t="str">
        <f>IF(ISBLANK(I4)," ",I4)</f>
        <v xml:space="preserve"> </v>
      </c>
      <c r="C72" s="3170"/>
      <c r="D72" s="8" t="s">
        <v>1229</v>
      </c>
      <c r="E72" s="3169" t="str">
        <f>IF(ISBLANK(B19),"",B19)</f>
        <v xml:space="preserve"> </v>
      </c>
      <c r="F72" s="3170"/>
      <c r="G72" s="4" t="s">
        <v>1279</v>
      </c>
      <c r="H72" s="3418" t="str">
        <f>IF(ISBLANK(I11)," ",(B72*E72))</f>
        <v xml:space="preserve"> </v>
      </c>
      <c r="I72" s="3419"/>
      <c r="J72" s="8" t="s">
        <v>1089</v>
      </c>
      <c r="P72" s="3433"/>
      <c r="Q72" s="3433"/>
      <c r="R72" s="3465"/>
      <c r="S72" s="16"/>
    </row>
    <row r="73" spans="1:19" ht="6" customHeight="1">
      <c r="A73" s="864"/>
      <c r="B73" s="30"/>
      <c r="C73" s="30"/>
      <c r="D73" s="8"/>
      <c r="E73" s="6"/>
      <c r="F73" s="31"/>
      <c r="G73" s="31"/>
      <c r="H73" s="4"/>
      <c r="I73" s="4"/>
      <c r="J73" s="30"/>
      <c r="K73" s="30"/>
      <c r="L73" s="4"/>
      <c r="P73" s="1576"/>
      <c r="Q73" s="1576"/>
      <c r="R73" s="1391"/>
      <c r="S73" s="16"/>
    </row>
    <row r="74" spans="1:19" ht="18" customHeight="1">
      <c r="A74" s="1333" t="s">
        <v>1684</v>
      </c>
      <c r="B74" s="5" t="s">
        <v>1685</v>
      </c>
      <c r="D74" s="3"/>
      <c r="E74" s="3"/>
      <c r="F74" s="3"/>
      <c r="G74" s="3"/>
      <c r="H74" s="3"/>
      <c r="I74" s="3"/>
      <c r="J74" s="3"/>
      <c r="P74" s="6"/>
      <c r="Q74" s="6"/>
      <c r="R74" s="3420"/>
    </row>
    <row r="75" spans="1:19" ht="6" customHeight="1">
      <c r="A75" s="564"/>
      <c r="B75" s="3"/>
      <c r="C75" s="3"/>
      <c r="D75" s="3"/>
      <c r="E75" s="3"/>
      <c r="F75" s="3"/>
      <c r="G75" s="3"/>
      <c r="H75" s="3"/>
      <c r="I75" s="3"/>
      <c r="J75" s="3"/>
      <c r="P75" s="6"/>
      <c r="Q75" s="6"/>
      <c r="R75" s="3420"/>
    </row>
    <row r="76" spans="1:19" ht="20.100000000000001" customHeight="1">
      <c r="A76" s="564"/>
      <c r="B76" s="3418" t="str">
        <f>H72</f>
        <v xml:space="preserve"> </v>
      </c>
      <c r="C76" s="3419"/>
      <c r="D76" s="8" t="s">
        <v>1686</v>
      </c>
      <c r="E76" s="3418" t="str">
        <f>M64</f>
        <v xml:space="preserve"> </v>
      </c>
      <c r="F76" s="3419"/>
      <c r="G76" s="3" t="s">
        <v>1687</v>
      </c>
      <c r="H76" s="3165" t="str">
        <f>IF(ISERROR(B76/E76),"",B76/E76)</f>
        <v/>
      </c>
      <c r="I76" s="3166"/>
      <c r="J76" s="8" t="s">
        <v>1688</v>
      </c>
      <c r="P76" s="2897"/>
      <c r="Q76" s="2897"/>
      <c r="R76" s="1392"/>
    </row>
    <row r="77" spans="1:19" ht="6" customHeight="1">
      <c r="A77" s="564"/>
      <c r="B77" s="3"/>
      <c r="C77" s="30"/>
      <c r="D77" s="16"/>
      <c r="E77" s="4"/>
      <c r="F77" s="4"/>
      <c r="G77" s="4"/>
      <c r="H77" s="27"/>
      <c r="I77" s="27"/>
      <c r="K77" s="4"/>
      <c r="L77" s="4"/>
      <c r="R77" s="2"/>
    </row>
    <row r="78" spans="1:19" ht="18" customHeight="1">
      <c r="A78" s="868" t="s">
        <v>500</v>
      </c>
      <c r="B78" s="3" t="s">
        <v>1689</v>
      </c>
      <c r="C78" s="3"/>
      <c r="D78" s="3"/>
      <c r="E78" s="3"/>
      <c r="H78" s="3172"/>
      <c r="I78" s="3173"/>
      <c r="J78" s="3" t="s">
        <v>609</v>
      </c>
      <c r="P78" s="2897"/>
      <c r="Q78" s="2897"/>
      <c r="R78" s="1392"/>
    </row>
    <row r="79" spans="1:19" ht="6" customHeight="1">
      <c r="A79" s="864"/>
      <c r="B79" s="3"/>
      <c r="C79" s="3"/>
      <c r="D79" s="3"/>
      <c r="E79" s="3"/>
      <c r="F79" s="3"/>
      <c r="G79" s="3"/>
      <c r="H79" s="3"/>
      <c r="L79" s="15"/>
      <c r="P79" s="2897"/>
      <c r="Q79" s="2897"/>
      <c r="R79" s="1392"/>
    </row>
    <row r="80" spans="1:19" ht="18" customHeight="1">
      <c r="A80" s="868" t="s">
        <v>506</v>
      </c>
      <c r="B80" s="3" t="s">
        <v>1690</v>
      </c>
      <c r="C80" s="3"/>
      <c r="D80" s="3"/>
      <c r="E80" s="3"/>
      <c r="F80" s="3"/>
      <c r="H80" s="3"/>
      <c r="J80" s="3169" t="str">
        <f>IF(ISBLANK(H78)," ",(19.65*0.6*N31^2*H78^0.5))</f>
        <v xml:space="preserve"> </v>
      </c>
      <c r="K80" s="3170"/>
      <c r="L80" s="8" t="s">
        <v>1691</v>
      </c>
      <c r="Q80" s="6"/>
      <c r="R80" s="1392"/>
    </row>
    <row r="81" spans="1:19" ht="6" customHeight="1">
      <c r="A81" s="864"/>
      <c r="B81" s="3"/>
      <c r="C81" s="3"/>
      <c r="D81" s="3"/>
      <c r="E81" s="3"/>
      <c r="F81" s="3"/>
      <c r="G81" s="3"/>
      <c r="H81" s="3"/>
      <c r="I81" s="3"/>
      <c r="J81" s="3"/>
      <c r="R81" s="2"/>
    </row>
    <row r="82" spans="1:19" ht="18" customHeight="1">
      <c r="A82" s="1390" t="s">
        <v>511</v>
      </c>
      <c r="B82" s="2946" t="s">
        <v>1692</v>
      </c>
      <c r="C82" s="2946"/>
      <c r="D82" s="2946"/>
      <c r="E82" s="2946"/>
      <c r="F82" s="2946"/>
      <c r="G82" s="2946"/>
      <c r="H82" s="2946"/>
      <c r="I82" s="2946"/>
      <c r="J82" s="2946"/>
      <c r="K82" s="2946"/>
      <c r="L82" s="2946"/>
      <c r="M82" s="2946"/>
      <c r="N82" s="2946"/>
      <c r="O82" s="2946"/>
      <c r="P82" s="2946"/>
      <c r="Q82" s="2946"/>
      <c r="R82" s="3434"/>
    </row>
    <row r="83" spans="1:19" ht="3.95" customHeight="1">
      <c r="A83" s="516"/>
      <c r="B83" s="10"/>
      <c r="C83" s="10"/>
      <c r="D83" s="10"/>
      <c r="E83" s="10"/>
      <c r="F83" s="10"/>
      <c r="G83" s="10"/>
      <c r="H83" s="10"/>
      <c r="I83" s="10"/>
      <c r="J83" s="10"/>
      <c r="K83" s="10"/>
      <c r="L83" s="10"/>
      <c r="R83" s="2"/>
    </row>
    <row r="84" spans="1:19" ht="18" customHeight="1">
      <c r="A84" s="564"/>
      <c r="B84" s="3418" t="str">
        <f>M64</f>
        <v xml:space="preserve"> </v>
      </c>
      <c r="C84" s="3419"/>
      <c r="D84" s="8" t="s">
        <v>1693</v>
      </c>
      <c r="E84" s="4"/>
      <c r="F84" s="3169" t="str">
        <f>J80</f>
        <v xml:space="preserve"> </v>
      </c>
      <c r="G84" s="3170"/>
      <c r="H84" s="8" t="s">
        <v>1694</v>
      </c>
      <c r="L84" s="3431" t="str">
        <f>IF(ISERROR(ROUNDUP((B84*F84),0))," ",ROUNDUP((B84*F84),0))</f>
        <v xml:space="preserve"> </v>
      </c>
      <c r="M84" s="3432"/>
      <c r="N84" s="4" t="s">
        <v>1034</v>
      </c>
      <c r="R84" s="2"/>
    </row>
    <row r="85" spans="1:19" ht="6" customHeight="1">
      <c r="A85" s="516"/>
      <c r="M85" s="27"/>
      <c r="R85" s="2"/>
    </row>
    <row r="86" spans="1:19" ht="18" customHeight="1">
      <c r="A86" s="868" t="s">
        <v>516</v>
      </c>
      <c r="B86" s="5" t="s">
        <v>1695</v>
      </c>
      <c r="D86" s="3"/>
      <c r="E86" s="3"/>
      <c r="F86" s="3"/>
      <c r="L86" s="3429" t="str">
        <f>IF(ISBLANK(I33)," ",IF(I33=1,"0.045",IF(I33=1.25,"0.078",IF(I33=1.5,"0.110",IF(I33=2,"0.170",IF(I33=3,"0.380"))))))</f>
        <v xml:space="preserve"> </v>
      </c>
      <c r="M86" s="3430"/>
      <c r="N86" s="3" t="s">
        <v>1696</v>
      </c>
      <c r="R86" s="2"/>
    </row>
    <row r="87" spans="1:19" ht="3.95" customHeight="1">
      <c r="A87" s="516"/>
      <c r="M87" s="27"/>
      <c r="R87" s="2"/>
    </row>
    <row r="88" spans="1:19" ht="18" customHeight="1">
      <c r="A88" s="1323" t="s">
        <v>520</v>
      </c>
      <c r="B88" s="1580" t="s">
        <v>1697</v>
      </c>
      <c r="D88" s="10"/>
      <c r="E88" s="10"/>
      <c r="G88" s="3421" t="s">
        <v>1698</v>
      </c>
      <c r="H88" s="3421"/>
      <c r="I88" s="3421"/>
      <c r="J88" s="3421"/>
      <c r="K88" s="3421"/>
      <c r="L88" s="3421"/>
      <c r="M88" s="3421"/>
      <c r="N88" s="3421"/>
      <c r="O88" s="2066"/>
      <c r="P88" s="2066"/>
      <c r="Q88" s="2066"/>
      <c r="R88" s="2"/>
    </row>
    <row r="89" spans="1:19" ht="18" customHeight="1">
      <c r="A89" s="516"/>
      <c r="B89" s="3422" t="s">
        <v>1699</v>
      </c>
      <c r="C89" s="3422"/>
      <c r="D89" s="3422"/>
      <c r="E89" s="3422"/>
      <c r="F89" s="3422"/>
      <c r="G89" s="3422"/>
      <c r="H89" s="3422"/>
      <c r="I89" s="3422"/>
      <c r="J89" s="3422"/>
      <c r="K89" s="3422"/>
      <c r="L89" s="3422"/>
      <c r="M89" s="3422"/>
      <c r="N89" s="3422"/>
      <c r="O89" s="2066"/>
      <c r="P89" s="2066"/>
      <c r="Q89" s="2066"/>
      <c r="R89" s="2"/>
    </row>
    <row r="90" spans="1:19" ht="6" customHeight="1">
      <c r="A90" s="516"/>
      <c r="R90" s="2"/>
      <c r="S90" s="13"/>
    </row>
    <row r="91" spans="1:19" ht="18" customHeight="1">
      <c r="A91" s="516"/>
      <c r="B91" s="3165" t="str">
        <f>IF(ISBLANK(I11)," ",I11)</f>
        <v xml:space="preserve"> </v>
      </c>
      <c r="C91" s="3166"/>
      <c r="D91" s="4" t="s">
        <v>1343</v>
      </c>
      <c r="E91" s="3174" t="str">
        <f>G19</f>
        <v xml:space="preserve"> </v>
      </c>
      <c r="F91" s="3175"/>
      <c r="G91" s="4" t="s">
        <v>1229</v>
      </c>
      <c r="H91" s="3429" t="str">
        <f>IF(ISBLANK(L86)," ",L86)</f>
        <v xml:space="preserve"> </v>
      </c>
      <c r="I91" s="3430"/>
      <c r="J91" s="8" t="s">
        <v>1700</v>
      </c>
      <c r="L91" s="3174" t="str">
        <f>IF(ISBLANK(I11)," ",((B91*E91*H91)))</f>
        <v xml:space="preserve"> </v>
      </c>
      <c r="M91" s="3437"/>
      <c r="N91" s="3" t="s">
        <v>1002</v>
      </c>
      <c r="R91" s="2"/>
      <c r="S91" s="13"/>
    </row>
    <row r="92" spans="1:19" ht="6" customHeight="1">
      <c r="A92" s="516"/>
      <c r="R92" s="2"/>
      <c r="S92" s="13"/>
    </row>
    <row r="93" spans="1:19" ht="18" customHeight="1">
      <c r="A93" s="1323" t="s">
        <v>525</v>
      </c>
      <c r="B93" s="1" t="s">
        <v>1701</v>
      </c>
      <c r="R93" s="2"/>
      <c r="S93" s="13"/>
    </row>
    <row r="94" spans="1:19" ht="3.95" customHeight="1">
      <c r="A94" s="516"/>
      <c r="R94" s="2"/>
      <c r="S94" s="13"/>
    </row>
    <row r="95" spans="1:19" ht="18" customHeight="1">
      <c r="A95" s="516"/>
      <c r="B95" s="3174" t="str">
        <f>L91</f>
        <v xml:space="preserve"> </v>
      </c>
      <c r="C95" s="3175"/>
      <c r="D95" s="2935" t="s">
        <v>1702</v>
      </c>
      <c r="E95" s="3436"/>
      <c r="F95" s="3436"/>
      <c r="G95" s="3174" t="str">
        <f>IF(ISBLANK(I33),"",B95*4)</f>
        <v/>
      </c>
      <c r="H95" s="3437"/>
      <c r="I95" s="3" t="s">
        <v>1002</v>
      </c>
      <c r="R95" s="2"/>
      <c r="S95" s="13"/>
    </row>
    <row r="96" spans="1:19" ht="3.95" customHeight="1">
      <c r="A96" s="516"/>
      <c r="R96" s="2"/>
      <c r="S96" s="13"/>
    </row>
    <row r="97" spans="1:18" ht="18" customHeight="1">
      <c r="A97" s="1323" t="s">
        <v>479</v>
      </c>
      <c r="B97" s="1" t="s">
        <v>1703</v>
      </c>
      <c r="C97" s="31"/>
      <c r="D97" s="30"/>
      <c r="E97" s="31"/>
      <c r="F97" s="31"/>
      <c r="G97" s="30"/>
      <c r="I97" s="51"/>
      <c r="J97" s="30"/>
      <c r="K97" s="27"/>
      <c r="L97" s="27"/>
      <c r="M97" s="3"/>
      <c r="R97" s="2"/>
    </row>
    <row r="98" spans="1:18" ht="3.95" customHeight="1">
      <c r="A98" s="516"/>
      <c r="B98" s="31"/>
      <c r="C98" s="31"/>
      <c r="D98" s="30"/>
      <c r="E98" s="31"/>
      <c r="F98" s="31"/>
      <c r="G98" s="30"/>
      <c r="H98" s="51"/>
      <c r="I98" s="51"/>
      <c r="J98" s="30"/>
      <c r="K98" s="27"/>
      <c r="L98" s="27"/>
      <c r="M98" s="3"/>
      <c r="R98" s="2"/>
    </row>
    <row r="99" spans="1:18" ht="18" customHeight="1">
      <c r="A99" s="516"/>
      <c r="B99" s="3181" t="str">
        <f>IF(ISBLANK('Design Details &amp; Summary'!I11)," ",'Design Details &amp; Summary'!I11)</f>
        <v/>
      </c>
      <c r="C99" s="3181"/>
      <c r="D99" s="2935" t="s">
        <v>1704</v>
      </c>
      <c r="E99" s="3438"/>
      <c r="F99" s="3438"/>
      <c r="G99" s="3439" t="str">
        <f>IF(ISBLANK(I33),"",B99*0.25)</f>
        <v/>
      </c>
      <c r="H99" s="3440"/>
      <c r="I99" s="3" t="s">
        <v>1002</v>
      </c>
      <c r="R99" s="2"/>
    </row>
    <row r="100" spans="1:18" ht="3.95" customHeight="1">
      <c r="A100" s="517"/>
      <c r="B100" s="8"/>
      <c r="C100" s="8"/>
      <c r="D100" s="8"/>
      <c r="E100" s="674"/>
      <c r="F100" s="674"/>
      <c r="G100" s="8"/>
      <c r="H100" s="8"/>
      <c r="I100" s="3"/>
      <c r="J100" s="3"/>
      <c r="K100" s="3"/>
      <c r="R100" s="2"/>
    </row>
    <row r="101" spans="1:18" ht="18" customHeight="1">
      <c r="A101" s="868" t="s">
        <v>485</v>
      </c>
      <c r="B101" s="8" t="s">
        <v>1705</v>
      </c>
      <c r="C101" s="8"/>
      <c r="D101" s="8"/>
      <c r="E101" s="674"/>
      <c r="F101" s="674"/>
      <c r="G101" s="8"/>
      <c r="K101" s="3435" t="str">
        <f>IF(ISBLANK(I33)," ",IF(G95&lt;=G99,"Volume ratio correct",(IF(G95&gt;G99,"Check pipe diameter/perf size"," "))))</f>
        <v xml:space="preserve"> </v>
      </c>
      <c r="L101" s="3435"/>
      <c r="M101" s="3435"/>
      <c r="N101" s="3435"/>
      <c r="O101" s="3435"/>
      <c r="P101" s="3435"/>
      <c r="Q101" s="27"/>
      <c r="R101" s="2"/>
    </row>
    <row r="102" spans="1:18" ht="3.95" customHeight="1">
      <c r="A102" s="1393"/>
      <c r="B102" s="1383"/>
      <c r="C102" s="1383"/>
      <c r="D102" s="1383"/>
      <c r="E102" s="1581"/>
      <c r="F102" s="1581"/>
      <c r="G102" s="1383"/>
      <c r="H102" s="1383"/>
      <c r="I102" s="1382"/>
      <c r="J102" s="1382"/>
      <c r="K102" s="3"/>
      <c r="L102" s="25"/>
      <c r="M102" s="25"/>
      <c r="N102" s="25"/>
      <c r="O102" s="25"/>
      <c r="P102" s="25"/>
      <c r="Q102" s="25"/>
      <c r="R102" s="1335"/>
    </row>
    <row r="103" spans="1:18" ht="18" customHeight="1">
      <c r="A103" s="1346" t="s">
        <v>1160</v>
      </c>
      <c r="B103" s="37"/>
      <c r="C103" s="37"/>
      <c r="D103" s="37"/>
      <c r="E103" s="37"/>
      <c r="F103" s="37"/>
      <c r="G103" s="37"/>
      <c r="H103" s="37"/>
      <c r="I103" s="37"/>
      <c r="J103" s="37"/>
      <c r="K103" s="37"/>
      <c r="L103" s="37"/>
      <c r="M103" s="37"/>
      <c r="N103" s="37"/>
      <c r="O103" s="37"/>
      <c r="P103" s="37"/>
      <c r="Q103" s="37"/>
      <c r="R103" s="1331"/>
    </row>
    <row r="104" spans="1:18">
      <c r="A104" s="3423"/>
      <c r="B104" s="3424"/>
      <c r="C104" s="3424"/>
      <c r="D104" s="3424"/>
      <c r="E104" s="3424"/>
      <c r="F104" s="3424"/>
      <c r="G104" s="3424"/>
      <c r="H104" s="3424"/>
      <c r="I104" s="3424"/>
      <c r="J104" s="3424"/>
      <c r="K104" s="3424"/>
      <c r="L104" s="3424"/>
      <c r="M104" s="3424"/>
      <c r="N104" s="3424"/>
      <c r="O104" s="3424"/>
      <c r="P104" s="3424"/>
      <c r="Q104" s="3424"/>
      <c r="R104" s="3425"/>
    </row>
    <row r="105" spans="1:18">
      <c r="A105" s="3423"/>
      <c r="B105" s="3424"/>
      <c r="C105" s="3424"/>
      <c r="D105" s="3424"/>
      <c r="E105" s="3424"/>
      <c r="F105" s="3424"/>
      <c r="G105" s="3424"/>
      <c r="H105" s="3424"/>
      <c r="I105" s="3424"/>
      <c r="J105" s="3424"/>
      <c r="K105" s="3424"/>
      <c r="L105" s="3424"/>
      <c r="M105" s="3424"/>
      <c r="N105" s="3424"/>
      <c r="O105" s="3424"/>
      <c r="P105" s="3424"/>
      <c r="Q105" s="3424"/>
      <c r="R105" s="3425"/>
    </row>
    <row r="106" spans="1:18" ht="15.75" thickBot="1">
      <c r="A106" s="3426"/>
      <c r="B106" s="3427"/>
      <c r="C106" s="3427"/>
      <c r="D106" s="3427"/>
      <c r="E106" s="3427"/>
      <c r="F106" s="3427"/>
      <c r="G106" s="3427"/>
      <c r="H106" s="3427"/>
      <c r="I106" s="3427"/>
      <c r="J106" s="3427"/>
      <c r="K106" s="3427"/>
      <c r="L106" s="3427"/>
      <c r="M106" s="3427"/>
      <c r="N106" s="3427"/>
      <c r="O106" s="3427"/>
      <c r="P106" s="3427"/>
      <c r="Q106" s="3427"/>
      <c r="R106" s="3428"/>
    </row>
    <row r="107" spans="1:18">
      <c r="A107" s="1187"/>
      <c r="B107" s="1187"/>
      <c r="C107" s="1187"/>
      <c r="D107" s="1187"/>
      <c r="E107" s="1187"/>
      <c r="F107" s="1187"/>
      <c r="G107" s="1187"/>
      <c r="H107" s="1187"/>
      <c r="I107" s="1187"/>
      <c r="J107" s="1187"/>
      <c r="K107" s="1187"/>
      <c r="L107" s="1187"/>
      <c r="M107" s="1187"/>
      <c r="N107" s="1187"/>
      <c r="O107" s="1187"/>
      <c r="P107" s="1187"/>
      <c r="Q107" s="1187"/>
      <c r="R107" s="1187"/>
    </row>
    <row r="108" spans="1:18">
      <c r="A108" s="1187"/>
      <c r="B108" s="1187"/>
      <c r="C108" s="1187"/>
      <c r="D108" s="1187"/>
      <c r="E108" s="1187"/>
      <c r="F108" s="1187"/>
      <c r="G108" s="1187"/>
      <c r="H108" s="1187"/>
      <c r="I108" s="1187"/>
      <c r="J108" s="1187"/>
      <c r="K108" s="1187"/>
      <c r="L108" s="1187"/>
      <c r="M108" s="1187"/>
      <c r="N108" s="1187"/>
      <c r="O108" s="1187"/>
      <c r="P108" s="1187"/>
      <c r="Q108" s="1187"/>
      <c r="R108" s="1187"/>
    </row>
    <row r="109" spans="1:18">
      <c r="A109" s="335"/>
      <c r="B109" s="335"/>
      <c r="C109" s="335"/>
      <c r="D109" s="335"/>
      <c r="E109" s="335"/>
      <c r="F109" s="335"/>
      <c r="G109" s="335"/>
      <c r="H109" s="335"/>
      <c r="I109" s="335"/>
      <c r="J109" s="335"/>
      <c r="K109" s="335"/>
      <c r="L109" s="335"/>
      <c r="M109" s="335"/>
      <c r="N109" s="335"/>
      <c r="O109" s="335"/>
      <c r="P109" s="335"/>
      <c r="Q109" s="335"/>
      <c r="R109" s="335"/>
    </row>
    <row r="110" spans="1:18">
      <c r="A110" s="335"/>
      <c r="B110" s="335"/>
      <c r="C110" s="335"/>
      <c r="D110" s="335"/>
      <c r="E110" s="335"/>
      <c r="F110" s="335"/>
      <c r="G110" s="335"/>
      <c r="H110" s="335"/>
      <c r="I110" s="335"/>
      <c r="J110" s="335"/>
      <c r="K110" s="335"/>
      <c r="L110" s="335"/>
      <c r="M110" s="335"/>
      <c r="N110" s="335"/>
      <c r="O110" s="335"/>
      <c r="P110" s="335"/>
      <c r="Q110" s="335"/>
      <c r="R110" s="335"/>
    </row>
    <row r="111" spans="1:18">
      <c r="A111" s="335"/>
      <c r="B111" s="335"/>
      <c r="C111" s="335"/>
      <c r="D111" s="335"/>
      <c r="E111" s="335"/>
      <c r="F111" s="335"/>
      <c r="G111" s="335"/>
      <c r="H111" s="335"/>
      <c r="I111" s="335"/>
      <c r="J111" s="335"/>
      <c r="K111" s="335"/>
      <c r="L111" s="335"/>
      <c r="M111" s="335"/>
      <c r="N111" s="335"/>
      <c r="O111" s="335"/>
      <c r="P111" s="335"/>
      <c r="Q111" s="335"/>
      <c r="R111" s="335"/>
    </row>
  </sheetData>
  <sheetProtection sheet="1" objects="1" scenarios="1"/>
  <customSheetViews>
    <customSheetView guid="{3320ADAB-1745-4CE0-B739-BF2E8269138B}" showGridLines="0" fitToPage="1" showRuler="0" topLeftCell="A4">
      <selection activeCell="J73" sqref="J73:K73"/>
      <pageMargins left="0" right="0" top="0" bottom="0" header="0" footer="0"/>
      <printOptions horizontalCentered="1"/>
      <pageSetup scale="59" orientation="portrait" r:id="rId1"/>
      <headerFooter alignWithMargins="0"/>
    </customSheetView>
    <customSheetView guid="{D1431318-1DB8-4C45-813B-5A8065DFC797}" showPageBreaks="1" showGridLines="0" zeroValues="0" printArea="1" view="pageBreakPreview">
      <selection activeCell="J4" sqref="J4:K4"/>
      <rowBreaks count="1" manualBreakCount="1">
        <brk id="44" max="16383" man="1"/>
      </rowBreaks>
      <pageMargins left="0" right="0" top="0" bottom="0" header="0" footer="0"/>
      <printOptions horizontalCentered="1"/>
      <pageSetup fitToHeight="2" orientation="portrait" blackAndWhite="1" r:id="rId2"/>
      <headerFooter alignWithMargins="0"/>
    </customSheetView>
  </customSheetViews>
  <mergeCells count="71">
    <mergeCell ref="B72:C72"/>
    <mergeCell ref="M64:N64"/>
    <mergeCell ref="O25:P25"/>
    <mergeCell ref="K25:L25"/>
    <mergeCell ref="E72:F72"/>
    <mergeCell ref="I35:J35"/>
    <mergeCell ref="G25:H25"/>
    <mergeCell ref="I31:J31"/>
    <mergeCell ref="P59:Q59"/>
    <mergeCell ref="J59:O59"/>
    <mergeCell ref="L34:R36"/>
    <mergeCell ref="H72:I72"/>
    <mergeCell ref="R70:R72"/>
    <mergeCell ref="E1:M1"/>
    <mergeCell ref="E9:F9"/>
    <mergeCell ref="P15:Q15"/>
    <mergeCell ref="N9:R9"/>
    <mergeCell ref="I6:J6"/>
    <mergeCell ref="I2:J2"/>
    <mergeCell ref="K2:L2"/>
    <mergeCell ref="I11:J11"/>
    <mergeCell ref="J12:K12"/>
    <mergeCell ref="J9:K9"/>
    <mergeCell ref="G9:I9"/>
    <mergeCell ref="I4:J4"/>
    <mergeCell ref="B19:C19"/>
    <mergeCell ref="G19:H19"/>
    <mergeCell ref="B64:C64"/>
    <mergeCell ref="B61:R62"/>
    <mergeCell ref="D54:E54"/>
    <mergeCell ref="I33:J33"/>
    <mergeCell ref="B29:G29"/>
    <mergeCell ref="I21:J21"/>
    <mergeCell ref="B27:R27"/>
    <mergeCell ref="B23:R23"/>
    <mergeCell ref="H29:I29"/>
    <mergeCell ref="M29:N29"/>
    <mergeCell ref="A59:E59"/>
    <mergeCell ref="F59:G59"/>
    <mergeCell ref="K101:P101"/>
    <mergeCell ref="D95:F95"/>
    <mergeCell ref="B95:C95"/>
    <mergeCell ref="B91:C91"/>
    <mergeCell ref="G95:H95"/>
    <mergeCell ref="E91:F91"/>
    <mergeCell ref="H91:I91"/>
    <mergeCell ref="L91:M91"/>
    <mergeCell ref="B99:C99"/>
    <mergeCell ref="D99:F99"/>
    <mergeCell ref="G99:H99"/>
    <mergeCell ref="B89:N89"/>
    <mergeCell ref="A104:R106"/>
    <mergeCell ref="B53:G53"/>
    <mergeCell ref="K53:P53"/>
    <mergeCell ref="L86:M86"/>
    <mergeCell ref="B76:C76"/>
    <mergeCell ref="B84:C84"/>
    <mergeCell ref="F84:G84"/>
    <mergeCell ref="L84:M84"/>
    <mergeCell ref="G64:H64"/>
    <mergeCell ref="P70:Q72"/>
    <mergeCell ref="B82:R82"/>
    <mergeCell ref="P76:Q76"/>
    <mergeCell ref="P78:Q78"/>
    <mergeCell ref="J80:K80"/>
    <mergeCell ref="H76:I76"/>
    <mergeCell ref="E76:F76"/>
    <mergeCell ref="R74:R75"/>
    <mergeCell ref="P79:Q79"/>
    <mergeCell ref="H78:I78"/>
    <mergeCell ref="G88:N88"/>
  </mergeCells>
  <phoneticPr fontId="26" type="noConversion"/>
  <dataValidations xWindow="432" yWindow="433" count="7">
    <dataValidation type="list" allowBlank="1" showInputMessage="1" showErrorMessage="1" prompt="1.0 for dwellings using 1/4&quot;, 7/32&quot;,or 3/16&quot; holes_x000a__x000a_2.0 for dwellings using 1/8&quot; holes or Other Establishments using 1/4&quot;, 7/32&quot;or 3/16&quot; holes_x000a__x000a_5.0 for Other Establishments using 1/8&quot; holes" sqref="H78:I78" xr:uid="{00000000-0002-0000-1700-000001000000}">
      <formula1>MinHead</formula1>
    </dataValidation>
    <dataValidation operator="greaterThanOrEqual" allowBlank="1" showInputMessage="1" showErrorMessage="1" error="Value is less than allowed by rule" prompt="Laterals must be within 24 inches of the edge of the bed and spaced no further apart than 36 inches." sqref="I11:J11" xr:uid="{00000000-0002-0000-1700-000002000000}"/>
    <dataValidation type="list" allowBlank="1" showInputMessage="1" showErrorMessage="1" prompt="Min 1/8&quot;_x000a_Max 1/4&quot;" sqref="I31:J31" xr:uid="{00000000-0002-0000-1700-000004000000}">
      <formula1>PerfDia</formula1>
    </dataValidation>
    <dataValidation type="list" errorStyle="information" allowBlank="1" showInputMessage="1" showErrorMessage="1" errorTitle="Check Value" error="Spacing must be between 2ft and 3ft." prompt="Min 2.0 ft_x000a_Max 3.0 ft" sqref="I21:J21" xr:uid="{00000000-0002-0000-1700-000005000000}">
      <formula1>PerfSpace</formula1>
    </dataValidation>
    <dataValidation type="whole" operator="greaterThanOrEqual" allowBlank="1" error="Value is less than allowed by rule" prompt="Laterals must be within 24 inches of the edge of the bed and spaced no further apart than 36 inches." sqref="O56 Q56" xr:uid="{FE5CA72C-BB0E-43CB-A67C-A9BC55796736}">
      <formula1>1</formula1>
    </dataValidation>
    <dataValidation allowBlank="1" sqref="I34:J34 I36:J36" xr:uid="{BA7629EF-C01E-4289-A561-EFF2B4AD8153}"/>
    <dataValidation allowBlank="1" showInputMessage="1" showErrorMessage="1" prompt="Laterals must not be closer than 1 foot to the edgebut  be within 24 inches of the edge of the bed and spaced no further apart than 36 inches" sqref="P15:Q15" xr:uid="{0A285181-524E-483F-978F-A8736B34D270}"/>
  </dataValidations>
  <printOptions horizontalCentered="1"/>
  <pageMargins left="0.4" right="0.4" top="0.4" bottom="0.4" header="0.5" footer="0.5"/>
  <pageSetup scale="89" fitToHeight="2" orientation="portrait" blackAndWhite="1" r:id="rId3"/>
  <headerFooter alignWithMargins="0"/>
  <rowBreaks count="1" manualBreakCount="1">
    <brk id="47" max="17" man="1"/>
  </rowBreaks>
  <ignoredErrors>
    <ignoredError sqref="A17 B97:XFD97 C17:XFD17" numberStoredAsText="1"/>
    <ignoredError sqref="N31" twoDigitTextYear="1"/>
  </ignoredErrors>
  <drawing r:id="rId4"/>
  <extLst>
    <ext xmlns:x14="http://schemas.microsoft.com/office/spreadsheetml/2009/9/main" uri="{CCE6A557-97BC-4b89-ADB6-D9C93CAAB3DF}">
      <x14:dataValidations xmlns:xm="http://schemas.microsoft.com/office/excel/2006/main" xWindow="432" yWindow="433" count="2">
        <x14:dataValidation type="list" allowBlank="1" showInputMessage="1" showErrorMessage="1" prompt="Lateral Diameter" xr:uid="{00000000-0002-0000-1700-000000000000}">
          <x14:formula1>
            <xm:f>'Drop-Down Lists'!$AM$2:$AM$6</xm:f>
          </x14:formula1>
          <xm:sqref>P59:Q59 F59:G59 I33:J33</xm:sqref>
        </x14:dataValidation>
        <x14:dataValidation type="list" allowBlank="1" xr:uid="{00000000-0002-0000-1700-000006000000}">
          <x14:formula1>
            <xm:f>'Drop-Down Lists'!$AR$2:$AR$3</xm:f>
          </x14:formula1>
          <xm:sqref>I35:J35 I35:J35</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
    <tabColor rgb="FF339966"/>
  </sheetPr>
  <dimension ref="A1:AL196"/>
  <sheetViews>
    <sheetView showGridLines="0" showZeros="0" view="pageBreakPreview" zoomScaleNormal="100" zoomScaleSheetLayoutView="100" workbookViewId="0">
      <selection activeCell="F6" sqref="F6:G6"/>
    </sheetView>
  </sheetViews>
  <sheetFormatPr defaultColWidth="9.140625" defaultRowHeight="24" customHeight="1"/>
  <cols>
    <col min="1" max="20" width="6.140625" style="1" customWidth="1"/>
    <col min="21" max="21" width="9.140625" style="47"/>
    <col min="22" max="16384" width="9.140625" style="1"/>
  </cols>
  <sheetData>
    <row r="1" spans="1:38" s="42" customFormat="1" ht="54.95" customHeight="1" thickBot="1">
      <c r="B1" s="323"/>
      <c r="C1" s="323"/>
      <c r="E1" s="3176" t="s">
        <v>1706</v>
      </c>
      <c r="F1" s="3176"/>
      <c r="G1" s="3176"/>
      <c r="H1" s="3176"/>
      <c r="I1" s="3176"/>
      <c r="J1" s="3176"/>
      <c r="K1" s="3176"/>
      <c r="L1" s="3176"/>
      <c r="M1" s="3176"/>
      <c r="N1" s="3176"/>
      <c r="O1" s="3176"/>
      <c r="P1" s="56"/>
      <c r="Q1" s="56"/>
      <c r="R1" s="56"/>
      <c r="S1" s="56"/>
    </row>
    <row r="2" spans="1:38" s="440" customFormat="1" ht="15.6" customHeight="1">
      <c r="A2" s="1320"/>
      <c r="B2" s="1321"/>
      <c r="C2" s="1321"/>
      <c r="D2" s="1321"/>
      <c r="E2" s="1321"/>
      <c r="F2" s="1321"/>
      <c r="G2" s="1321"/>
      <c r="H2" s="1321"/>
      <c r="I2" s="3459" t="s">
        <v>1164</v>
      </c>
      <c r="J2" s="3459"/>
      <c r="K2" s="3460" t="str">
        <f>IF(ISBLANK('Design Details &amp; Summary'!S3)," ",'Design Details &amp; Summary'!S3)</f>
        <v xml:space="preserve"> </v>
      </c>
      <c r="L2" s="3460"/>
      <c r="M2" s="1321"/>
      <c r="N2" s="1321"/>
      <c r="O2" s="1321"/>
      <c r="P2" s="1321"/>
      <c r="Q2" s="1321"/>
      <c r="R2" s="3466" t="str">
        <f>'Drop-Down Lists'!A2</f>
        <v>v 05.01.2026</v>
      </c>
      <c r="S2" s="3466"/>
      <c r="T2" s="3467"/>
      <c r="U2" s="2329"/>
      <c r="V2" s="2329"/>
      <c r="W2" s="2329"/>
      <c r="X2" s="2329"/>
      <c r="Y2" s="2329"/>
      <c r="Z2" s="2329"/>
      <c r="AA2" s="2329"/>
      <c r="AB2" s="2329"/>
      <c r="AC2" s="2329"/>
      <c r="AD2" s="2329"/>
      <c r="AE2" s="2329"/>
      <c r="AF2" s="2329"/>
      <c r="AG2" s="2329"/>
      <c r="AH2" s="2329"/>
      <c r="AI2" s="2329"/>
      <c r="AJ2" s="2329"/>
      <c r="AK2" s="2329"/>
      <c r="AL2" s="2329"/>
    </row>
    <row r="3" spans="1:38" s="42" customFormat="1" ht="6" customHeight="1">
      <c r="A3" s="1322"/>
      <c r="B3" s="76"/>
      <c r="C3" s="76"/>
      <c r="D3" s="76"/>
      <c r="E3" s="76"/>
      <c r="F3" s="76"/>
      <c r="G3" s="76"/>
      <c r="H3" s="76"/>
      <c r="I3" s="76"/>
      <c r="J3" s="76"/>
      <c r="K3" s="76"/>
      <c r="L3" s="76"/>
      <c r="M3" s="76"/>
      <c r="N3" s="76"/>
      <c r="O3" s="76"/>
      <c r="P3" s="82"/>
      <c r="Q3" s="82"/>
      <c r="R3" s="82"/>
      <c r="S3" s="3468"/>
      <c r="T3" s="3469"/>
    </row>
    <row r="4" spans="1:38" ht="18" customHeight="1">
      <c r="A4" s="1323" t="s">
        <v>475</v>
      </c>
      <c r="B4" s="1" t="s">
        <v>1707</v>
      </c>
      <c r="S4" s="3470"/>
      <c r="T4" s="3471"/>
      <c r="U4" s="1"/>
    </row>
    <row r="5" spans="1:38" ht="6" customHeight="1">
      <c r="A5" s="1324"/>
      <c r="T5" s="2"/>
      <c r="U5" s="1"/>
    </row>
    <row r="6" spans="1:38" ht="20.100000000000001" customHeight="1">
      <c r="A6" s="516"/>
      <c r="B6" s="1" t="s">
        <v>1140</v>
      </c>
      <c r="D6" s="6" t="s">
        <v>1708</v>
      </c>
      <c r="F6" s="3224"/>
      <c r="G6" s="3225"/>
      <c r="H6" s="1" t="s">
        <v>609</v>
      </c>
      <c r="I6" s="3530" t="s">
        <v>1709</v>
      </c>
      <c r="J6" s="3531"/>
      <c r="K6" s="3531"/>
      <c r="L6" s="3532"/>
      <c r="M6" s="3196"/>
      <c r="N6" s="3197"/>
      <c r="O6" s="1" t="s">
        <v>609</v>
      </c>
      <c r="P6" s="1" t="s">
        <v>1710</v>
      </c>
      <c r="T6" s="2"/>
      <c r="U6" s="1"/>
      <c r="AI6" s="27"/>
      <c r="AL6" s="49"/>
    </row>
    <row r="7" spans="1:38" ht="6" customHeight="1">
      <c r="A7" s="516"/>
      <c r="F7" s="2169"/>
      <c r="G7" s="2169"/>
      <c r="H7" s="96"/>
      <c r="M7" s="95"/>
      <c r="N7" s="95"/>
      <c r="T7" s="2"/>
      <c r="U7" s="1"/>
      <c r="AI7" s="27"/>
      <c r="AL7" s="55"/>
    </row>
    <row r="8" spans="1:38" ht="20.100000000000001" customHeight="1">
      <c r="A8" s="516"/>
      <c r="B8" s="1" t="s">
        <v>1142</v>
      </c>
      <c r="D8" s="6" t="s">
        <v>1708</v>
      </c>
      <c r="F8" s="3224"/>
      <c r="G8" s="3225"/>
      <c r="H8" s="1" t="s">
        <v>609</v>
      </c>
      <c r="J8" s="1" t="s">
        <v>1711</v>
      </c>
      <c r="M8" s="3196"/>
      <c r="N8" s="3197"/>
      <c r="O8" s="1" t="s">
        <v>609</v>
      </c>
      <c r="T8" s="2"/>
      <c r="U8" s="1"/>
      <c r="AI8" s="27"/>
      <c r="AL8" s="81"/>
    </row>
    <row r="9" spans="1:38" ht="6" customHeight="1">
      <c r="A9" s="516"/>
      <c r="F9" s="2169"/>
      <c r="G9" s="2169"/>
      <c r="H9" s="96"/>
      <c r="M9" s="95"/>
      <c r="N9" s="95"/>
      <c r="T9" s="2"/>
      <c r="U9" s="1"/>
      <c r="AI9" s="27"/>
      <c r="AL9" s="48"/>
    </row>
    <row r="10" spans="1:38" ht="20.100000000000001" customHeight="1">
      <c r="A10" s="516"/>
      <c r="B10" s="1" t="s">
        <v>1143</v>
      </c>
      <c r="D10" s="6" t="s">
        <v>1708</v>
      </c>
      <c r="F10" s="3224"/>
      <c r="G10" s="3225"/>
      <c r="H10" s="1" t="s">
        <v>609</v>
      </c>
      <c r="J10" s="1" t="s">
        <v>1711</v>
      </c>
      <c r="M10" s="3196"/>
      <c r="N10" s="3197"/>
      <c r="O10" s="1" t="s">
        <v>609</v>
      </c>
      <c r="T10" s="2"/>
      <c r="U10" s="1"/>
      <c r="AI10" s="27"/>
    </row>
    <row r="11" spans="1:38" ht="6" customHeight="1">
      <c r="A11" s="516"/>
      <c r="F11" s="2169"/>
      <c r="G11" s="2169"/>
      <c r="H11" s="96"/>
      <c r="M11" s="95"/>
      <c r="N11" s="95"/>
      <c r="T11" s="2"/>
      <c r="U11" s="1"/>
    </row>
    <row r="12" spans="1:38" ht="20.100000000000001" customHeight="1">
      <c r="A12" s="516"/>
      <c r="B12" s="1" t="s">
        <v>1144</v>
      </c>
      <c r="D12" s="6" t="s">
        <v>1708</v>
      </c>
      <c r="F12" s="3224"/>
      <c r="G12" s="3225"/>
      <c r="H12" s="1" t="s">
        <v>609</v>
      </c>
      <c r="J12" s="1" t="s">
        <v>1711</v>
      </c>
      <c r="M12" s="3196"/>
      <c r="N12" s="3197"/>
      <c r="O12" s="1" t="s">
        <v>609</v>
      </c>
      <c r="T12" s="2"/>
      <c r="U12" s="1"/>
    </row>
    <row r="13" spans="1:38" ht="6" customHeight="1">
      <c r="A13" s="516"/>
      <c r="F13" s="2169"/>
      <c r="G13" s="2169"/>
      <c r="H13" s="96"/>
      <c r="M13" s="95"/>
      <c r="N13" s="95"/>
      <c r="T13" s="2"/>
      <c r="U13" s="1"/>
    </row>
    <row r="14" spans="1:38" ht="20.100000000000001" customHeight="1">
      <c r="A14" s="516"/>
      <c r="B14" s="1" t="s">
        <v>1145</v>
      </c>
      <c r="D14" s="6" t="s">
        <v>1708</v>
      </c>
      <c r="F14" s="3224"/>
      <c r="G14" s="3225"/>
      <c r="H14" s="1" t="s">
        <v>609</v>
      </c>
      <c r="J14" s="1" t="s">
        <v>1711</v>
      </c>
      <c r="M14" s="3196"/>
      <c r="N14" s="3197"/>
      <c r="O14" s="1" t="s">
        <v>609</v>
      </c>
      <c r="T14" s="2"/>
      <c r="U14" s="1"/>
    </row>
    <row r="15" spans="1:38" ht="6" customHeight="1">
      <c r="A15" s="516"/>
      <c r="F15" s="2169"/>
      <c r="G15" s="2169"/>
      <c r="H15" s="96"/>
      <c r="M15" s="95"/>
      <c r="N15" s="95"/>
      <c r="T15" s="2"/>
      <c r="U15" s="1"/>
    </row>
    <row r="16" spans="1:38" ht="20.100000000000001" customHeight="1">
      <c r="A16" s="516"/>
      <c r="B16" s="1" t="s">
        <v>1146</v>
      </c>
      <c r="D16" s="6" t="s">
        <v>1708</v>
      </c>
      <c r="F16" s="3224"/>
      <c r="G16" s="3225"/>
      <c r="H16" s="1" t="s">
        <v>609</v>
      </c>
      <c r="J16" s="1" t="s">
        <v>1711</v>
      </c>
      <c r="M16" s="3196"/>
      <c r="N16" s="3197"/>
      <c r="O16" s="1" t="s">
        <v>609</v>
      </c>
      <c r="P16" s="1" t="s">
        <v>1712</v>
      </c>
      <c r="T16" s="2"/>
      <c r="U16" s="1"/>
    </row>
    <row r="17" spans="1:21" ht="6" customHeight="1">
      <c r="A17" s="516"/>
      <c r="T17" s="2"/>
      <c r="U17" s="1"/>
    </row>
    <row r="18" spans="1:21" ht="18" customHeight="1">
      <c r="A18" s="1323" t="s">
        <v>481</v>
      </c>
      <c r="B18" s="3" t="s">
        <v>1713</v>
      </c>
      <c r="T18" s="2"/>
      <c r="U18" s="1"/>
    </row>
    <row r="19" spans="1:21" ht="20.100000000000001" customHeight="1">
      <c r="A19" s="516"/>
      <c r="B19" s="43" t="s">
        <v>1714</v>
      </c>
      <c r="L19" s="3169" t="str">
        <f>IF(ISBLANK(F6)," ",F6)</f>
        <v xml:space="preserve"> </v>
      </c>
      <c r="M19" s="3170"/>
      <c r="N19" s="2170" t="s">
        <v>1715</v>
      </c>
      <c r="O19" s="3169" t="str">
        <f>IF(ISBLANK(F8)," ",IF(ISBLANK(F10),F8,IF(ISBLANK(F12),F10,IF(ISBLANK(F14),F12,IF(ISBLANK(F16),F14,F16)))))</f>
        <v xml:space="preserve"> </v>
      </c>
      <c r="P19" s="3170"/>
      <c r="Q19" s="2170" t="s">
        <v>1716</v>
      </c>
      <c r="R19" s="3169" t="str">
        <f>IF(ISBLANK(F6)," ",L19-O19)</f>
        <v xml:space="preserve"> </v>
      </c>
      <c r="S19" s="3170"/>
      <c r="T19" s="2" t="s">
        <v>609</v>
      </c>
      <c r="U19" s="1"/>
    </row>
    <row r="20" spans="1:21" ht="6" customHeight="1">
      <c r="A20" s="516"/>
      <c r="T20" s="2"/>
      <c r="U20" s="1"/>
    </row>
    <row r="21" spans="1:21" ht="20.100000000000001" customHeight="1">
      <c r="A21" s="868" t="s">
        <v>487</v>
      </c>
      <c r="B21" s="3" t="s">
        <v>1689</v>
      </c>
      <c r="C21" s="3"/>
      <c r="D21" s="3"/>
      <c r="E21" s="3"/>
      <c r="G21" s="3172"/>
      <c r="H21" s="3173"/>
      <c r="I21" s="1" t="s">
        <v>609</v>
      </c>
      <c r="Q21" s="18"/>
      <c r="R21" s="18"/>
      <c r="S21" s="18"/>
      <c r="T21" s="1325"/>
      <c r="U21" s="15"/>
    </row>
    <row r="22" spans="1:21" ht="18" customHeight="1">
      <c r="A22" s="516"/>
      <c r="B22" s="18" t="s">
        <v>1717</v>
      </c>
      <c r="Q22" s="10"/>
      <c r="R22" s="10"/>
      <c r="S22" s="10"/>
      <c r="T22" s="90"/>
      <c r="U22" s="10"/>
    </row>
    <row r="23" spans="1:21" ht="18" customHeight="1">
      <c r="A23" s="516"/>
      <c r="B23" s="8" t="s">
        <v>1718</v>
      </c>
      <c r="I23" s="8"/>
      <c r="Q23" s="10"/>
      <c r="R23" s="10"/>
      <c r="S23" s="10"/>
      <c r="T23" s="90"/>
      <c r="U23" s="10"/>
    </row>
    <row r="24" spans="1:21" ht="18" customHeight="1">
      <c r="A24" s="516"/>
      <c r="B24" s="2946" t="s">
        <v>1719</v>
      </c>
      <c r="C24" s="2946"/>
      <c r="D24" s="2946"/>
      <c r="E24" s="2946"/>
      <c r="F24" s="2946"/>
      <c r="G24" s="2946"/>
      <c r="H24" s="2946"/>
      <c r="I24" s="2946"/>
      <c r="J24" s="2946"/>
      <c r="K24" s="2946"/>
      <c r="L24" s="2946"/>
      <c r="M24" s="2946"/>
      <c r="N24" s="2946"/>
      <c r="O24" s="2946"/>
      <c r="P24" s="2946"/>
      <c r="Q24" s="2946"/>
      <c r="R24" s="2946"/>
      <c r="S24" s="10"/>
      <c r="T24" s="90"/>
      <c r="U24" s="10"/>
    </row>
    <row r="25" spans="1:21" ht="18" customHeight="1">
      <c r="A25" s="516"/>
      <c r="B25" s="2946"/>
      <c r="C25" s="2946"/>
      <c r="D25" s="2946"/>
      <c r="E25" s="2946"/>
      <c r="F25" s="2946"/>
      <c r="G25" s="2946"/>
      <c r="H25" s="2946"/>
      <c r="I25" s="2946"/>
      <c r="J25" s="2946"/>
      <c r="K25" s="2946"/>
      <c r="L25" s="2946"/>
      <c r="M25" s="2946"/>
      <c r="N25" s="2946"/>
      <c r="O25" s="2946"/>
      <c r="P25" s="2946"/>
      <c r="Q25" s="2946"/>
      <c r="R25" s="2946"/>
      <c r="S25" s="10"/>
      <c r="T25" s="90"/>
      <c r="U25" s="10"/>
    </row>
    <row r="26" spans="1:21" ht="18" customHeight="1">
      <c r="A26" s="1323" t="s">
        <v>493</v>
      </c>
      <c r="B26" s="1" t="s">
        <v>1720</v>
      </c>
      <c r="P26" s="10"/>
      <c r="Q26" s="10"/>
      <c r="R26" s="10"/>
      <c r="S26" s="10"/>
      <c r="T26" s="90"/>
      <c r="U26" s="10"/>
    </row>
    <row r="27" spans="1:21" ht="6" customHeight="1">
      <c r="A27" s="516"/>
      <c r="T27" s="2"/>
      <c r="U27" s="1"/>
    </row>
    <row r="28" spans="1:21" ht="20.100000000000001" customHeight="1">
      <c r="A28" s="516"/>
      <c r="B28" s="3169" t="str">
        <f>IF(ISBLANK(G21)," ",G21)</f>
        <v xml:space="preserve"> </v>
      </c>
      <c r="C28" s="3171"/>
      <c r="D28" s="1536" t="s">
        <v>1356</v>
      </c>
      <c r="E28" s="3169" t="str">
        <f>IF(ISBLANK(R19)," ",R19)</f>
        <v xml:space="preserve"> </v>
      </c>
      <c r="F28" s="3170"/>
      <c r="G28" s="17" t="s">
        <v>1351</v>
      </c>
      <c r="H28" s="3169" t="str">
        <f>IF(ISBLANK(G21)," ",B28+E28)</f>
        <v xml:space="preserve"> </v>
      </c>
      <c r="I28" s="3171"/>
      <c r="J28" s="1" t="s">
        <v>609</v>
      </c>
      <c r="T28" s="2"/>
      <c r="U28" s="1"/>
    </row>
    <row r="29" spans="1:21" ht="6" customHeight="1">
      <c r="A29" s="516"/>
      <c r="P29" s="10"/>
      <c r="Q29" s="10"/>
      <c r="R29" s="10"/>
      <c r="S29" s="10"/>
      <c r="T29" s="90"/>
      <c r="U29" s="1"/>
    </row>
    <row r="30" spans="1:21" ht="18" customHeight="1">
      <c r="A30" s="1323" t="s">
        <v>498</v>
      </c>
      <c r="B30" s="1" t="s">
        <v>1721</v>
      </c>
      <c r="P30" s="10"/>
      <c r="Q30" s="10"/>
      <c r="R30" s="10"/>
      <c r="S30" s="10"/>
      <c r="T30" s="90"/>
      <c r="U30" s="1"/>
    </row>
    <row r="31" spans="1:21" ht="18" customHeight="1">
      <c r="A31" s="1324"/>
      <c r="B31" s="1" t="s">
        <v>1722</v>
      </c>
      <c r="P31" s="10"/>
      <c r="Q31" s="10"/>
      <c r="R31" s="10"/>
      <c r="S31" s="10"/>
      <c r="T31" s="90"/>
      <c r="U31" s="1"/>
    </row>
    <row r="32" spans="1:21" ht="18" customHeight="1">
      <c r="A32" s="1324"/>
      <c r="B32" s="1" t="s">
        <v>1723</v>
      </c>
      <c r="P32" s="10"/>
      <c r="Q32" s="10"/>
      <c r="R32" s="10"/>
      <c r="S32" s="10"/>
      <c r="T32" s="90"/>
      <c r="U32" s="1"/>
    </row>
    <row r="33" spans="1:21" ht="6" customHeight="1">
      <c r="A33" s="1324"/>
      <c r="P33" s="10"/>
      <c r="Q33" s="10"/>
      <c r="R33" s="10"/>
      <c r="S33" s="10"/>
      <c r="T33" s="90"/>
      <c r="U33" s="1"/>
    </row>
    <row r="34" spans="1:21" ht="29.45" customHeight="1">
      <c r="A34" s="1324"/>
      <c r="C34" s="3536" t="s">
        <v>1724</v>
      </c>
      <c r="D34" s="3536"/>
      <c r="E34" s="3536"/>
      <c r="F34" s="3536"/>
      <c r="G34" s="2992" t="s">
        <v>1725</v>
      </c>
      <c r="H34" s="2992"/>
      <c r="J34" s="2992" t="s">
        <v>1726</v>
      </c>
      <c r="K34" s="2992"/>
      <c r="M34" s="2868" t="s">
        <v>1727</v>
      </c>
      <c r="N34" s="2868"/>
      <c r="O34" s="2868"/>
      <c r="P34" s="2868"/>
      <c r="Q34" s="10"/>
      <c r="R34" s="10"/>
      <c r="S34" s="10"/>
      <c r="T34" s="90"/>
      <c r="U34" s="1"/>
    </row>
    <row r="35" spans="1:21" ht="6" customHeight="1">
      <c r="A35" s="1324"/>
      <c r="C35" s="19"/>
      <c r="D35" s="19"/>
      <c r="E35" s="19"/>
      <c r="F35" s="19"/>
      <c r="G35" s="344"/>
      <c r="H35" s="344"/>
      <c r="J35" s="28"/>
      <c r="K35" s="28"/>
      <c r="M35" s="4"/>
      <c r="N35" s="4"/>
      <c r="O35" s="4"/>
      <c r="P35" s="4"/>
      <c r="Q35" s="10"/>
      <c r="R35" s="10"/>
      <c r="S35" s="10"/>
      <c r="T35" s="90"/>
      <c r="U35" s="1"/>
    </row>
    <row r="36" spans="1:21" ht="20.100000000000001" customHeight="1">
      <c r="A36" s="516"/>
      <c r="B36" s="4" t="s">
        <v>1728</v>
      </c>
      <c r="D36" s="3174" t="str">
        <f>IF(ISBLANK(F6),"",G21)</f>
        <v/>
      </c>
      <c r="E36" s="3175"/>
      <c r="F36" s="24" t="s">
        <v>1729</v>
      </c>
      <c r="G36" s="3169" t="str">
        <f>IF(ISBLANK(F6),"",F6)</f>
        <v/>
      </c>
      <c r="H36" s="3170"/>
      <c r="I36" s="2171" t="s">
        <v>1730</v>
      </c>
      <c r="J36" s="3169" t="str">
        <f>IF(ISBLANK(F6),"",F6)</f>
        <v/>
      </c>
      <c r="K36" s="3170"/>
      <c r="L36" s="10" t="s">
        <v>1731</v>
      </c>
      <c r="N36" s="3500" t="str">
        <f>IF(ISBLANK(G21)," ",G21)</f>
        <v xml:space="preserve"> </v>
      </c>
      <c r="O36" s="3501"/>
      <c r="P36" s="1" t="s">
        <v>609</v>
      </c>
      <c r="T36" s="863"/>
      <c r="U36" s="1"/>
    </row>
    <row r="37" spans="1:21" ht="6" customHeight="1">
      <c r="A37" s="516"/>
      <c r="B37" s="4"/>
      <c r="C37" s="4"/>
      <c r="D37" s="32"/>
      <c r="E37" s="23"/>
      <c r="G37" s="74"/>
      <c r="H37" s="74"/>
      <c r="I37" s="2172" t="s">
        <v>1732</v>
      </c>
      <c r="J37" s="2172"/>
      <c r="K37" s="2172"/>
      <c r="L37" s="15"/>
      <c r="N37" s="45"/>
      <c r="O37" s="23"/>
      <c r="T37" s="863"/>
      <c r="U37" s="1"/>
    </row>
    <row r="38" spans="1:21" ht="20.100000000000001" customHeight="1">
      <c r="A38" s="516"/>
      <c r="B38" s="4" t="s">
        <v>1733</v>
      </c>
      <c r="C38" s="4"/>
      <c r="D38" s="3174" t="str">
        <f>IF(ISBLANK(F8),"",G21)</f>
        <v/>
      </c>
      <c r="E38" s="3175"/>
      <c r="F38" s="24" t="s">
        <v>1729</v>
      </c>
      <c r="G38" s="3475" t="str">
        <f>IF(ISBLANK(F6)," ",F6)</f>
        <v xml:space="preserve"> </v>
      </c>
      <c r="H38" s="3476"/>
      <c r="I38" s="2171" t="s">
        <v>1730</v>
      </c>
      <c r="J38" s="3475" t="str">
        <f>IF(ISBLANK(F8)," ",F8)</f>
        <v xml:space="preserve"> </v>
      </c>
      <c r="K38" s="3476"/>
      <c r="L38" s="10" t="s">
        <v>1731</v>
      </c>
      <c r="N38" s="3174" t="str">
        <f>IF(ISBLANK(F6)," ",G21+(F6-F8))</f>
        <v xml:space="preserve"> </v>
      </c>
      <c r="O38" s="3175"/>
      <c r="P38" s="1" t="s">
        <v>609</v>
      </c>
      <c r="T38" s="863"/>
      <c r="U38" s="1"/>
    </row>
    <row r="39" spans="1:21" ht="6" customHeight="1">
      <c r="A39" s="516"/>
      <c r="B39" s="4"/>
      <c r="C39" s="4"/>
      <c r="D39" s="32"/>
      <c r="E39" s="32"/>
      <c r="F39" s="83"/>
      <c r="G39" s="2173"/>
      <c r="H39" s="2173"/>
      <c r="I39" s="2171"/>
      <c r="J39" s="2173"/>
      <c r="K39" s="2173"/>
      <c r="L39" s="10"/>
      <c r="N39" s="32"/>
      <c r="O39" s="23"/>
      <c r="T39" s="863"/>
      <c r="U39" s="1"/>
    </row>
    <row r="40" spans="1:21" ht="20.100000000000001" customHeight="1">
      <c r="A40" s="516"/>
      <c r="B40" s="4" t="s">
        <v>1734</v>
      </c>
      <c r="C40" s="4"/>
      <c r="D40" s="3174" t="str">
        <f>IF(ISBLANK(F10),"",G21)</f>
        <v/>
      </c>
      <c r="E40" s="3175"/>
      <c r="F40" s="24" t="s">
        <v>1729</v>
      </c>
      <c r="G40" s="3475" t="str">
        <f>IF(ISBLANK(F10)," ",F6)</f>
        <v xml:space="preserve"> </v>
      </c>
      <c r="H40" s="3476"/>
      <c r="I40" s="2171" t="s">
        <v>1730</v>
      </c>
      <c r="J40" s="3475" t="str">
        <f>IF(ISBLANK(F10)," ",F10)</f>
        <v xml:space="preserve"> </v>
      </c>
      <c r="K40" s="3476"/>
      <c r="L40" s="10" t="s">
        <v>1731</v>
      </c>
      <c r="N40" s="3174" t="str">
        <f>IF(ISBLANK(F10)," ",(G21+(F6-F10)))</f>
        <v xml:space="preserve"> </v>
      </c>
      <c r="O40" s="3175"/>
      <c r="P40" s="1" t="s">
        <v>609</v>
      </c>
      <c r="T40" s="863"/>
      <c r="U40" s="1"/>
    </row>
    <row r="41" spans="1:21" ht="6" customHeight="1">
      <c r="A41" s="516"/>
      <c r="B41" s="4"/>
      <c r="C41" s="4"/>
      <c r="D41" s="32"/>
      <c r="E41" s="32"/>
      <c r="F41" s="83"/>
      <c r="G41" s="2173"/>
      <c r="H41" s="2173"/>
      <c r="I41" s="17"/>
      <c r="J41" s="2173"/>
      <c r="K41" s="2173"/>
      <c r="L41" s="10"/>
      <c r="N41" s="32"/>
      <c r="O41" s="23"/>
      <c r="T41" s="863"/>
      <c r="U41" s="1"/>
    </row>
    <row r="42" spans="1:21" ht="20.100000000000001" customHeight="1">
      <c r="A42" s="516"/>
      <c r="B42" s="4" t="s">
        <v>1735</v>
      </c>
      <c r="C42" s="4"/>
      <c r="D42" s="3174" t="str">
        <f>IF(ISBLANK(F12),"",G21)</f>
        <v/>
      </c>
      <c r="E42" s="3175"/>
      <c r="F42" s="24" t="s">
        <v>1729</v>
      </c>
      <c r="G42" s="3475" t="str">
        <f>IF(ISBLANK(F12)," ",F6)</f>
        <v xml:space="preserve"> </v>
      </c>
      <c r="H42" s="3476"/>
      <c r="I42" s="2171" t="s">
        <v>1730</v>
      </c>
      <c r="J42" s="3475" t="str">
        <f>IF(ISBLANK(F12)," ",F12)</f>
        <v xml:space="preserve"> </v>
      </c>
      <c r="K42" s="3476"/>
      <c r="L42" s="10" t="s">
        <v>1731</v>
      </c>
      <c r="N42" s="3174" t="str">
        <f>IF(ISBLANK(F12)," ",(G21+(F6-F12)))</f>
        <v xml:space="preserve"> </v>
      </c>
      <c r="O42" s="3175"/>
      <c r="P42" s="1" t="s">
        <v>609</v>
      </c>
      <c r="T42" s="863"/>
      <c r="U42" s="1"/>
    </row>
    <row r="43" spans="1:21" ht="6" customHeight="1">
      <c r="A43" s="516"/>
      <c r="B43" s="4"/>
      <c r="C43" s="4"/>
      <c r="D43" s="32"/>
      <c r="E43" s="32"/>
      <c r="F43" s="83"/>
      <c r="G43" s="2173"/>
      <c r="H43" s="2173"/>
      <c r="I43" s="17"/>
      <c r="J43" s="2173"/>
      <c r="K43" s="2173"/>
      <c r="L43" s="10"/>
      <c r="N43" s="32"/>
      <c r="O43" s="23"/>
      <c r="T43" s="863"/>
      <c r="U43" s="1"/>
    </row>
    <row r="44" spans="1:21" ht="20.100000000000001" customHeight="1">
      <c r="A44" s="516"/>
      <c r="B44" s="4" t="s">
        <v>1736</v>
      </c>
      <c r="C44" s="4"/>
      <c r="D44" s="3174" t="str">
        <f>IF(ISBLANK(F14),"",G21)</f>
        <v/>
      </c>
      <c r="E44" s="3175"/>
      <c r="F44" s="24" t="s">
        <v>1729</v>
      </c>
      <c r="G44" s="3475" t="str">
        <f>IF(ISBLANK(F14)," ",F6)</f>
        <v xml:space="preserve"> </v>
      </c>
      <c r="H44" s="3476"/>
      <c r="I44" s="2171" t="s">
        <v>1730</v>
      </c>
      <c r="J44" s="3475" t="str">
        <f>IF(ISBLANK(F14)," ",F14)</f>
        <v xml:space="preserve"> </v>
      </c>
      <c r="K44" s="3476"/>
      <c r="L44" s="10" t="s">
        <v>1731</v>
      </c>
      <c r="N44" s="3174" t="str">
        <f>IF(ISBLANK(F14)," ",(G21+(F6-F14)))</f>
        <v xml:space="preserve"> </v>
      </c>
      <c r="O44" s="3175"/>
      <c r="P44" s="1" t="s">
        <v>609</v>
      </c>
      <c r="T44" s="863"/>
      <c r="U44" s="1"/>
    </row>
    <row r="45" spans="1:21" ht="6" customHeight="1">
      <c r="A45" s="1324"/>
      <c r="C45" s="19"/>
      <c r="D45" s="19"/>
      <c r="E45" s="19"/>
      <c r="F45" s="19"/>
      <c r="G45" s="2174"/>
      <c r="H45" s="2174"/>
      <c r="I45" s="74"/>
      <c r="J45" s="2171"/>
      <c r="K45" s="2171"/>
      <c r="M45" s="4"/>
      <c r="N45" s="19"/>
      <c r="O45" s="19"/>
      <c r="P45" s="4"/>
      <c r="Q45" s="10"/>
      <c r="R45" s="10"/>
      <c r="S45" s="10"/>
      <c r="T45" s="90"/>
      <c r="U45" s="1"/>
    </row>
    <row r="46" spans="1:21" ht="20.100000000000001" customHeight="1">
      <c r="A46" s="516"/>
      <c r="B46" s="4" t="s">
        <v>1737</v>
      </c>
      <c r="C46" s="4"/>
      <c r="D46" s="3174" t="str">
        <f>IF(ISBLANK(F16),"",G21)</f>
        <v/>
      </c>
      <c r="E46" s="3175"/>
      <c r="F46" s="24" t="s">
        <v>1729</v>
      </c>
      <c r="G46" s="3475" t="str">
        <f>IF(ISBLANK(F16)," ",F6)</f>
        <v xml:space="preserve"> </v>
      </c>
      <c r="H46" s="3476"/>
      <c r="I46" s="2171" t="s">
        <v>1730</v>
      </c>
      <c r="J46" s="3475" t="str">
        <f>IF(ISBLANK(F16)," ",F16)</f>
        <v xml:space="preserve"> </v>
      </c>
      <c r="K46" s="3476"/>
      <c r="L46" s="10" t="s">
        <v>1731</v>
      </c>
      <c r="N46" s="3174" t="str">
        <f>IF(ISBLANK(F16)," ",(G21+(F6-F16)))</f>
        <v xml:space="preserve"> </v>
      </c>
      <c r="O46" s="3175"/>
      <c r="P46" s="1" t="s">
        <v>609</v>
      </c>
      <c r="T46" s="863"/>
      <c r="U46" s="1"/>
    </row>
    <row r="47" spans="1:21" ht="6" customHeight="1">
      <c r="A47" s="1326"/>
      <c r="B47" s="38"/>
      <c r="C47" s="78"/>
      <c r="D47" s="78"/>
      <c r="E47" s="78"/>
      <c r="F47" s="78"/>
      <c r="G47" s="89"/>
      <c r="H47" s="89"/>
      <c r="I47" s="38"/>
      <c r="J47" s="77"/>
      <c r="K47" s="38"/>
      <c r="L47" s="39"/>
      <c r="M47" s="39"/>
      <c r="N47" s="77"/>
      <c r="O47" s="98"/>
      <c r="P47" s="99"/>
      <c r="Q47" s="39"/>
      <c r="R47" s="99"/>
      <c r="S47" s="100"/>
      <c r="T47" s="1327"/>
      <c r="U47" s="1"/>
    </row>
    <row r="48" spans="1:21" ht="18" customHeight="1">
      <c r="A48" s="1323" t="s">
        <v>504</v>
      </c>
      <c r="B48" s="1" t="s">
        <v>1738</v>
      </c>
      <c r="C48" s="3"/>
      <c r="D48" s="3"/>
      <c r="E48" s="3"/>
      <c r="F48" s="3"/>
      <c r="G48" s="32"/>
      <c r="H48" s="32"/>
      <c r="I48" s="4"/>
      <c r="J48" s="31"/>
      <c r="K48" s="4"/>
      <c r="L48" s="30"/>
      <c r="M48" s="30"/>
      <c r="N48" s="31"/>
      <c r="O48" s="83"/>
      <c r="P48" s="45"/>
      <c r="Q48" s="30"/>
      <c r="R48" s="1286"/>
      <c r="S48" s="1286"/>
      <c r="T48" s="1328"/>
      <c r="U48" s="1"/>
    </row>
    <row r="49" spans="1:21" ht="18" customHeight="1">
      <c r="A49" s="1324"/>
      <c r="B49" s="2946" t="s">
        <v>1739</v>
      </c>
      <c r="C49" s="2946"/>
      <c r="D49" s="2946"/>
      <c r="E49" s="2946"/>
      <c r="F49" s="2946"/>
      <c r="G49" s="2946"/>
      <c r="H49" s="2946"/>
      <c r="I49" s="2946"/>
      <c r="J49" s="2946"/>
      <c r="K49" s="2946"/>
      <c r="L49" s="3272"/>
      <c r="M49" s="30"/>
      <c r="N49" s="31"/>
      <c r="O49" s="83"/>
      <c r="T49" s="1328"/>
      <c r="U49" s="1"/>
    </row>
    <row r="50" spans="1:21" ht="17.100000000000001" customHeight="1">
      <c r="A50" s="1324"/>
      <c r="B50" s="2946"/>
      <c r="C50" s="2946"/>
      <c r="D50" s="2946"/>
      <c r="E50" s="2946"/>
      <c r="F50" s="2946"/>
      <c r="G50" s="2946"/>
      <c r="H50" s="2946"/>
      <c r="I50" s="2946"/>
      <c r="J50" s="2946"/>
      <c r="K50" s="2946"/>
      <c r="L50" s="3272"/>
      <c r="M50" s="3502" t="s">
        <v>1740</v>
      </c>
      <c r="N50" s="3502"/>
      <c r="O50" s="3502"/>
      <c r="P50" s="3502"/>
      <c r="Q50" s="3502"/>
      <c r="R50" s="3502"/>
      <c r="S50" s="3502"/>
      <c r="T50" s="1328"/>
      <c r="U50" s="1"/>
    </row>
    <row r="51" spans="1:21" ht="15.6" customHeight="1">
      <c r="A51" s="1324"/>
      <c r="B51" s="3" t="s">
        <v>1741</v>
      </c>
      <c r="C51" s="3"/>
      <c r="D51" s="3"/>
      <c r="E51" s="3"/>
      <c r="H51" s="32"/>
      <c r="I51" s="4"/>
      <c r="J51" s="34"/>
      <c r="K51" s="4"/>
      <c r="M51" s="3502"/>
      <c r="N51" s="3502"/>
      <c r="O51" s="3502"/>
      <c r="P51" s="3502"/>
      <c r="Q51" s="3502"/>
      <c r="R51" s="3502"/>
      <c r="S51" s="3502"/>
      <c r="T51" s="1329"/>
      <c r="U51" s="1"/>
    </row>
    <row r="52" spans="1:21" ht="6" customHeight="1">
      <c r="A52" s="516"/>
      <c r="B52" s="34"/>
      <c r="R52" s="19"/>
      <c r="S52" s="17"/>
      <c r="T52" s="1166"/>
      <c r="U52" s="1"/>
    </row>
    <row r="53" spans="1:21" ht="20.100000000000001" customHeight="1">
      <c r="A53" s="864"/>
      <c r="B53" s="4" t="s">
        <v>1728</v>
      </c>
      <c r="C53" s="3" t="s">
        <v>1727</v>
      </c>
      <c r="F53" s="3174" t="str">
        <f>N36</f>
        <v xml:space="preserve"> </v>
      </c>
      <c r="G53" s="3175"/>
      <c r="H53" s="3473" t="s">
        <v>1742</v>
      </c>
      <c r="I53" s="2897"/>
      <c r="J53" s="2897"/>
      <c r="K53" s="3474"/>
      <c r="L53" s="2872"/>
      <c r="M53" s="2874"/>
      <c r="N53" s="79" t="s">
        <v>1240</v>
      </c>
      <c r="O53" s="3477" t="str">
        <f>IF(ISBLANK(L53)," ",19.65*0.6*(R53^2)*(F53^0.5))</f>
        <v xml:space="preserve"> </v>
      </c>
      <c r="P53" s="3478"/>
      <c r="Q53" s="4" t="s">
        <v>1034</v>
      </c>
      <c r="R53" s="638" t="str">
        <f>IF(ISBLANK(F8),"",IF(L53="1/4","0.25",IF(L53="7/32","0.21875",IF(L53="3/16","0.1875",IF(L53="1/8","0.125")))))</f>
        <v/>
      </c>
      <c r="S53" s="1" t="s">
        <v>1710</v>
      </c>
      <c r="T53" s="1166"/>
      <c r="U53" s="1"/>
    </row>
    <row r="54" spans="1:21" ht="6" customHeight="1">
      <c r="A54" s="864"/>
      <c r="B54" s="4"/>
      <c r="C54" s="5"/>
      <c r="F54" s="32"/>
      <c r="G54" s="32"/>
      <c r="H54" s="36"/>
      <c r="I54" s="36"/>
      <c r="J54" s="36"/>
      <c r="L54" s="30"/>
      <c r="M54" s="30"/>
      <c r="N54" s="97"/>
      <c r="O54" s="32"/>
      <c r="P54" s="23"/>
      <c r="Q54" s="4"/>
      <c r="R54" s="439"/>
      <c r="T54" s="1166"/>
      <c r="U54" s="1"/>
    </row>
    <row r="55" spans="1:21" ht="20.100000000000001" customHeight="1">
      <c r="A55" s="864"/>
      <c r="B55" s="4" t="s">
        <v>1733</v>
      </c>
      <c r="C55" s="3" t="s">
        <v>1727</v>
      </c>
      <c r="F55" s="3174" t="str">
        <f>N38</f>
        <v xml:space="preserve"> </v>
      </c>
      <c r="G55" s="3175"/>
      <c r="H55" s="3473" t="s">
        <v>1742</v>
      </c>
      <c r="I55" s="2897"/>
      <c r="J55" s="2897"/>
      <c r="K55" s="3474"/>
      <c r="L55" s="2872"/>
      <c r="M55" s="2874"/>
      <c r="N55" s="79" t="s">
        <v>1240</v>
      </c>
      <c r="O55" s="3477" t="str">
        <f>IF(ISBLANK(L55)," ",19.65*0.6*(R55^2)*(F55^0.5))</f>
        <v xml:space="preserve"> </v>
      </c>
      <c r="P55" s="3478"/>
      <c r="Q55" s="4" t="s">
        <v>1034</v>
      </c>
      <c r="R55" s="638" t="str">
        <f>IF(ISBLANK(F8),"",IF(L55="1/4","0.25",IF(L55="7/32","0.21875",IF(L55="3/16","0.1875",IF(L55="1/8","0.125")))))</f>
        <v/>
      </c>
      <c r="T55" s="1166"/>
      <c r="U55" s="1"/>
    </row>
    <row r="56" spans="1:21" ht="6" customHeight="1">
      <c r="A56" s="864"/>
      <c r="B56" s="4"/>
      <c r="C56" s="5"/>
      <c r="F56" s="32"/>
      <c r="G56" s="32"/>
      <c r="H56" s="36"/>
      <c r="I56" s="36"/>
      <c r="J56" s="36"/>
      <c r="L56" s="30"/>
      <c r="M56" s="30"/>
      <c r="N56" s="97"/>
      <c r="O56" s="32"/>
      <c r="P56" s="23"/>
      <c r="Q56" s="4"/>
      <c r="R56" s="439"/>
      <c r="T56" s="1166"/>
      <c r="U56" s="1"/>
    </row>
    <row r="57" spans="1:21" ht="20.100000000000001" customHeight="1">
      <c r="A57" s="864"/>
      <c r="B57" s="4" t="s">
        <v>1734</v>
      </c>
      <c r="C57" s="3" t="s">
        <v>1727</v>
      </c>
      <c r="F57" s="3174" t="str">
        <f>N40</f>
        <v xml:space="preserve"> </v>
      </c>
      <c r="G57" s="3175"/>
      <c r="H57" s="3473" t="s">
        <v>1742</v>
      </c>
      <c r="I57" s="2897"/>
      <c r="J57" s="2897"/>
      <c r="K57" s="3474"/>
      <c r="L57" s="2872"/>
      <c r="M57" s="2874"/>
      <c r="N57" s="79" t="s">
        <v>1240</v>
      </c>
      <c r="O57" s="3477" t="str">
        <f>IF(ISBLANK(L57)," ",19.65*0.6*(R57^2)*(F57^0.5))</f>
        <v xml:space="preserve"> </v>
      </c>
      <c r="P57" s="3478"/>
      <c r="Q57" s="4" t="s">
        <v>1034</v>
      </c>
      <c r="R57" s="638" t="str">
        <f>IF(ISBLANK(F10),"",IF(L57="1/4","0.25",IF(L57="7/32","0.21875",IF(L57="3/16","0.1875",IF(L57="1/8","0.125")))))</f>
        <v/>
      </c>
      <c r="T57" s="1166"/>
      <c r="U57" s="1"/>
    </row>
    <row r="58" spans="1:21" ht="6" customHeight="1">
      <c r="A58" s="864"/>
      <c r="B58" s="4"/>
      <c r="C58" s="5"/>
      <c r="F58" s="32"/>
      <c r="G58" s="32"/>
      <c r="H58" s="36"/>
      <c r="I58" s="36"/>
      <c r="J58" s="36"/>
      <c r="L58" s="30"/>
      <c r="M58" s="30"/>
      <c r="N58" s="97"/>
      <c r="O58" s="32"/>
      <c r="P58" s="23"/>
      <c r="Q58" s="4"/>
      <c r="R58" s="439"/>
      <c r="T58" s="1166"/>
      <c r="U58" s="1"/>
    </row>
    <row r="59" spans="1:21" ht="20.100000000000001" customHeight="1">
      <c r="A59" s="864"/>
      <c r="B59" s="4" t="s">
        <v>1735</v>
      </c>
      <c r="C59" s="3" t="s">
        <v>1727</v>
      </c>
      <c r="F59" s="3174" t="str">
        <f>N42</f>
        <v xml:space="preserve"> </v>
      </c>
      <c r="G59" s="3175"/>
      <c r="H59" s="3473" t="s">
        <v>1742</v>
      </c>
      <c r="I59" s="2897"/>
      <c r="J59" s="2897"/>
      <c r="K59" s="3474"/>
      <c r="L59" s="2872"/>
      <c r="M59" s="2874"/>
      <c r="N59" s="79" t="s">
        <v>1240</v>
      </c>
      <c r="O59" s="3477" t="str">
        <f>IF(ISBLANK(L59)," ",19.65*0.6*(R59^2)*(F59^0.5))</f>
        <v xml:space="preserve"> </v>
      </c>
      <c r="P59" s="3478"/>
      <c r="Q59" s="4" t="s">
        <v>1034</v>
      </c>
      <c r="R59" s="638" t="str">
        <f>IF(ISBLANK(F12),"",IF(L59="1/4","0.25",IF(L59="7/32","0.21875",IF(L59="3/16","0.1875",IF(L59="1/8","0.125")))))</f>
        <v/>
      </c>
      <c r="T59" s="1166"/>
      <c r="U59" s="1"/>
    </row>
    <row r="60" spans="1:21" ht="6" customHeight="1">
      <c r="A60" s="864"/>
      <c r="B60" s="4"/>
      <c r="C60" s="5"/>
      <c r="F60" s="32"/>
      <c r="G60" s="32"/>
      <c r="H60" s="36"/>
      <c r="I60" s="36"/>
      <c r="J60" s="36"/>
      <c r="L60" s="30"/>
      <c r="M60" s="30"/>
      <c r="N60" s="97"/>
      <c r="O60" s="32"/>
      <c r="P60" s="23"/>
      <c r="Q60" s="4"/>
      <c r="R60" s="439"/>
      <c r="T60" s="1166"/>
      <c r="U60" s="1"/>
    </row>
    <row r="61" spans="1:21" ht="20.100000000000001" customHeight="1">
      <c r="A61" s="864"/>
      <c r="B61" s="4" t="s">
        <v>1736</v>
      </c>
      <c r="C61" s="3" t="s">
        <v>1727</v>
      </c>
      <c r="F61" s="3174" t="str">
        <f>N44</f>
        <v xml:space="preserve"> </v>
      </c>
      <c r="G61" s="3175"/>
      <c r="H61" s="3473" t="s">
        <v>1742</v>
      </c>
      <c r="I61" s="2897"/>
      <c r="J61" s="2897"/>
      <c r="K61" s="3474"/>
      <c r="L61" s="2872"/>
      <c r="M61" s="2874"/>
      <c r="N61" s="79" t="s">
        <v>1240</v>
      </c>
      <c r="O61" s="3477" t="str">
        <f>IF(ISBLANK(L61)," ",19.65*0.6*(R61^2)*(F61^0.5))</f>
        <v xml:space="preserve"> </v>
      </c>
      <c r="P61" s="3478"/>
      <c r="Q61" s="4" t="s">
        <v>1034</v>
      </c>
      <c r="R61" s="638" t="str">
        <f>IF(ISBLANK(F14),"",IF(L61="1/4","0.25",IF(L61="7/32","0.21875",IF(L61="3/16","0.1875",IF(L61="1/8","0.125")))))</f>
        <v/>
      </c>
      <c r="T61" s="1166"/>
      <c r="U61" s="1"/>
    </row>
    <row r="62" spans="1:21" ht="6" customHeight="1">
      <c r="A62" s="864"/>
      <c r="B62" s="4"/>
      <c r="C62" s="5"/>
      <c r="F62" s="32"/>
      <c r="G62" s="32"/>
      <c r="H62" s="36"/>
      <c r="I62" s="36"/>
      <c r="J62" s="36"/>
      <c r="L62" s="30"/>
      <c r="M62" s="30"/>
      <c r="N62" s="97"/>
      <c r="O62" s="32"/>
      <c r="P62" s="23"/>
      <c r="Q62" s="4"/>
      <c r="R62" s="439"/>
      <c r="T62" s="1166"/>
      <c r="U62" s="1"/>
    </row>
    <row r="63" spans="1:21" ht="20.100000000000001" customHeight="1">
      <c r="A63" s="864"/>
      <c r="B63" s="4" t="s">
        <v>1737</v>
      </c>
      <c r="C63" s="3" t="s">
        <v>1727</v>
      </c>
      <c r="F63" s="3174" t="str">
        <f>N46</f>
        <v xml:space="preserve"> </v>
      </c>
      <c r="G63" s="3175"/>
      <c r="H63" s="3473" t="s">
        <v>1742</v>
      </c>
      <c r="I63" s="2897"/>
      <c r="J63" s="2897"/>
      <c r="K63" s="3474"/>
      <c r="L63" s="2872"/>
      <c r="M63" s="2874"/>
      <c r="N63" s="79" t="s">
        <v>1240</v>
      </c>
      <c r="O63" s="3477" t="str">
        <f>IF(ISBLANK(L63)," ",19.65*0.6*(R63^2)*(F63^0.5))</f>
        <v xml:space="preserve"> </v>
      </c>
      <c r="P63" s="3478"/>
      <c r="Q63" s="4" t="s">
        <v>1034</v>
      </c>
      <c r="R63" s="638" t="str">
        <f>IF(ISBLANK(F16),"",IF(L63="1/4","0.25",IF(L63="7/32","0.21875",IF(L63="3/16","0.1875",IF(L63="1/8","0.125")))))</f>
        <v/>
      </c>
      <c r="S63" s="1" t="s">
        <v>1712</v>
      </c>
      <c r="T63" s="1166"/>
      <c r="U63" s="1"/>
    </row>
    <row r="64" spans="1:21" ht="10.35" customHeight="1">
      <c r="A64" s="1326"/>
      <c r="B64" s="25"/>
      <c r="C64" s="25"/>
      <c r="D64" s="25"/>
      <c r="E64" s="25"/>
      <c r="F64" s="25"/>
      <c r="G64" s="25"/>
      <c r="H64" s="25"/>
      <c r="I64" s="78"/>
      <c r="J64" s="25"/>
      <c r="K64" s="25"/>
      <c r="L64" s="25"/>
      <c r="M64" s="25"/>
      <c r="N64" s="25"/>
      <c r="O64" s="25"/>
      <c r="P64" s="25"/>
      <c r="Q64" s="25"/>
      <c r="R64" s="363"/>
      <c r="S64" s="364"/>
      <c r="T64" s="1174"/>
      <c r="U64" s="1"/>
    </row>
    <row r="65" spans="1:21" ht="18" customHeight="1">
      <c r="A65" s="1330" t="s">
        <v>510</v>
      </c>
      <c r="B65" s="37" t="s">
        <v>1743</v>
      </c>
      <c r="C65" s="37"/>
      <c r="D65" s="37"/>
      <c r="E65" s="37"/>
      <c r="F65" s="37"/>
      <c r="G65" s="37"/>
      <c r="H65" s="37"/>
      <c r="I65" s="37"/>
      <c r="J65" s="37"/>
      <c r="K65" s="37"/>
      <c r="L65" s="37"/>
      <c r="M65" s="37"/>
      <c r="N65" s="37"/>
      <c r="O65" s="37"/>
      <c r="P65" s="37"/>
      <c r="Q65" s="37"/>
      <c r="R65" s="37"/>
      <c r="S65" s="37"/>
      <c r="T65" s="1331"/>
      <c r="U65" s="1"/>
    </row>
    <row r="66" spans="1:21" ht="6" customHeight="1">
      <c r="A66" s="1332"/>
      <c r="T66" s="2"/>
      <c r="U66" s="1"/>
    </row>
    <row r="67" spans="1:21" ht="20.100000000000001" customHeight="1">
      <c r="A67" s="872" t="s">
        <v>1011</v>
      </c>
      <c r="B67" s="3" t="s">
        <v>1655</v>
      </c>
      <c r="C67" s="3"/>
      <c r="D67" s="3"/>
      <c r="E67" s="3"/>
      <c r="F67" s="3172"/>
      <c r="G67" s="3173"/>
      <c r="H67" s="4" t="s">
        <v>903</v>
      </c>
      <c r="I67" s="4" t="s">
        <v>1240</v>
      </c>
      <c r="J67" s="3174" t="str">
        <f>IF(ISBLANK(F67),"",F67*12)</f>
        <v/>
      </c>
      <c r="K67" s="3175"/>
      <c r="L67" s="1" t="s">
        <v>762</v>
      </c>
      <c r="T67" s="2"/>
      <c r="U67" s="1"/>
    </row>
    <row r="68" spans="1:21" ht="6" customHeight="1">
      <c r="A68" s="872"/>
      <c r="B68" s="3"/>
      <c r="C68" s="3"/>
      <c r="D68" s="3"/>
      <c r="E68" s="3"/>
      <c r="F68" s="30"/>
      <c r="G68" s="30"/>
      <c r="H68" s="4"/>
      <c r="T68" s="2"/>
      <c r="U68" s="1"/>
    </row>
    <row r="69" spans="1:21" ht="18" customHeight="1">
      <c r="A69" s="872" t="s">
        <v>1019</v>
      </c>
      <c r="B69" s="7" t="s">
        <v>1744</v>
      </c>
      <c r="C69" s="8"/>
      <c r="D69" s="8"/>
      <c r="E69" s="8"/>
      <c r="F69" s="8"/>
      <c r="G69" s="8"/>
      <c r="T69" s="2"/>
      <c r="U69" s="1"/>
    </row>
    <row r="70" spans="1:21" ht="6" customHeight="1">
      <c r="A70" s="872"/>
      <c r="B70" s="7"/>
      <c r="C70" s="8"/>
      <c r="D70" s="8"/>
      <c r="E70" s="8"/>
      <c r="F70" s="8"/>
      <c r="G70" s="8"/>
      <c r="T70" s="2"/>
      <c r="U70" s="1"/>
    </row>
    <row r="71" spans="1:21" ht="20.100000000000001" customHeight="1">
      <c r="A71" s="872"/>
      <c r="B71" s="3179" t="str">
        <f>IF(ISBLANK(M6)," ",M6)</f>
        <v xml:space="preserve"> </v>
      </c>
      <c r="C71" s="3171"/>
      <c r="D71" s="3463" t="s">
        <v>1745</v>
      </c>
      <c r="E71" s="3535"/>
      <c r="F71" s="3431" t="str">
        <f>IF(ISBLANK(M6)," ",B71-2)</f>
        <v xml:space="preserve"> </v>
      </c>
      <c r="G71" s="3432"/>
      <c r="I71" s="301"/>
      <c r="J71" s="9"/>
      <c r="K71" s="9"/>
      <c r="L71" s="301"/>
      <c r="T71" s="2"/>
      <c r="U71" s="1"/>
    </row>
    <row r="72" spans="1:21" ht="6" customHeight="1">
      <c r="A72" s="872"/>
      <c r="B72" s="3"/>
      <c r="C72" s="3"/>
      <c r="D72" s="3"/>
      <c r="E72" s="3"/>
      <c r="F72" s="30"/>
      <c r="G72" s="30"/>
      <c r="H72" s="4"/>
      <c r="T72" s="2"/>
      <c r="U72" s="1"/>
    </row>
    <row r="73" spans="1:21" ht="18" customHeight="1">
      <c r="A73" s="872" t="s">
        <v>1168</v>
      </c>
      <c r="B73" s="3443" t="s">
        <v>1746</v>
      </c>
      <c r="C73" s="3443"/>
      <c r="D73" s="3443"/>
      <c r="E73" s="3443"/>
      <c r="F73" s="3443"/>
      <c r="G73" s="3443"/>
      <c r="H73" s="3443"/>
      <c r="I73" s="3443"/>
      <c r="J73" s="3443"/>
      <c r="K73" s="3443"/>
      <c r="L73" s="3443"/>
      <c r="M73" s="26"/>
      <c r="N73" s="26"/>
      <c r="O73" s="26"/>
      <c r="P73" s="26"/>
      <c r="Q73" s="26"/>
      <c r="T73" s="2"/>
      <c r="U73" s="1"/>
    </row>
    <row r="74" spans="1:21" ht="18" customHeight="1">
      <c r="A74" s="872"/>
      <c r="B74" s="3443"/>
      <c r="C74" s="3443"/>
      <c r="D74" s="3443"/>
      <c r="E74" s="3443"/>
      <c r="F74" s="3443"/>
      <c r="G74" s="3443"/>
      <c r="H74" s="3443"/>
      <c r="I74" s="3443"/>
      <c r="J74" s="3443"/>
      <c r="K74" s="3443"/>
      <c r="L74" s="3443"/>
      <c r="M74" s="26"/>
      <c r="N74" s="26"/>
      <c r="O74" s="26"/>
      <c r="P74" s="26"/>
      <c r="Q74" s="26"/>
      <c r="T74" s="2"/>
      <c r="U74" s="1"/>
    </row>
    <row r="75" spans="1:21" ht="18" customHeight="1">
      <c r="A75" s="872"/>
      <c r="B75" s="3443"/>
      <c r="C75" s="3443"/>
      <c r="D75" s="3443"/>
      <c r="E75" s="3443"/>
      <c r="F75" s="3443"/>
      <c r="G75" s="3443"/>
      <c r="H75" s="3443"/>
      <c r="I75" s="3443"/>
      <c r="J75" s="3443"/>
      <c r="K75" s="3443"/>
      <c r="L75" s="3443"/>
      <c r="M75" s="26"/>
      <c r="N75" s="26"/>
      <c r="O75" s="26"/>
      <c r="P75" s="26"/>
      <c r="Q75" s="26"/>
      <c r="T75" s="2"/>
      <c r="U75" s="1"/>
    </row>
    <row r="76" spans="1:21" ht="20.100000000000001" customHeight="1">
      <c r="A76" s="872"/>
      <c r="B76" s="3431" t="str">
        <f>F71</f>
        <v xml:space="preserve"> </v>
      </c>
      <c r="C76" s="3432"/>
      <c r="D76" s="4" t="s">
        <v>1747</v>
      </c>
      <c r="E76" s="3169" t="str">
        <f>IF(ISBLANK(F67)," ",F67)</f>
        <v xml:space="preserve"> </v>
      </c>
      <c r="F76" s="3170"/>
      <c r="G76" s="4" t="s">
        <v>1279</v>
      </c>
      <c r="H76" s="3418" t="str">
        <f>IF(ISERROR(ROUNDDOWN((B76/E76),0))," ",ROUNDDOWN((B76/E76),0))</f>
        <v xml:space="preserve"> </v>
      </c>
      <c r="I76" s="3419"/>
      <c r="J76" s="3" t="s">
        <v>1658</v>
      </c>
      <c r="K76" s="9"/>
      <c r="L76" s="8"/>
      <c r="M76" s="30"/>
      <c r="T76" s="2"/>
      <c r="U76" s="1"/>
    </row>
    <row r="77" spans="1:21" ht="6" customHeight="1">
      <c r="A77" s="1333"/>
      <c r="B77" s="7"/>
      <c r="C77" s="3"/>
      <c r="F77" s="30"/>
      <c r="G77" s="30"/>
      <c r="H77" s="4"/>
      <c r="I77" s="30"/>
      <c r="J77" s="30"/>
      <c r="K77" s="4"/>
      <c r="L77" s="30"/>
      <c r="M77" s="30"/>
      <c r="N77" s="3"/>
      <c r="T77" s="2"/>
      <c r="U77" s="1"/>
    </row>
    <row r="78" spans="1:21" ht="18" customHeight="1">
      <c r="A78" s="872" t="s">
        <v>1172</v>
      </c>
      <c r="B78" s="3" t="s">
        <v>1748</v>
      </c>
      <c r="D78" s="3"/>
      <c r="E78" s="3"/>
      <c r="F78" s="3"/>
      <c r="G78" s="3"/>
      <c r="J78" s="345"/>
      <c r="K78" s="345"/>
      <c r="M78" s="345"/>
      <c r="N78" s="345"/>
      <c r="T78" s="2"/>
      <c r="U78" s="1"/>
    </row>
    <row r="79" spans="1:21" ht="6" customHeight="1">
      <c r="A79" s="1333"/>
      <c r="B79" s="7"/>
      <c r="C79" s="3"/>
      <c r="F79" s="30"/>
      <c r="G79" s="30"/>
      <c r="H79" s="4"/>
      <c r="I79" s="30"/>
      <c r="J79" s="30"/>
      <c r="K79" s="4"/>
      <c r="L79" s="30"/>
      <c r="M79" s="30"/>
      <c r="N79" s="3"/>
      <c r="T79" s="2"/>
      <c r="U79" s="1"/>
    </row>
    <row r="80" spans="1:21" ht="18" customHeight="1">
      <c r="A80" s="1333" t="s">
        <v>1177</v>
      </c>
      <c r="B80" s="7" t="s">
        <v>1749</v>
      </c>
      <c r="C80" s="3"/>
      <c r="T80" s="2"/>
      <c r="U80" s="1"/>
    </row>
    <row r="81" spans="1:21" ht="20.100000000000001" customHeight="1">
      <c r="A81" s="872"/>
      <c r="B81" s="3418" t="str">
        <f>H76</f>
        <v xml:space="preserve"> </v>
      </c>
      <c r="C81" s="3419"/>
      <c r="D81" s="3472" t="s">
        <v>1750</v>
      </c>
      <c r="E81" s="3164"/>
      <c r="F81" s="3164"/>
      <c r="G81" s="3418" t="str">
        <f>IF(ISERROR(B81+1)," ",B81+1)</f>
        <v xml:space="preserve"> </v>
      </c>
      <c r="H81" s="3419"/>
      <c r="L81" s="30"/>
      <c r="M81" s="30"/>
      <c r="N81" s="97"/>
      <c r="O81" s="97"/>
      <c r="P81" s="97"/>
      <c r="Q81" s="30"/>
      <c r="R81" s="30"/>
      <c r="T81" s="2"/>
      <c r="U81" s="1"/>
    </row>
    <row r="82" spans="1:21" ht="6" customHeight="1">
      <c r="A82" s="1333"/>
      <c r="T82" s="2"/>
      <c r="U82" s="1"/>
    </row>
    <row r="83" spans="1:21" ht="18" customHeight="1">
      <c r="A83" s="1333" t="s">
        <v>1179</v>
      </c>
      <c r="B83" s="7" t="s">
        <v>1751</v>
      </c>
      <c r="C83" s="26"/>
      <c r="D83" s="26"/>
      <c r="E83" s="26"/>
      <c r="F83" s="26"/>
      <c r="G83" s="26"/>
      <c r="H83" s="26"/>
      <c r="I83" s="26"/>
      <c r="J83" s="26"/>
      <c r="K83" s="26"/>
      <c r="T83" s="2"/>
      <c r="U83" s="1"/>
    </row>
    <row r="84" spans="1:21" ht="6" customHeight="1">
      <c r="A84" s="1334"/>
      <c r="B84" s="26"/>
      <c r="C84" s="26"/>
      <c r="D84" s="26"/>
      <c r="E84" s="26"/>
      <c r="F84" s="26"/>
      <c r="G84" s="26"/>
      <c r="H84" s="26"/>
      <c r="I84" s="26"/>
      <c r="J84" s="26"/>
      <c r="K84" s="26"/>
      <c r="T84" s="2"/>
      <c r="U84" s="1"/>
    </row>
    <row r="85" spans="1:21" ht="20.100000000000001" customHeight="1">
      <c r="A85" s="516"/>
      <c r="B85" s="3418" t="str">
        <f>G81</f>
        <v xml:space="preserve"> </v>
      </c>
      <c r="C85" s="3419"/>
      <c r="D85" s="4" t="s">
        <v>1343</v>
      </c>
      <c r="E85" s="3169" t="str">
        <f>O53</f>
        <v xml:space="preserve"> </v>
      </c>
      <c r="F85" s="3170"/>
      <c r="G85" s="4" t="s">
        <v>1240</v>
      </c>
      <c r="H85" s="3174" t="str">
        <f>IF(ISBLANK(F67)," ",B85*E85)</f>
        <v xml:space="preserve"> </v>
      </c>
      <c r="I85" s="3175"/>
      <c r="J85" s="8" t="s">
        <v>1752</v>
      </c>
      <c r="T85" s="2"/>
      <c r="U85" s="1"/>
    </row>
    <row r="86" spans="1:21" ht="6" customHeight="1">
      <c r="A86" s="1326"/>
      <c r="B86" s="25"/>
      <c r="C86" s="25"/>
      <c r="D86" s="25"/>
      <c r="E86" s="25"/>
      <c r="F86" s="25"/>
      <c r="G86" s="25"/>
      <c r="H86" s="25"/>
      <c r="I86" s="25"/>
      <c r="J86" s="25"/>
      <c r="K86" s="25"/>
      <c r="L86" s="25"/>
      <c r="M86" s="25"/>
      <c r="N86" s="25"/>
      <c r="O86" s="25"/>
      <c r="P86" s="25"/>
      <c r="Q86" s="25"/>
      <c r="R86" s="25"/>
      <c r="S86" s="25"/>
      <c r="T86" s="1335"/>
      <c r="U86" s="1"/>
    </row>
    <row r="87" spans="1:21" ht="18" customHeight="1">
      <c r="A87" s="1330" t="s">
        <v>515</v>
      </c>
      <c r="B87" s="3479" t="s">
        <v>1753</v>
      </c>
      <c r="C87" s="3479"/>
      <c r="D87" s="3479"/>
      <c r="E87" s="3479"/>
      <c r="F87" s="3479"/>
      <c r="G87" s="3479"/>
      <c r="H87" s="3479"/>
      <c r="I87" s="3479"/>
      <c r="J87" s="3479"/>
      <c r="K87" s="3479"/>
      <c r="L87" s="3479"/>
      <c r="M87" s="3479"/>
      <c r="N87" s="3479"/>
      <c r="O87" s="37"/>
      <c r="P87" s="37"/>
      <c r="Q87" s="37"/>
      <c r="R87" s="37"/>
      <c r="S87" s="37"/>
      <c r="T87" s="1331"/>
      <c r="U87" s="1"/>
    </row>
    <row r="88" spans="1:21" ht="18" customHeight="1">
      <c r="A88" s="516"/>
      <c r="B88" s="2946"/>
      <c r="C88" s="2946"/>
      <c r="D88" s="2946"/>
      <c r="E88" s="2946"/>
      <c r="F88" s="2946"/>
      <c r="G88" s="2946"/>
      <c r="H88" s="2946"/>
      <c r="I88" s="2946"/>
      <c r="J88" s="2946"/>
      <c r="K88" s="2946"/>
      <c r="L88" s="2946"/>
      <c r="M88" s="2946"/>
      <c r="N88" s="2946"/>
      <c r="T88" s="2"/>
      <c r="U88" s="1"/>
    </row>
    <row r="89" spans="1:21" ht="18" customHeight="1">
      <c r="A89" s="516"/>
      <c r="B89" s="1" t="s">
        <v>1754</v>
      </c>
      <c r="E89" s="1" t="s">
        <v>1755</v>
      </c>
      <c r="T89" s="2"/>
      <c r="U89" s="1"/>
    </row>
    <row r="90" spans="1:21" ht="6" customHeight="1">
      <c r="A90" s="516"/>
      <c r="T90" s="2"/>
      <c r="U90" s="1"/>
    </row>
    <row r="91" spans="1:21" ht="20.100000000000001" customHeight="1">
      <c r="A91" s="1153"/>
      <c r="B91" s="3174" t="str">
        <f>H85</f>
        <v xml:space="preserve"> </v>
      </c>
      <c r="C91" s="3175"/>
      <c r="D91" s="2158" t="s">
        <v>1558</v>
      </c>
      <c r="E91" s="567" t="str">
        <f>F71</f>
        <v xml:space="preserve"> </v>
      </c>
      <c r="F91" s="19" t="s">
        <v>1240</v>
      </c>
      <c r="G91" s="3174" t="str">
        <f>IF(ISBLANK(F67)," ",B91/E91)</f>
        <v xml:space="preserve"> </v>
      </c>
      <c r="H91" s="3175"/>
      <c r="I91" s="1" t="s">
        <v>1756</v>
      </c>
      <c r="K91" s="30"/>
      <c r="L91" s="30"/>
      <c r="M91" s="30"/>
      <c r="N91" s="30"/>
      <c r="O91" s="30"/>
      <c r="P91" s="30"/>
      <c r="Q91" s="30"/>
      <c r="R91" s="30"/>
      <c r="S91" s="30"/>
      <c r="T91" s="1157"/>
      <c r="U91" s="1"/>
    </row>
    <row r="92" spans="1:21" ht="18" customHeight="1">
      <c r="A92" s="1336"/>
      <c r="B92" s="13"/>
      <c r="C92" s="13"/>
      <c r="D92" s="13"/>
      <c r="E92" s="13"/>
      <c r="F92" s="13"/>
      <c r="G92" s="13"/>
      <c r="H92" s="13"/>
      <c r="I92" s="13"/>
      <c r="J92" s="13"/>
      <c r="K92" s="13"/>
      <c r="L92" s="13"/>
      <c r="M92" s="13"/>
      <c r="N92" s="13"/>
      <c r="O92" s="13"/>
      <c r="P92" s="13"/>
      <c r="Q92" s="13"/>
      <c r="R92" s="13"/>
      <c r="S92" s="13"/>
      <c r="T92" s="1337"/>
      <c r="U92" s="1"/>
    </row>
    <row r="93" spans="1:21" ht="21" customHeight="1">
      <c r="A93" s="1336"/>
      <c r="B93" s="13"/>
      <c r="C93" s="13"/>
      <c r="D93" s="13"/>
      <c r="E93" s="13"/>
      <c r="F93" s="13"/>
      <c r="G93" s="13"/>
      <c r="H93" s="13"/>
      <c r="I93" s="13"/>
      <c r="J93" s="13"/>
      <c r="K93" s="13"/>
      <c r="L93" s="13"/>
      <c r="M93" s="13"/>
      <c r="N93" s="13"/>
      <c r="O93" s="13"/>
      <c r="P93" s="13"/>
      <c r="Q93" s="13"/>
      <c r="R93" s="13"/>
      <c r="S93" s="13"/>
      <c r="T93" s="1337"/>
      <c r="U93" s="1"/>
    </row>
    <row r="94" spans="1:21" ht="21" customHeight="1">
      <c r="A94" s="1336"/>
      <c r="B94" s="13"/>
      <c r="C94" s="13"/>
      <c r="D94" s="13"/>
      <c r="E94" s="13"/>
      <c r="F94" s="13"/>
      <c r="G94" s="13"/>
      <c r="H94" s="13"/>
      <c r="I94" s="13"/>
      <c r="J94" s="13"/>
      <c r="K94" s="13"/>
      <c r="L94" s="13"/>
      <c r="M94" s="13"/>
      <c r="N94" s="13"/>
      <c r="O94" s="13"/>
      <c r="P94" s="13"/>
      <c r="Q94" s="13"/>
      <c r="R94" s="13"/>
      <c r="S94" s="13"/>
      <c r="T94" s="1337"/>
      <c r="U94" s="1"/>
    </row>
    <row r="95" spans="1:21" ht="21" customHeight="1">
      <c r="A95" s="1336"/>
      <c r="B95" s="13"/>
      <c r="C95" s="13"/>
      <c r="D95" s="13"/>
      <c r="E95" s="13"/>
      <c r="F95" s="13"/>
      <c r="G95" s="13"/>
      <c r="H95" s="13"/>
      <c r="I95" s="13"/>
      <c r="J95" s="13"/>
      <c r="K95" s="13"/>
      <c r="L95" s="13"/>
      <c r="M95" s="13"/>
      <c r="N95" s="13"/>
      <c r="O95" s="13"/>
      <c r="P95" s="13"/>
      <c r="Q95" s="13"/>
      <c r="R95" s="13"/>
      <c r="S95" s="13"/>
      <c r="T95" s="1337"/>
      <c r="U95" s="1"/>
    </row>
    <row r="96" spans="1:21" ht="21" customHeight="1">
      <c r="A96" s="1336"/>
      <c r="B96" s="13"/>
      <c r="C96" s="13"/>
      <c r="D96" s="13"/>
      <c r="E96" s="13"/>
      <c r="F96" s="13"/>
      <c r="G96" s="13"/>
      <c r="H96" s="13"/>
      <c r="I96" s="13"/>
      <c r="J96" s="13"/>
      <c r="K96" s="13"/>
      <c r="L96" s="13"/>
      <c r="M96" s="13"/>
      <c r="N96" s="13"/>
      <c r="O96" s="13"/>
      <c r="P96" s="13"/>
      <c r="Q96" s="13"/>
      <c r="R96" s="13"/>
      <c r="S96" s="13"/>
      <c r="T96" s="1337"/>
      <c r="U96" s="1"/>
    </row>
    <row r="97" spans="1:38" ht="21" customHeight="1">
      <c r="A97" s="1338"/>
      <c r="B97" s="1286"/>
      <c r="C97" s="1286"/>
      <c r="D97" s="1286"/>
      <c r="E97" s="1286"/>
      <c r="F97" s="1286"/>
      <c r="G97" s="1286"/>
      <c r="H97" s="1286"/>
      <c r="I97" s="1286"/>
      <c r="J97" s="1286"/>
      <c r="K97" s="1286"/>
      <c r="L97" s="1286"/>
      <c r="M97" s="1286"/>
      <c r="N97" s="1286"/>
      <c r="O97" s="1286"/>
      <c r="P97" s="1286"/>
      <c r="Q97" s="1286"/>
      <c r="R97" s="1286"/>
      <c r="S97" s="1286"/>
      <c r="T97" s="1328"/>
      <c r="U97" s="1"/>
    </row>
    <row r="98" spans="1:38" ht="21" customHeight="1">
      <c r="A98" s="1338"/>
      <c r="B98" s="1286"/>
      <c r="C98" s="35"/>
      <c r="D98" s="35"/>
      <c r="E98" s="35"/>
      <c r="F98" s="35"/>
      <c r="G98" s="35"/>
      <c r="H98" s="1286"/>
      <c r="I98" s="1286"/>
      <c r="J98" s="35"/>
      <c r="K98" s="35"/>
      <c r="L98" s="35"/>
      <c r="M98" s="35"/>
      <c r="N98" s="35"/>
      <c r="O98" s="1286"/>
      <c r="P98" s="1286"/>
      <c r="Q98" s="1286"/>
      <c r="R98" s="35"/>
      <c r="S98" s="35"/>
      <c r="T98" s="1339"/>
      <c r="U98" s="1"/>
    </row>
    <row r="99" spans="1:38" ht="21" customHeight="1">
      <c r="A99" s="1338"/>
      <c r="B99" s="1286"/>
      <c r="C99" s="1286"/>
      <c r="D99" s="1286"/>
      <c r="E99" s="1286"/>
      <c r="F99" s="1286"/>
      <c r="G99" s="1286"/>
      <c r="H99" s="1286"/>
      <c r="I99" s="1286"/>
      <c r="J99" s="1286"/>
      <c r="K99" s="1286"/>
      <c r="L99" s="1286"/>
      <c r="M99" s="1286"/>
      <c r="N99" s="1286"/>
      <c r="O99" s="1286"/>
      <c r="P99" s="1286"/>
      <c r="Q99" s="1286"/>
      <c r="R99" s="1286"/>
      <c r="S99" s="1286"/>
      <c r="T99" s="1328"/>
      <c r="U99" s="1"/>
    </row>
    <row r="100" spans="1:38" ht="21" customHeight="1">
      <c r="A100" s="1338"/>
      <c r="B100" s="1286"/>
      <c r="C100" s="1286"/>
      <c r="D100" s="1286"/>
      <c r="E100" s="1286"/>
      <c r="F100" s="1286"/>
      <c r="G100" s="1286"/>
      <c r="H100" s="1286"/>
      <c r="I100" s="1286"/>
      <c r="J100" s="1286"/>
      <c r="K100" s="1286"/>
      <c r="L100" s="1286"/>
      <c r="M100" s="1286"/>
      <c r="N100" s="1286"/>
      <c r="O100" s="1286"/>
      <c r="P100" s="1286"/>
      <c r="Q100" s="1286"/>
      <c r="R100" s="1286"/>
      <c r="S100" s="1286"/>
      <c r="T100" s="1328"/>
      <c r="U100" s="1"/>
    </row>
    <row r="101" spans="1:38" ht="21" customHeight="1">
      <c r="A101" s="1338"/>
      <c r="B101" s="1286"/>
      <c r="C101" s="1286"/>
      <c r="D101" s="1286"/>
      <c r="E101" s="1286"/>
      <c r="F101" s="1286"/>
      <c r="G101" s="1286"/>
      <c r="H101" s="3483"/>
      <c r="I101" s="3483"/>
      <c r="J101" s="1286"/>
      <c r="K101" s="1286"/>
      <c r="L101" s="1286"/>
      <c r="M101" s="1286"/>
      <c r="N101" s="1286"/>
      <c r="O101" s="1286"/>
      <c r="P101" s="1286"/>
      <c r="Q101" s="1286"/>
      <c r="R101" s="1286"/>
      <c r="S101" s="1286"/>
      <c r="T101" s="1328"/>
      <c r="U101" s="1"/>
    </row>
    <row r="102" spans="1:38" ht="21" customHeight="1">
      <c r="A102" s="1338"/>
      <c r="B102" s="1286"/>
      <c r="C102" s="1286"/>
      <c r="D102" s="1286"/>
      <c r="E102" s="1286"/>
      <c r="F102" s="1286"/>
      <c r="G102" s="1286"/>
      <c r="H102" s="1286"/>
      <c r="I102" s="1286"/>
      <c r="J102" s="1286"/>
      <c r="K102" s="1286"/>
      <c r="L102" s="1286"/>
      <c r="M102" s="1286"/>
      <c r="N102" s="1286"/>
      <c r="O102" s="1286"/>
      <c r="P102" s="1286"/>
      <c r="Q102" s="1286"/>
      <c r="R102" s="1286"/>
      <c r="S102" s="1286"/>
      <c r="T102" s="1328"/>
      <c r="U102" s="1"/>
      <c r="AI102" s="3"/>
      <c r="AJ102" s="3"/>
      <c r="AK102" s="3"/>
      <c r="AL102" s="3"/>
    </row>
    <row r="103" spans="1:38" ht="21" customHeight="1">
      <c r="A103" s="1340"/>
      <c r="B103" s="84"/>
      <c r="C103" s="84"/>
      <c r="D103" s="84"/>
      <c r="E103" s="84"/>
      <c r="F103" s="84"/>
      <c r="G103" s="84"/>
      <c r="H103" s="84"/>
      <c r="I103" s="84"/>
      <c r="J103" s="84"/>
      <c r="K103" s="84"/>
      <c r="L103" s="84"/>
      <c r="M103" s="84"/>
      <c r="N103" s="84"/>
      <c r="O103" s="84"/>
      <c r="P103" s="84"/>
      <c r="Q103" s="84"/>
      <c r="R103" s="84"/>
      <c r="S103" s="84"/>
      <c r="T103" s="1341"/>
      <c r="U103" s="1"/>
    </row>
    <row r="104" spans="1:38" ht="18" customHeight="1">
      <c r="A104" s="1342" t="s">
        <v>519</v>
      </c>
      <c r="B104" s="85" t="s">
        <v>1757</v>
      </c>
      <c r="C104" s="37"/>
      <c r="D104" s="37"/>
      <c r="E104" s="37"/>
      <c r="F104" s="37"/>
      <c r="G104" s="37"/>
      <c r="H104" s="37"/>
      <c r="I104" s="37"/>
      <c r="J104" s="37"/>
      <c r="K104" s="37"/>
      <c r="L104" s="37"/>
      <c r="M104" s="37"/>
      <c r="N104" s="37"/>
      <c r="O104" s="37"/>
      <c r="P104" s="37"/>
      <c r="Q104" s="37"/>
      <c r="R104" s="37"/>
      <c r="S104" s="37"/>
      <c r="T104" s="1331"/>
      <c r="U104" s="1"/>
      <c r="AI104" s="3"/>
      <c r="AJ104" s="3"/>
      <c r="AK104" s="3"/>
      <c r="AL104" s="3"/>
    </row>
    <row r="105" spans="1:38" ht="18" customHeight="1">
      <c r="A105" s="1343"/>
      <c r="B105" s="3" t="s">
        <v>1758</v>
      </c>
      <c r="T105" s="2"/>
      <c r="U105" s="1"/>
    </row>
    <row r="106" spans="1:38" ht="6" customHeight="1">
      <c r="A106" s="1343"/>
      <c r="B106" s="3"/>
      <c r="T106" s="2"/>
      <c r="U106" s="1"/>
    </row>
    <row r="107" spans="1:38" s="3" customFormat="1" ht="18" customHeight="1">
      <c r="A107" s="564"/>
      <c r="B107" s="3" t="s">
        <v>1759</v>
      </c>
      <c r="T107" s="683"/>
    </row>
    <row r="108" spans="1:38" s="3" customFormat="1" ht="6" customHeight="1">
      <c r="A108" s="564"/>
      <c r="T108" s="683"/>
    </row>
    <row r="109" spans="1:38" ht="20.100000000000001" customHeight="1">
      <c r="A109" s="516"/>
      <c r="B109" s="3431" t="str">
        <f>IF(ISBLANK(M8)," ",M8-2)</f>
        <v xml:space="preserve"> </v>
      </c>
      <c r="C109" s="3432"/>
      <c r="D109" s="4" t="s">
        <v>1572</v>
      </c>
      <c r="E109" s="3169" t="str">
        <f>IF(ISBLANK(F8),"",G91)</f>
        <v/>
      </c>
      <c r="F109" s="3170"/>
      <c r="G109" s="2935" t="s">
        <v>1760</v>
      </c>
      <c r="H109" s="2869"/>
      <c r="I109" s="3174" t="str">
        <f>IF(ISBLANK(M8)," ",B109*E109)</f>
        <v xml:space="preserve"> </v>
      </c>
      <c r="J109" s="3175"/>
      <c r="K109" s="3" t="s">
        <v>1034</v>
      </c>
      <c r="L109" s="3528" t="s">
        <v>1761</v>
      </c>
      <c r="M109" s="3528"/>
      <c r="N109" s="3528"/>
      <c r="O109" s="3528"/>
      <c r="P109" s="3528"/>
      <c r="Q109" s="3528"/>
      <c r="R109" s="3528"/>
      <c r="S109" s="3528"/>
      <c r="T109" s="3529"/>
      <c r="U109" s="1"/>
    </row>
    <row r="110" spans="1:38" ht="6" customHeight="1">
      <c r="A110" s="516"/>
      <c r="C110" s="30"/>
      <c r="D110" s="30"/>
      <c r="E110" s="79"/>
      <c r="F110" s="27"/>
      <c r="G110" s="27"/>
      <c r="H110" s="79"/>
      <c r="I110" s="79"/>
      <c r="J110" s="32"/>
      <c r="K110" s="32"/>
      <c r="L110" s="3528"/>
      <c r="M110" s="3528"/>
      <c r="N110" s="3528"/>
      <c r="O110" s="3528"/>
      <c r="P110" s="3528"/>
      <c r="Q110" s="3528"/>
      <c r="R110" s="3528"/>
      <c r="S110" s="3528"/>
      <c r="T110" s="3529"/>
      <c r="U110" s="1"/>
    </row>
    <row r="111" spans="1:38" s="3" customFormat="1" ht="18" customHeight="1">
      <c r="A111" s="564"/>
      <c r="B111" s="3" t="s">
        <v>1762</v>
      </c>
      <c r="L111" s="3528"/>
      <c r="M111" s="3528"/>
      <c r="N111" s="3528"/>
      <c r="O111" s="3528"/>
      <c r="P111" s="3528"/>
      <c r="Q111" s="3528"/>
      <c r="R111" s="3528"/>
      <c r="S111" s="3528"/>
      <c r="T111" s="3529"/>
      <c r="W111" s="1585"/>
    </row>
    <row r="112" spans="1:38" s="3" customFormat="1" ht="11.25" customHeight="1">
      <c r="A112" s="564"/>
      <c r="L112" s="3528"/>
      <c r="M112" s="3528"/>
      <c r="N112" s="3528"/>
      <c r="O112" s="3528"/>
      <c r="P112" s="3528"/>
      <c r="Q112" s="3528"/>
      <c r="R112" s="3528"/>
      <c r="S112" s="3528"/>
      <c r="T112" s="3529"/>
    </row>
    <row r="113" spans="1:24" ht="20.100000000000001" customHeight="1">
      <c r="A113" s="516"/>
      <c r="B113" s="3174" t="str">
        <f>I109</f>
        <v xml:space="preserve"> </v>
      </c>
      <c r="C113" s="3175"/>
      <c r="D113" s="9" t="s">
        <v>1558</v>
      </c>
      <c r="E113" s="3169" t="str">
        <f>O55</f>
        <v xml:space="preserve"> </v>
      </c>
      <c r="F113" s="3170"/>
      <c r="G113" s="4" t="s">
        <v>1240</v>
      </c>
      <c r="H113" s="3165" t="str">
        <f>IF(ISBLANK(M8)," ",TRUNC(B113/E113,0))</f>
        <v xml:space="preserve"> </v>
      </c>
      <c r="I113" s="3166"/>
      <c r="J113" s="8" t="s">
        <v>1763</v>
      </c>
      <c r="L113" s="1" t="s">
        <v>1764</v>
      </c>
      <c r="M113"/>
      <c r="N113"/>
      <c r="O113"/>
      <c r="P113"/>
      <c r="Q113"/>
      <c r="R113"/>
      <c r="S113"/>
      <c r="T113" s="2"/>
      <c r="U113" s="1"/>
    </row>
    <row r="114" spans="1:24" ht="6" customHeight="1">
      <c r="A114" s="516"/>
      <c r="B114" s="32"/>
      <c r="C114" s="32"/>
      <c r="D114" s="101"/>
      <c r="E114" s="27"/>
      <c r="F114" s="27"/>
      <c r="G114" s="79"/>
      <c r="H114" s="31"/>
      <c r="I114" s="31"/>
      <c r="J114" s="8"/>
      <c r="N114" s="345"/>
      <c r="O114" s="345"/>
      <c r="T114" s="2"/>
      <c r="U114" s="1"/>
    </row>
    <row r="115" spans="1:24" s="3" customFormat="1" ht="18" customHeight="1">
      <c r="A115" s="564"/>
      <c r="B115" s="3" t="s">
        <v>1765</v>
      </c>
      <c r="L115" s="1"/>
      <c r="Q115" s="1"/>
      <c r="T115" s="683"/>
      <c r="W115" s="345"/>
      <c r="X115" s="345"/>
    </row>
    <row r="116" spans="1:24" s="3" customFormat="1" ht="6" customHeight="1">
      <c r="A116" s="564"/>
      <c r="T116" s="683"/>
    </row>
    <row r="117" spans="1:24" ht="20.100000000000001" customHeight="1">
      <c r="A117" s="872" t="s">
        <v>1237</v>
      </c>
      <c r="B117" s="3480" t="str">
        <f>IF(ISBLANK(M8),"",B109)</f>
        <v/>
      </c>
      <c r="C117" s="3481"/>
      <c r="D117" s="2935" t="s">
        <v>1766</v>
      </c>
      <c r="E117" s="2868"/>
      <c r="F117" s="2869"/>
      <c r="G117" s="599" t="str">
        <f>H113</f>
        <v xml:space="preserve"> </v>
      </c>
      <c r="H117" s="3463" t="s">
        <v>1767</v>
      </c>
      <c r="I117" s="3482"/>
      <c r="J117" s="3482"/>
      <c r="K117" s="3482"/>
      <c r="L117" s="4" t="s">
        <v>1240</v>
      </c>
      <c r="M117" s="567" t="str">
        <f>IF(ISBLANK(M8)," ",((B117)/(G117-1)))</f>
        <v xml:space="preserve"> </v>
      </c>
      <c r="N117" s="3" t="s">
        <v>609</v>
      </c>
      <c r="O117" s="4" t="s">
        <v>1240</v>
      </c>
      <c r="P117" s="3174" t="str">
        <f>IF(ISBLANK(F8),"",M117*12)</f>
        <v/>
      </c>
      <c r="Q117" s="3175"/>
      <c r="R117" s="1" t="s">
        <v>762</v>
      </c>
      <c r="T117" s="2"/>
      <c r="U117" s="1"/>
    </row>
    <row r="118" spans="1:24" ht="6" customHeight="1">
      <c r="A118" s="1326"/>
      <c r="B118" s="103"/>
      <c r="C118" s="39"/>
      <c r="D118" s="39"/>
      <c r="E118" s="104"/>
      <c r="F118" s="104"/>
      <c r="G118" s="77"/>
      <c r="H118" s="104"/>
      <c r="I118" s="104"/>
      <c r="J118" s="104"/>
      <c r="K118" s="105"/>
      <c r="L118" s="89"/>
      <c r="M118" s="106"/>
      <c r="N118" s="25"/>
      <c r="O118" s="25"/>
      <c r="P118" s="25"/>
      <c r="Q118" s="25"/>
      <c r="R118" s="25"/>
      <c r="S118" s="25"/>
      <c r="T118" s="1335"/>
      <c r="U118" s="1"/>
    </row>
    <row r="119" spans="1:24" s="3" customFormat="1" ht="18" customHeight="1">
      <c r="A119" s="1344"/>
      <c r="B119" s="85" t="s">
        <v>1768</v>
      </c>
      <c r="C119" s="85"/>
      <c r="D119" s="85"/>
      <c r="E119" s="85"/>
      <c r="F119" s="85"/>
      <c r="G119" s="85"/>
      <c r="H119" s="85"/>
      <c r="I119" s="85"/>
      <c r="J119" s="85"/>
      <c r="K119" s="85"/>
      <c r="L119" s="85"/>
      <c r="M119" s="85"/>
      <c r="N119" s="85"/>
      <c r="O119" s="85"/>
      <c r="P119" s="85"/>
      <c r="Q119" s="85"/>
      <c r="R119" s="85"/>
      <c r="S119" s="85"/>
      <c r="T119" s="1345"/>
    </row>
    <row r="120" spans="1:24" s="3" customFormat="1" ht="6" customHeight="1">
      <c r="A120" s="564"/>
      <c r="T120" s="683"/>
    </row>
    <row r="121" spans="1:24" ht="20.100000000000001" customHeight="1">
      <c r="A121" s="516"/>
      <c r="B121" s="3480" t="str">
        <f>IF(ISBLANK(M10)," ",M10-2)</f>
        <v xml:space="preserve"> </v>
      </c>
      <c r="C121" s="3481"/>
      <c r="D121" s="4" t="s">
        <v>1572</v>
      </c>
      <c r="E121" s="3169" t="str">
        <f>IF(ISBLANK(F10),"",G91)</f>
        <v/>
      </c>
      <c r="F121" s="3170"/>
      <c r="G121" s="2935" t="s">
        <v>1769</v>
      </c>
      <c r="H121" s="2869"/>
      <c r="I121" s="3174" t="str">
        <f>IF(ISBLANK(M10)," ",B121*E121)</f>
        <v xml:space="preserve"> </v>
      </c>
      <c r="J121" s="3175"/>
      <c r="K121" s="3" t="s">
        <v>1034</v>
      </c>
      <c r="L121" s="3"/>
      <c r="T121" s="2"/>
      <c r="U121" s="1"/>
    </row>
    <row r="122" spans="1:24" ht="6" customHeight="1">
      <c r="A122" s="516"/>
      <c r="B122" s="30"/>
      <c r="C122" s="30"/>
      <c r="D122" s="79"/>
      <c r="E122" s="27"/>
      <c r="F122" s="27"/>
      <c r="G122" s="79"/>
      <c r="H122" s="79"/>
      <c r="I122" s="32"/>
      <c r="J122" s="32"/>
      <c r="K122" s="102"/>
      <c r="L122" s="3"/>
      <c r="T122" s="2"/>
      <c r="U122" s="1"/>
    </row>
    <row r="123" spans="1:24" s="3" customFormat="1" ht="18" customHeight="1">
      <c r="A123" s="564"/>
      <c r="B123" s="3" t="s">
        <v>1770</v>
      </c>
      <c r="L123" s="2946" t="s">
        <v>1771</v>
      </c>
      <c r="M123" s="3272"/>
      <c r="N123" s="3272"/>
      <c r="O123" s="3272"/>
      <c r="P123" s="3272"/>
      <c r="Q123" s="3272"/>
      <c r="R123" s="3272"/>
      <c r="S123" s="3272"/>
      <c r="T123" s="3273"/>
    </row>
    <row r="124" spans="1:24" s="3" customFormat="1" ht="11.25" customHeight="1">
      <c r="A124" s="564"/>
      <c r="L124" s="3272"/>
      <c r="M124" s="3272"/>
      <c r="N124" s="3272"/>
      <c r="O124" s="3272"/>
      <c r="P124" s="3272"/>
      <c r="Q124" s="3272"/>
      <c r="R124" s="3272"/>
      <c r="S124" s="3272"/>
      <c r="T124" s="3273"/>
    </row>
    <row r="125" spans="1:24" ht="20.100000000000001" customHeight="1">
      <c r="A125" s="516"/>
      <c r="B125" s="3174" t="str">
        <f>I121</f>
        <v xml:space="preserve"> </v>
      </c>
      <c r="C125" s="3175"/>
      <c r="D125" s="9" t="s">
        <v>1558</v>
      </c>
      <c r="E125" s="3169" t="str">
        <f>O57</f>
        <v xml:space="preserve"> </v>
      </c>
      <c r="F125" s="3170"/>
      <c r="G125" s="4" t="s">
        <v>1240</v>
      </c>
      <c r="H125" s="3165" t="str">
        <f>IF(ISBLANK(M10)," ",TRUNC(B125/E125,0))</f>
        <v xml:space="preserve"> </v>
      </c>
      <c r="I125" s="3166"/>
      <c r="J125" s="8" t="s">
        <v>1763</v>
      </c>
      <c r="L125" s="1" t="s">
        <v>1764</v>
      </c>
      <c r="M125"/>
      <c r="N125"/>
      <c r="O125"/>
      <c r="P125"/>
      <c r="Q125"/>
      <c r="R125"/>
      <c r="S125"/>
      <c r="T125" s="2"/>
      <c r="U125" s="1"/>
    </row>
    <row r="126" spans="1:24" ht="6" customHeight="1">
      <c r="A126" s="516"/>
      <c r="B126" s="32"/>
      <c r="C126" s="32"/>
      <c r="D126" s="101"/>
      <c r="E126" s="27"/>
      <c r="F126" s="27"/>
      <c r="G126" s="79"/>
      <c r="H126" s="31"/>
      <c r="I126" s="31"/>
      <c r="J126" s="8"/>
      <c r="N126" s="345"/>
      <c r="O126" s="345"/>
      <c r="T126" s="2"/>
      <c r="U126" s="1"/>
    </row>
    <row r="127" spans="1:24" s="3" customFormat="1" ht="18" customHeight="1">
      <c r="A127" s="564"/>
      <c r="B127" s="3" t="s">
        <v>1765</v>
      </c>
      <c r="L127" s="1"/>
      <c r="Q127" s="1"/>
      <c r="T127" s="683"/>
    </row>
    <row r="128" spans="1:24" s="3" customFormat="1" ht="6" customHeight="1">
      <c r="A128" s="564"/>
      <c r="T128" s="683"/>
    </row>
    <row r="129" spans="1:21" ht="20.100000000000001" customHeight="1">
      <c r="A129" s="872" t="s">
        <v>1237</v>
      </c>
      <c r="B129" s="3480" t="str">
        <f>IF(ISBLANK(M10),"",B121)</f>
        <v/>
      </c>
      <c r="C129" s="3481"/>
      <c r="D129" s="2935" t="s">
        <v>1766</v>
      </c>
      <c r="E129" s="2868"/>
      <c r="F129" s="2869"/>
      <c r="G129" s="599" t="str">
        <f>H125</f>
        <v xml:space="preserve"> </v>
      </c>
      <c r="H129" s="3463" t="s">
        <v>1767</v>
      </c>
      <c r="I129" s="3482"/>
      <c r="J129" s="3482"/>
      <c r="K129" s="3482"/>
      <c r="L129" s="4" t="s">
        <v>1240</v>
      </c>
      <c r="M129" s="567" t="str">
        <f>IF(ISBLANK(M10)," ",(B129)/(G129-1))</f>
        <v xml:space="preserve"> </v>
      </c>
      <c r="N129" s="3" t="s">
        <v>609</v>
      </c>
      <c r="O129" s="4" t="s">
        <v>1240</v>
      </c>
      <c r="P129" s="3174" t="str">
        <f>IF(ISBLANK(F10),"",M129*12)</f>
        <v/>
      </c>
      <c r="Q129" s="3175"/>
      <c r="R129" s="1" t="s">
        <v>762</v>
      </c>
      <c r="T129" s="2"/>
      <c r="U129" s="1"/>
    </row>
    <row r="130" spans="1:21" ht="6" customHeight="1">
      <c r="A130" s="1326"/>
      <c r="B130" s="103"/>
      <c r="C130" s="39"/>
      <c r="D130" s="39"/>
      <c r="E130" s="104"/>
      <c r="F130" s="104"/>
      <c r="G130" s="77"/>
      <c r="H130" s="104"/>
      <c r="I130" s="104"/>
      <c r="J130" s="104"/>
      <c r="K130" s="105"/>
      <c r="L130" s="89"/>
      <c r="M130" s="106"/>
      <c r="N130" s="25"/>
      <c r="O130" s="25"/>
      <c r="P130" s="25"/>
      <c r="Q130" s="25"/>
      <c r="R130" s="25"/>
      <c r="S130" s="25"/>
      <c r="T130" s="1335"/>
      <c r="U130" s="1"/>
    </row>
    <row r="131" spans="1:21" s="3" customFormat="1" ht="18" customHeight="1">
      <c r="A131" s="1344"/>
      <c r="B131" s="85" t="s">
        <v>1772</v>
      </c>
      <c r="C131" s="85"/>
      <c r="D131" s="85"/>
      <c r="E131" s="85"/>
      <c r="F131" s="85"/>
      <c r="G131" s="85"/>
      <c r="H131" s="85"/>
      <c r="I131" s="85"/>
      <c r="J131" s="85"/>
      <c r="K131" s="85"/>
      <c r="L131" s="85"/>
      <c r="M131" s="85"/>
      <c r="N131" s="85"/>
      <c r="O131" s="85"/>
      <c r="P131" s="85"/>
      <c r="Q131" s="85"/>
      <c r="R131" s="85"/>
      <c r="S131" s="85"/>
      <c r="T131" s="1345"/>
    </row>
    <row r="132" spans="1:21" s="3" customFormat="1" ht="6" customHeight="1">
      <c r="A132" s="564"/>
      <c r="T132" s="683"/>
    </row>
    <row r="133" spans="1:21" ht="20.100000000000001" customHeight="1">
      <c r="A133" s="516"/>
      <c r="B133" s="3480" t="str">
        <f>IF(ISBLANK(M12)," ",M12-2)</f>
        <v xml:space="preserve"> </v>
      </c>
      <c r="C133" s="3481"/>
      <c r="D133" s="4" t="s">
        <v>1572</v>
      </c>
      <c r="E133" s="3169" t="str">
        <f>IF(ISBLANK(F12),"",G91)</f>
        <v/>
      </c>
      <c r="F133" s="3170"/>
      <c r="G133" s="2935" t="s">
        <v>1769</v>
      </c>
      <c r="H133" s="2869"/>
      <c r="I133" s="3174" t="str">
        <f>IF(ISBLANK(M12)," ",B133*E133)</f>
        <v xml:space="preserve"> </v>
      </c>
      <c r="J133" s="3175"/>
      <c r="K133" s="3" t="s">
        <v>1034</v>
      </c>
      <c r="L133" s="3"/>
      <c r="T133" s="2"/>
      <c r="U133" s="1"/>
    </row>
    <row r="134" spans="1:21" ht="6" customHeight="1">
      <c r="A134" s="516"/>
      <c r="B134" s="30"/>
      <c r="C134" s="30"/>
      <c r="D134" s="79"/>
      <c r="E134" s="27"/>
      <c r="F134" s="27"/>
      <c r="G134" s="79"/>
      <c r="H134" s="79"/>
      <c r="I134" s="32"/>
      <c r="J134" s="32"/>
      <c r="K134" s="102"/>
      <c r="L134" s="3"/>
      <c r="T134" s="2"/>
      <c r="U134" s="1"/>
    </row>
    <row r="135" spans="1:21" s="3" customFormat="1" ht="18" customHeight="1">
      <c r="A135" s="564"/>
      <c r="B135" s="3" t="s">
        <v>1773</v>
      </c>
      <c r="L135" s="2946" t="s">
        <v>1771</v>
      </c>
      <c r="M135" s="3272"/>
      <c r="N135" s="3272"/>
      <c r="O135" s="3272"/>
      <c r="P135" s="3272"/>
      <c r="Q135" s="3272"/>
      <c r="R135" s="3272"/>
      <c r="S135" s="3272"/>
      <c r="T135" s="3273"/>
    </row>
    <row r="136" spans="1:21" s="3" customFormat="1" ht="11.25" customHeight="1">
      <c r="A136" s="564"/>
      <c r="L136" s="3272"/>
      <c r="M136" s="3272"/>
      <c r="N136" s="3272"/>
      <c r="O136" s="3272"/>
      <c r="P136" s="3272"/>
      <c r="Q136" s="3272"/>
      <c r="R136" s="3272"/>
      <c r="S136" s="3272"/>
      <c r="T136" s="3273"/>
    </row>
    <row r="137" spans="1:21" ht="20.100000000000001" customHeight="1">
      <c r="A137" s="516"/>
      <c r="B137" s="3174" t="str">
        <f>I133</f>
        <v xml:space="preserve"> </v>
      </c>
      <c r="C137" s="3175"/>
      <c r="D137" s="9" t="s">
        <v>1558</v>
      </c>
      <c r="E137" s="3169" t="str">
        <f>O59</f>
        <v xml:space="preserve"> </v>
      </c>
      <c r="F137" s="3170"/>
      <c r="G137" s="4" t="s">
        <v>1240</v>
      </c>
      <c r="H137" s="3165" t="str">
        <f>IF(ISBLANK(M12)," ",TRUNC(B137/E137,0))</f>
        <v xml:space="preserve"> </v>
      </c>
      <c r="I137" s="3166"/>
      <c r="J137" s="8" t="s">
        <v>1763</v>
      </c>
      <c r="L137" s="1" t="s">
        <v>1764</v>
      </c>
      <c r="M137"/>
      <c r="N137"/>
      <c r="O137"/>
      <c r="P137"/>
      <c r="Q137"/>
      <c r="R137"/>
      <c r="S137"/>
      <c r="T137" s="2"/>
      <c r="U137" s="1"/>
    </row>
    <row r="138" spans="1:21" ht="6" customHeight="1">
      <c r="A138" s="516"/>
      <c r="B138" s="32"/>
      <c r="C138" s="32"/>
      <c r="D138" s="101"/>
      <c r="E138" s="27"/>
      <c r="F138" s="27"/>
      <c r="G138" s="79"/>
      <c r="H138" s="31"/>
      <c r="I138" s="31"/>
      <c r="J138" s="8"/>
      <c r="N138" s="345"/>
      <c r="O138" s="345"/>
      <c r="T138" s="2"/>
      <c r="U138" s="1"/>
    </row>
    <row r="139" spans="1:21" s="3" customFormat="1" ht="18" customHeight="1">
      <c r="A139" s="564"/>
      <c r="B139" s="3" t="s">
        <v>1765</v>
      </c>
      <c r="L139" s="1"/>
      <c r="Q139" s="1"/>
      <c r="T139" s="683"/>
    </row>
    <row r="140" spans="1:21" s="3" customFormat="1" ht="6" customHeight="1">
      <c r="A140" s="564"/>
      <c r="T140" s="683"/>
    </row>
    <row r="141" spans="1:21" ht="20.100000000000001" customHeight="1">
      <c r="A141" s="872" t="s">
        <v>1237</v>
      </c>
      <c r="B141" s="3480" t="str">
        <f>IF(ISBLANK(M12),"",B133)</f>
        <v/>
      </c>
      <c r="C141" s="3481"/>
      <c r="D141" s="2935" t="s">
        <v>1766</v>
      </c>
      <c r="E141" s="2868"/>
      <c r="F141" s="2869"/>
      <c r="G141" s="599" t="str">
        <f>H137</f>
        <v xml:space="preserve"> </v>
      </c>
      <c r="H141" s="3463" t="s">
        <v>1767</v>
      </c>
      <c r="I141" s="3482"/>
      <c r="J141" s="3482"/>
      <c r="K141" s="3482"/>
      <c r="L141" s="4" t="s">
        <v>1240</v>
      </c>
      <c r="M141" s="567" t="str">
        <f>IF(ISBLANK(M12)," ",(B141)/(G141-1))</f>
        <v xml:space="preserve"> </v>
      </c>
      <c r="N141" s="3" t="s">
        <v>609</v>
      </c>
      <c r="O141" s="4" t="s">
        <v>1240</v>
      </c>
      <c r="P141" s="3174" t="str">
        <f>IF(ISBLANK(F12),"",M141*12)</f>
        <v/>
      </c>
      <c r="Q141" s="3175"/>
      <c r="R141" s="1" t="s">
        <v>762</v>
      </c>
      <c r="T141" s="2"/>
      <c r="U141" s="1"/>
    </row>
    <row r="142" spans="1:21" ht="6" customHeight="1">
      <c r="A142" s="1326"/>
      <c r="B142" s="103"/>
      <c r="C142" s="39"/>
      <c r="D142" s="39"/>
      <c r="E142" s="104"/>
      <c r="F142" s="104"/>
      <c r="G142" s="77"/>
      <c r="H142" s="104"/>
      <c r="I142" s="104"/>
      <c r="J142" s="104"/>
      <c r="K142" s="105"/>
      <c r="L142" s="89"/>
      <c r="M142" s="106"/>
      <c r="N142" s="25"/>
      <c r="O142" s="25"/>
      <c r="P142" s="25"/>
      <c r="Q142" s="25"/>
      <c r="R142" s="25"/>
      <c r="S142" s="25"/>
      <c r="T142" s="1335"/>
      <c r="U142" s="1"/>
    </row>
    <row r="143" spans="1:21" s="3" customFormat="1" ht="18" customHeight="1">
      <c r="A143" s="1344"/>
      <c r="B143" s="85" t="s">
        <v>1774</v>
      </c>
      <c r="C143" s="85"/>
      <c r="D143" s="85"/>
      <c r="E143" s="85"/>
      <c r="F143" s="85"/>
      <c r="G143" s="85"/>
      <c r="H143" s="85"/>
      <c r="I143" s="85"/>
      <c r="J143" s="85"/>
      <c r="K143" s="85"/>
      <c r="L143" s="85"/>
      <c r="M143" s="85"/>
      <c r="N143" s="85"/>
      <c r="O143" s="85"/>
      <c r="P143" s="85"/>
      <c r="Q143" s="85"/>
      <c r="R143" s="85"/>
      <c r="S143" s="85"/>
      <c r="T143" s="1345"/>
    </row>
    <row r="144" spans="1:21" s="3" customFormat="1" ht="6" customHeight="1">
      <c r="A144" s="564"/>
      <c r="T144" s="683"/>
    </row>
    <row r="145" spans="1:38" ht="20.100000000000001" customHeight="1">
      <c r="A145" s="516"/>
      <c r="B145" s="3480" t="str">
        <f>IF(ISBLANK(M14)," ",M14-2)</f>
        <v xml:space="preserve"> </v>
      </c>
      <c r="C145" s="3481"/>
      <c r="D145" s="4" t="s">
        <v>1572</v>
      </c>
      <c r="E145" s="3169" t="str">
        <f>IF(ISBLANK(F14),"",G91)</f>
        <v/>
      </c>
      <c r="F145" s="3170"/>
      <c r="G145" s="2935" t="s">
        <v>1769</v>
      </c>
      <c r="H145" s="2869"/>
      <c r="I145" s="3174" t="str">
        <f>IF(ISBLANK(M14)," ",B145*E145)</f>
        <v xml:space="preserve"> </v>
      </c>
      <c r="J145" s="3175"/>
      <c r="K145" s="3" t="s">
        <v>1034</v>
      </c>
      <c r="L145" s="3"/>
      <c r="T145" s="2"/>
      <c r="U145" s="1"/>
    </row>
    <row r="146" spans="1:38" ht="6" customHeight="1">
      <c r="A146" s="516"/>
      <c r="B146" s="30"/>
      <c r="C146" s="30"/>
      <c r="D146" s="79"/>
      <c r="E146" s="27"/>
      <c r="F146" s="27"/>
      <c r="G146" s="79"/>
      <c r="H146" s="79"/>
      <c r="I146" s="32"/>
      <c r="J146" s="32"/>
      <c r="K146" s="102"/>
      <c r="L146" s="2946" t="s">
        <v>1771</v>
      </c>
      <c r="M146" s="2946"/>
      <c r="N146" s="2946"/>
      <c r="O146" s="2946"/>
      <c r="P146" s="2946"/>
      <c r="Q146" s="2946"/>
      <c r="R146" s="2946"/>
      <c r="S146" s="2946"/>
      <c r="T146" s="3434"/>
      <c r="U146" s="1"/>
    </row>
    <row r="147" spans="1:38" s="3" customFormat="1" ht="18" customHeight="1">
      <c r="A147" s="564"/>
      <c r="B147" s="3" t="s">
        <v>1775</v>
      </c>
      <c r="L147" s="2946"/>
      <c r="M147" s="2946"/>
      <c r="N147" s="2946"/>
      <c r="O147" s="2946"/>
      <c r="P147" s="2946"/>
      <c r="Q147" s="2946"/>
      <c r="R147" s="2946"/>
      <c r="S147" s="2946"/>
      <c r="T147" s="3434"/>
      <c r="AI147" s="1"/>
      <c r="AJ147" s="1"/>
      <c r="AK147" s="1"/>
      <c r="AL147" s="1"/>
    </row>
    <row r="148" spans="1:38" s="3" customFormat="1" ht="5.0999999999999996" customHeight="1">
      <c r="A148" s="564"/>
      <c r="L148" s="2946"/>
      <c r="M148" s="2946"/>
      <c r="N148" s="2946"/>
      <c r="O148" s="2946"/>
      <c r="P148" s="2946"/>
      <c r="Q148" s="2946"/>
      <c r="R148" s="2946"/>
      <c r="S148" s="2946"/>
      <c r="T148" s="3434"/>
      <c r="AI148" s="1"/>
      <c r="AJ148" s="1"/>
      <c r="AK148" s="1"/>
      <c r="AL148" s="1"/>
    </row>
    <row r="149" spans="1:38" ht="20.100000000000001" customHeight="1">
      <c r="A149" s="516"/>
      <c r="B149" s="3174" t="str">
        <f>I145</f>
        <v xml:space="preserve"> </v>
      </c>
      <c r="C149" s="3175"/>
      <c r="D149" s="9" t="s">
        <v>1558</v>
      </c>
      <c r="E149" s="3169" t="str">
        <f>O61</f>
        <v xml:space="preserve"> </v>
      </c>
      <c r="F149" s="3170"/>
      <c r="G149" s="4" t="s">
        <v>1240</v>
      </c>
      <c r="H149" s="3165" t="str">
        <f>IF(ISBLANK(M14)," ",TRUNC(B149/E149,0))</f>
        <v xml:space="preserve"> </v>
      </c>
      <c r="I149" s="3166"/>
      <c r="J149" s="8" t="s">
        <v>1763</v>
      </c>
      <c r="L149" s="1" t="s">
        <v>1764</v>
      </c>
      <c r="M149"/>
      <c r="N149"/>
      <c r="O149"/>
      <c r="P149"/>
      <c r="Q149"/>
      <c r="R149"/>
      <c r="S149"/>
      <c r="T149" s="2"/>
      <c r="U149" s="1"/>
    </row>
    <row r="150" spans="1:38" ht="6" customHeight="1">
      <c r="A150" s="516"/>
      <c r="B150" s="32"/>
      <c r="C150" s="32"/>
      <c r="D150" s="101"/>
      <c r="E150" s="27"/>
      <c r="F150" s="27"/>
      <c r="G150" s="79"/>
      <c r="H150" s="31"/>
      <c r="I150" s="31"/>
      <c r="J150" s="8"/>
      <c r="N150" s="345"/>
      <c r="O150" s="345"/>
      <c r="T150" s="2"/>
      <c r="U150" s="1"/>
    </row>
    <row r="151" spans="1:38" s="3" customFormat="1" ht="18" customHeight="1">
      <c r="A151" s="564"/>
      <c r="B151" s="3" t="s">
        <v>1765</v>
      </c>
      <c r="L151" s="1"/>
      <c r="Q151" s="1"/>
      <c r="T151" s="683"/>
      <c r="AI151" s="1"/>
      <c r="AJ151" s="1"/>
      <c r="AK151" s="1"/>
      <c r="AL151" s="1"/>
    </row>
    <row r="152" spans="1:38" s="3" customFormat="1" ht="6" customHeight="1">
      <c r="A152" s="564"/>
      <c r="T152" s="683"/>
      <c r="AI152" s="1"/>
      <c r="AJ152" s="1"/>
      <c r="AK152" s="1"/>
      <c r="AL152" s="1"/>
    </row>
    <row r="153" spans="1:38" ht="20.100000000000001" customHeight="1">
      <c r="A153" s="872" t="s">
        <v>1237</v>
      </c>
      <c r="B153" s="3480" t="str">
        <f>IF(ISBLANK(M14),"",B145)</f>
        <v/>
      </c>
      <c r="C153" s="3481"/>
      <c r="D153" s="2935" t="s">
        <v>1766</v>
      </c>
      <c r="E153" s="2868"/>
      <c r="F153" s="2869"/>
      <c r="G153" s="599" t="str">
        <f>H149</f>
        <v xml:space="preserve"> </v>
      </c>
      <c r="H153" s="3463" t="s">
        <v>1767</v>
      </c>
      <c r="I153" s="3482"/>
      <c r="J153" s="3482"/>
      <c r="K153" s="3482"/>
      <c r="L153" s="4" t="s">
        <v>1240</v>
      </c>
      <c r="M153" s="567" t="str">
        <f>IF(ISBLANK(M14)," ",(B153)/(G153-1))</f>
        <v xml:space="preserve"> </v>
      </c>
      <c r="N153" s="3" t="s">
        <v>609</v>
      </c>
      <c r="O153" s="4" t="s">
        <v>1240</v>
      </c>
      <c r="P153" s="3174" t="str">
        <f>IF(ISBLANK(F14),"",M153*12)</f>
        <v/>
      </c>
      <c r="Q153" s="3175"/>
      <c r="R153" s="1" t="s">
        <v>762</v>
      </c>
      <c r="S153" s="28"/>
      <c r="T153" s="2"/>
      <c r="U153" s="1"/>
    </row>
    <row r="154" spans="1:38" ht="6" customHeight="1">
      <c r="A154" s="516"/>
      <c r="P154" s="28"/>
      <c r="Q154" s="28"/>
      <c r="R154" s="28"/>
      <c r="S154" s="28"/>
      <c r="T154" s="2"/>
      <c r="U154" s="1"/>
    </row>
    <row r="155" spans="1:38" s="3" customFormat="1" ht="18" customHeight="1">
      <c r="A155" s="1344"/>
      <c r="B155" s="85" t="s">
        <v>1776</v>
      </c>
      <c r="C155" s="85"/>
      <c r="D155" s="85"/>
      <c r="E155" s="85"/>
      <c r="F155" s="85"/>
      <c r="G155" s="85"/>
      <c r="H155" s="85"/>
      <c r="I155" s="85"/>
      <c r="J155" s="85"/>
      <c r="K155" s="85"/>
      <c r="L155" s="85"/>
      <c r="M155" s="85"/>
      <c r="N155" s="85"/>
      <c r="O155" s="85"/>
      <c r="P155" s="85"/>
      <c r="Q155" s="85"/>
      <c r="R155" s="85"/>
      <c r="S155" s="85"/>
      <c r="T155" s="1345"/>
    </row>
    <row r="156" spans="1:38" s="3" customFormat="1" ht="6" customHeight="1">
      <c r="A156" s="564"/>
      <c r="T156" s="683"/>
    </row>
    <row r="157" spans="1:38" ht="20.100000000000001" customHeight="1">
      <c r="A157" s="516"/>
      <c r="B157" s="3480" t="str">
        <f>IF(ISBLANK(M16)," ",M16-2)</f>
        <v xml:space="preserve"> </v>
      </c>
      <c r="C157" s="3481"/>
      <c r="D157" s="4" t="s">
        <v>1572</v>
      </c>
      <c r="E157" s="3169" t="str">
        <f>IF(ISBLANK(F16),"",G91)</f>
        <v/>
      </c>
      <c r="F157" s="3170"/>
      <c r="G157" s="2935" t="s">
        <v>1769</v>
      </c>
      <c r="H157" s="2869"/>
      <c r="I157" s="3174" t="str">
        <f>IF(ISBLANK(M16)," ",B157*E157)</f>
        <v xml:space="preserve"> </v>
      </c>
      <c r="J157" s="3175"/>
      <c r="K157" s="3" t="s">
        <v>1034</v>
      </c>
      <c r="L157" s="3"/>
      <c r="T157" s="2"/>
      <c r="U157" s="1"/>
    </row>
    <row r="158" spans="1:38" ht="6" customHeight="1">
      <c r="A158" s="516"/>
      <c r="B158" s="30"/>
      <c r="C158" s="30"/>
      <c r="D158" s="79"/>
      <c r="E158" s="27"/>
      <c r="F158" s="27"/>
      <c r="G158" s="79"/>
      <c r="H158" s="79"/>
      <c r="I158" s="32"/>
      <c r="J158" s="32"/>
      <c r="K158" s="102"/>
      <c r="L158" s="2946" t="s">
        <v>1771</v>
      </c>
      <c r="M158" s="2946"/>
      <c r="N158" s="2946"/>
      <c r="O158" s="2946"/>
      <c r="P158" s="2946"/>
      <c r="Q158" s="2946"/>
      <c r="R158" s="2946"/>
      <c r="S158" s="2946"/>
      <c r="T158" s="3434"/>
      <c r="U158" s="1"/>
    </row>
    <row r="159" spans="1:38" s="3" customFormat="1" ht="18" customHeight="1">
      <c r="A159" s="564"/>
      <c r="B159" s="3" t="s">
        <v>1777</v>
      </c>
      <c r="L159" s="2946"/>
      <c r="M159" s="2946"/>
      <c r="N159" s="2946"/>
      <c r="O159" s="2946"/>
      <c r="P159" s="2946"/>
      <c r="Q159" s="2946"/>
      <c r="R159" s="2946"/>
      <c r="S159" s="2946"/>
      <c r="T159" s="3434"/>
      <c r="AI159" s="1"/>
      <c r="AJ159" s="1"/>
      <c r="AK159" s="1"/>
      <c r="AL159" s="1"/>
    </row>
    <row r="160" spans="1:38" s="3" customFormat="1" ht="5.0999999999999996" customHeight="1">
      <c r="A160" s="564"/>
      <c r="L160" s="2946"/>
      <c r="M160" s="2946"/>
      <c r="N160" s="2946"/>
      <c r="O160" s="2946"/>
      <c r="P160" s="2946"/>
      <c r="Q160" s="2946"/>
      <c r="R160" s="2946"/>
      <c r="S160" s="2946"/>
      <c r="T160" s="3434"/>
      <c r="AI160" s="1"/>
      <c r="AJ160" s="1"/>
      <c r="AK160" s="1"/>
      <c r="AL160" s="1"/>
    </row>
    <row r="161" spans="1:38" ht="20.100000000000001" customHeight="1">
      <c r="A161" s="516"/>
      <c r="B161" s="3174" t="str">
        <f>I157</f>
        <v xml:space="preserve"> </v>
      </c>
      <c r="C161" s="3175"/>
      <c r="D161" s="9" t="s">
        <v>1558</v>
      </c>
      <c r="E161" s="3169" t="str">
        <f>O63</f>
        <v xml:space="preserve"> </v>
      </c>
      <c r="F161" s="3170"/>
      <c r="G161" s="4" t="s">
        <v>1240</v>
      </c>
      <c r="H161" s="3165" t="str">
        <f>IF(ISBLANK(M16)," ",TRUNC(B161/E161,0))</f>
        <v xml:space="preserve"> </v>
      </c>
      <c r="I161" s="3166"/>
      <c r="J161" s="8" t="s">
        <v>1763</v>
      </c>
      <c r="L161" s="1" t="s">
        <v>1764</v>
      </c>
      <c r="M161"/>
      <c r="N161"/>
      <c r="O161"/>
      <c r="P161"/>
      <c r="Q161"/>
      <c r="R161"/>
      <c r="S161"/>
      <c r="T161" s="2"/>
      <c r="U161" s="1"/>
    </row>
    <row r="162" spans="1:38" ht="6" customHeight="1">
      <c r="A162" s="516"/>
      <c r="B162" s="32"/>
      <c r="C162" s="32"/>
      <c r="D162" s="101"/>
      <c r="E162" s="27"/>
      <c r="F162" s="27"/>
      <c r="G162" s="79"/>
      <c r="H162" s="31"/>
      <c r="I162" s="31"/>
      <c r="J162" s="8"/>
      <c r="N162" s="345"/>
      <c r="O162" s="345"/>
      <c r="T162" s="2"/>
      <c r="U162" s="1"/>
    </row>
    <row r="163" spans="1:38" s="3" customFormat="1" ht="18" customHeight="1">
      <c r="A163" s="564"/>
      <c r="B163" s="3" t="s">
        <v>1765</v>
      </c>
      <c r="L163" s="1"/>
      <c r="Q163" s="1"/>
      <c r="T163" s="683"/>
      <c r="AI163" s="1"/>
      <c r="AJ163" s="1"/>
      <c r="AK163" s="1"/>
      <c r="AL163" s="1"/>
    </row>
    <row r="164" spans="1:38" s="3" customFormat="1" ht="6" customHeight="1">
      <c r="A164" s="564"/>
      <c r="T164" s="683"/>
      <c r="AI164" s="1"/>
      <c r="AJ164" s="1"/>
      <c r="AK164" s="1"/>
      <c r="AL164" s="1"/>
    </row>
    <row r="165" spans="1:38" ht="20.100000000000001" customHeight="1">
      <c r="A165" s="872" t="s">
        <v>1237</v>
      </c>
      <c r="B165" s="3480" t="str">
        <f>IF(ISBLANK(M16),"",B157)</f>
        <v/>
      </c>
      <c r="C165" s="3481"/>
      <c r="D165" s="2935" t="s">
        <v>1766</v>
      </c>
      <c r="E165" s="2868"/>
      <c r="F165" s="2869"/>
      <c r="G165" s="599" t="str">
        <f>H161</f>
        <v xml:space="preserve"> </v>
      </c>
      <c r="H165" s="3463" t="s">
        <v>1767</v>
      </c>
      <c r="I165" s="3482"/>
      <c r="J165" s="3482"/>
      <c r="K165" s="3482"/>
      <c r="L165" s="4" t="s">
        <v>1240</v>
      </c>
      <c r="M165" s="567" t="str">
        <f>IF(ISBLANK(M16)," ",(B165)/(G165-1))</f>
        <v xml:space="preserve"> </v>
      </c>
      <c r="N165" s="3" t="s">
        <v>609</v>
      </c>
      <c r="O165" s="4" t="s">
        <v>1240</v>
      </c>
      <c r="P165" s="3174" t="str">
        <f>IF(ISBLANK(F16),"",M165*12)</f>
        <v/>
      </c>
      <c r="Q165" s="3175"/>
      <c r="R165" s="1" t="s">
        <v>762</v>
      </c>
      <c r="S165" s="28"/>
      <c r="T165" s="2"/>
      <c r="U165" s="1"/>
    </row>
    <row r="166" spans="1:38" ht="6" customHeight="1">
      <c r="A166" s="516"/>
      <c r="P166" s="28"/>
      <c r="Q166" s="28"/>
      <c r="R166" s="28"/>
      <c r="S166" s="28"/>
      <c r="T166" s="2"/>
      <c r="U166" s="1"/>
    </row>
    <row r="167" spans="1:38" ht="6" customHeight="1">
      <c r="A167" s="1346"/>
      <c r="B167" s="37"/>
      <c r="C167" s="37"/>
      <c r="D167" s="37"/>
      <c r="E167" s="37"/>
      <c r="F167" s="37"/>
      <c r="G167" s="37"/>
      <c r="H167" s="37"/>
      <c r="I167" s="37"/>
      <c r="J167" s="37"/>
      <c r="K167" s="37"/>
      <c r="L167" s="37"/>
      <c r="M167" s="37"/>
      <c r="N167" s="37"/>
      <c r="O167" s="37"/>
      <c r="P167" s="92"/>
      <c r="Q167" s="92"/>
      <c r="R167" s="92"/>
      <c r="S167" s="92"/>
      <c r="T167" s="1331"/>
      <c r="U167" s="1"/>
    </row>
    <row r="168" spans="1:38" ht="18" customHeight="1">
      <c r="A168" s="860" t="s">
        <v>524</v>
      </c>
      <c r="B168" s="8" t="s">
        <v>1778</v>
      </c>
      <c r="P168" s="28"/>
      <c r="Q168" s="28"/>
      <c r="R168" s="28"/>
      <c r="S168" s="28"/>
      <c r="T168" s="2"/>
      <c r="U168" s="1"/>
    </row>
    <row r="169" spans="1:38" ht="6" customHeight="1">
      <c r="A169" s="860"/>
      <c r="B169" s="8"/>
      <c r="P169" s="28"/>
      <c r="Q169" s="28"/>
      <c r="R169" s="28"/>
      <c r="S169" s="28"/>
      <c r="T169" s="2"/>
      <c r="U169" s="1"/>
    </row>
    <row r="170" spans="1:38" ht="20.100000000000001" customHeight="1">
      <c r="A170" s="516"/>
      <c r="B170" s="2927" t="s">
        <v>1779</v>
      </c>
      <c r="C170" s="3272"/>
      <c r="D170" s="3272"/>
      <c r="E170" s="3272"/>
      <c r="F170" s="3272"/>
      <c r="G170" s="3272"/>
      <c r="H170" s="3272"/>
      <c r="I170" s="3272"/>
      <c r="J170" s="3272"/>
      <c r="K170" s="3272"/>
      <c r="L170" s="3272"/>
      <c r="M170" s="3272"/>
      <c r="N170" s="3272"/>
      <c r="O170" s="3272"/>
      <c r="P170" s="366"/>
      <c r="Q170" s="8"/>
      <c r="R170" s="10"/>
      <c r="S170" s="28"/>
      <c r="T170" s="2"/>
      <c r="U170" s="1"/>
    </row>
    <row r="171" spans="1:38" ht="6" customHeight="1">
      <c r="A171" s="516"/>
      <c r="B171" s="4"/>
      <c r="C171" s="3"/>
      <c r="F171" s="32"/>
      <c r="G171" s="32"/>
      <c r="P171" s="28"/>
      <c r="Q171" s="28"/>
      <c r="R171" s="28"/>
      <c r="S171" s="28"/>
      <c r="T171" s="2"/>
      <c r="U171" s="1"/>
    </row>
    <row r="172" spans="1:38" ht="20.100000000000001" customHeight="1">
      <c r="A172" s="516"/>
      <c r="B172" s="567" t="str">
        <f>H85</f>
        <v xml:space="preserve"> </v>
      </c>
      <c r="C172" s="365" t="s">
        <v>987</v>
      </c>
      <c r="D172" s="567" t="str">
        <f>I109</f>
        <v xml:space="preserve"> </v>
      </c>
      <c r="E172" s="365" t="s">
        <v>987</v>
      </c>
      <c r="F172" s="567" t="str">
        <f>I121</f>
        <v xml:space="preserve"> </v>
      </c>
      <c r="G172" s="365" t="s">
        <v>987</v>
      </c>
      <c r="H172" s="567" t="str">
        <f>I133</f>
        <v xml:space="preserve"> </v>
      </c>
      <c r="I172" s="365" t="s">
        <v>987</v>
      </c>
      <c r="J172" s="567" t="str">
        <f>I145</f>
        <v xml:space="preserve"> </v>
      </c>
      <c r="K172" s="365" t="s">
        <v>987</v>
      </c>
      <c r="L172" s="567" t="str">
        <f>I157</f>
        <v xml:space="preserve"> </v>
      </c>
      <c r="M172" s="365" t="s">
        <v>1240</v>
      </c>
      <c r="N172" s="3174" t="str">
        <f>IF(ISBLANK(F67)," ",SUM(B172:L172))</f>
        <v xml:space="preserve"> </v>
      </c>
      <c r="O172" s="3175"/>
      <c r="P172" s="1" t="s">
        <v>1780</v>
      </c>
      <c r="T172" s="2"/>
      <c r="U172" s="1"/>
    </row>
    <row r="173" spans="1:38" ht="6" customHeight="1">
      <c r="A173" s="516"/>
      <c r="B173" s="4"/>
      <c r="C173" s="3"/>
      <c r="F173" s="32"/>
      <c r="G173" s="32"/>
      <c r="P173" s="27"/>
      <c r="Q173" s="27"/>
      <c r="R173" s="51"/>
      <c r="S173" s="51"/>
      <c r="T173" s="2"/>
      <c r="U173" s="1"/>
      <c r="V173" s="3"/>
      <c r="Y173" s="32"/>
      <c r="Z173" s="32"/>
    </row>
    <row r="174" spans="1:38" ht="15.75" customHeight="1">
      <c r="A174" s="1347" t="s">
        <v>477</v>
      </c>
      <c r="B174" s="37" t="s">
        <v>1781</v>
      </c>
      <c r="C174" s="37"/>
      <c r="D174" s="37"/>
      <c r="E174" s="37"/>
      <c r="F174" s="37"/>
      <c r="G174" s="37"/>
      <c r="H174" s="37"/>
      <c r="I174" s="37"/>
      <c r="J174" s="37"/>
      <c r="K174" s="37"/>
      <c r="L174" s="37"/>
      <c r="M174" s="37"/>
      <c r="N174" s="37"/>
      <c r="O174" s="37"/>
      <c r="P174" s="37"/>
      <c r="Q174" s="37"/>
      <c r="R174" s="37"/>
      <c r="S174" s="37"/>
      <c r="T174" s="1331"/>
      <c r="U174" s="1"/>
    </row>
    <row r="175" spans="1:38" ht="6" customHeight="1">
      <c r="A175" s="1324"/>
      <c r="T175" s="2"/>
      <c r="U175" s="1"/>
    </row>
    <row r="176" spans="1:38" ht="15.75" customHeight="1">
      <c r="A176" s="516"/>
      <c r="B176" s="3486" t="s">
        <v>1782</v>
      </c>
      <c r="C176" s="3494"/>
      <c r="D176" s="3494"/>
      <c r="E176" s="3494"/>
      <c r="F176" s="3494"/>
      <c r="G176" s="3494"/>
      <c r="H176" s="3494"/>
      <c r="I176" s="3494"/>
      <c r="J176" s="3494"/>
      <c r="K176" s="3494"/>
      <c r="L176" s="3494"/>
      <c r="M176" s="3494"/>
      <c r="N176" s="3494"/>
      <c r="O176" s="3487"/>
      <c r="T176" s="2"/>
      <c r="U176" s="1"/>
    </row>
    <row r="177" spans="1:21" ht="15.75" customHeight="1">
      <c r="A177" s="516"/>
      <c r="B177" s="3490"/>
      <c r="C177" s="3495"/>
      <c r="D177" s="3495"/>
      <c r="E177" s="3495"/>
      <c r="F177" s="3495"/>
      <c r="G177" s="3495"/>
      <c r="H177" s="3495"/>
      <c r="I177" s="3495"/>
      <c r="J177" s="3495"/>
      <c r="K177" s="3495"/>
      <c r="L177" s="3495"/>
      <c r="M177" s="3495"/>
      <c r="N177" s="3495"/>
      <c r="O177" s="3491"/>
      <c r="T177" s="2"/>
      <c r="U177" s="1"/>
    </row>
    <row r="178" spans="1:21" ht="15.75" customHeight="1">
      <c r="A178" s="516"/>
      <c r="B178" s="3496"/>
      <c r="C178" s="3497"/>
      <c r="D178" s="3486" t="s">
        <v>1133</v>
      </c>
      <c r="E178" s="3487"/>
      <c r="F178" s="3486" t="s">
        <v>1134</v>
      </c>
      <c r="G178" s="3487"/>
      <c r="H178" s="3486" t="s">
        <v>1135</v>
      </c>
      <c r="I178" s="3487"/>
      <c r="J178" s="3486" t="s">
        <v>1783</v>
      </c>
      <c r="K178" s="3487"/>
      <c r="L178" s="3486" t="s">
        <v>1784</v>
      </c>
      <c r="M178" s="3487"/>
      <c r="N178" s="3486" t="s">
        <v>1785</v>
      </c>
      <c r="O178" s="3487"/>
      <c r="T178" s="2"/>
      <c r="U178" s="1"/>
    </row>
    <row r="179" spans="1:21" ht="15.75" customHeight="1">
      <c r="A179" s="516"/>
      <c r="B179" s="3473"/>
      <c r="C179" s="3474"/>
      <c r="D179" s="3488"/>
      <c r="E179" s="3489"/>
      <c r="F179" s="3488"/>
      <c r="G179" s="3489"/>
      <c r="H179" s="3488"/>
      <c r="I179" s="3489"/>
      <c r="J179" s="3488"/>
      <c r="K179" s="3489"/>
      <c r="L179" s="3488"/>
      <c r="M179" s="3489"/>
      <c r="N179" s="3488"/>
      <c r="O179" s="3489"/>
      <c r="P179" s="6"/>
      <c r="T179" s="2"/>
      <c r="U179" s="1"/>
    </row>
    <row r="180" spans="1:21" ht="15.75" customHeight="1">
      <c r="A180" s="516"/>
      <c r="B180" s="3498"/>
      <c r="C180" s="3499"/>
      <c r="D180" s="3490"/>
      <c r="E180" s="3491"/>
      <c r="F180" s="3490"/>
      <c r="G180" s="3491"/>
      <c r="H180" s="3490"/>
      <c r="I180" s="3491"/>
      <c r="J180" s="3490"/>
      <c r="K180" s="3491"/>
      <c r="L180" s="3490"/>
      <c r="M180" s="3491"/>
      <c r="N180" s="3490"/>
      <c r="O180" s="3491"/>
      <c r="P180" s="6"/>
      <c r="T180" s="2"/>
      <c r="U180" s="1"/>
    </row>
    <row r="181" spans="1:21" ht="15.75" customHeight="1">
      <c r="A181" s="516"/>
      <c r="B181" s="1289"/>
      <c r="C181" s="1290"/>
      <c r="D181" s="1287"/>
      <c r="E181" s="1288"/>
      <c r="F181" s="1287"/>
      <c r="G181" s="1288"/>
      <c r="H181" s="1287"/>
      <c r="I181" s="1288"/>
      <c r="J181" s="1287"/>
      <c r="K181" s="1288"/>
      <c r="L181" s="1287"/>
      <c r="M181" s="1288"/>
      <c r="N181" s="1287" t="s">
        <v>609</v>
      </c>
      <c r="O181" s="1288" t="s">
        <v>629</v>
      </c>
      <c r="P181" s="6"/>
      <c r="T181" s="2"/>
      <c r="U181" s="1"/>
    </row>
    <row r="182" spans="1:21" ht="20.100000000000001" customHeight="1">
      <c r="A182" s="516"/>
      <c r="B182" s="3492" t="s">
        <v>1140</v>
      </c>
      <c r="C182" s="3492"/>
      <c r="D182" s="3512"/>
      <c r="E182" s="3512"/>
      <c r="F182" s="3493" t="str">
        <f t="shared" ref="F182:F187" si="0">IF(ISBLANK(D182)," ",IF(D182=1,"0.045",IF(D182=1.25,"0.078",IF(D182=1.5,"0.110",IF(D182=2,"0.170",IF(D182=3,"0.380",IF(D182=4,"0.661")))))))</f>
        <v xml:space="preserve"> </v>
      </c>
      <c r="G182" s="3493"/>
      <c r="H182" s="3513" t="str">
        <f>IF(ISBLANK(M6)," ",M6-2)</f>
        <v xml:space="preserve"> </v>
      </c>
      <c r="I182" s="3514"/>
      <c r="J182" s="3484" t="str">
        <f t="shared" ref="J182:J187" si="1">IF(ISBLANK(D182)," ",F182*H182)</f>
        <v xml:space="preserve"> </v>
      </c>
      <c r="K182" s="3485"/>
      <c r="L182" s="3493" t="str">
        <f>IF(ISBLANK(L53)," ",L53)</f>
        <v xml:space="preserve"> </v>
      </c>
      <c r="M182" s="3493"/>
      <c r="N182" s="755" t="str">
        <f>IF(ISBLANK(F67)," ",F67)</f>
        <v xml:space="preserve"> </v>
      </c>
      <c r="O182" s="755" t="str">
        <f t="shared" ref="O182:O187" si="2">IF(ISBLANK(D182), "", N182*12)</f>
        <v/>
      </c>
      <c r="P182" s="1" t="s">
        <v>1710</v>
      </c>
      <c r="T182" s="2"/>
      <c r="U182" s="1"/>
    </row>
    <row r="183" spans="1:21" ht="20.100000000000001" customHeight="1">
      <c r="A183" s="516"/>
      <c r="B183" s="3492" t="s">
        <v>1142</v>
      </c>
      <c r="C183" s="3492"/>
      <c r="D183" s="3512"/>
      <c r="E183" s="3512"/>
      <c r="F183" s="3493" t="str">
        <f t="shared" si="0"/>
        <v xml:space="preserve"> </v>
      </c>
      <c r="G183" s="3493"/>
      <c r="H183" s="3513" t="str">
        <f>IF(ISBLANK(M8)," ",M8-2)</f>
        <v xml:space="preserve"> </v>
      </c>
      <c r="I183" s="3514"/>
      <c r="J183" s="3484" t="str">
        <f t="shared" si="1"/>
        <v xml:space="preserve"> </v>
      </c>
      <c r="K183" s="3485"/>
      <c r="L183" s="3493" t="str">
        <f>IF(ISBLANK(L55)," ",L55)</f>
        <v xml:space="preserve"> </v>
      </c>
      <c r="M183" s="3493"/>
      <c r="N183" s="755" t="str">
        <f>IF(ISBLANK(M117)," ",M117)</f>
        <v xml:space="preserve"> </v>
      </c>
      <c r="O183" s="755" t="str">
        <f t="shared" si="2"/>
        <v/>
      </c>
      <c r="T183" s="2"/>
      <c r="U183" s="1"/>
    </row>
    <row r="184" spans="1:21" ht="20.100000000000001" customHeight="1">
      <c r="A184" s="516"/>
      <c r="B184" s="3492" t="s">
        <v>1143</v>
      </c>
      <c r="C184" s="3492"/>
      <c r="D184" s="3512"/>
      <c r="E184" s="3512"/>
      <c r="F184" s="3493" t="str">
        <f t="shared" si="0"/>
        <v xml:space="preserve"> </v>
      </c>
      <c r="G184" s="3493"/>
      <c r="H184" s="3513" t="str">
        <f>IF(ISBLANK(M10)," ",M10-2)</f>
        <v xml:space="preserve"> </v>
      </c>
      <c r="I184" s="3514"/>
      <c r="J184" s="3484" t="str">
        <f t="shared" si="1"/>
        <v xml:space="preserve"> </v>
      </c>
      <c r="K184" s="3485"/>
      <c r="L184" s="3493" t="str">
        <f>IF(ISBLANK(L57)," ",L57)</f>
        <v xml:space="preserve"> </v>
      </c>
      <c r="M184" s="3493"/>
      <c r="N184" s="755" t="str">
        <f>IF(ISBLANK(M129)," ",M129)</f>
        <v xml:space="preserve"> </v>
      </c>
      <c r="O184" s="755" t="str">
        <f t="shared" si="2"/>
        <v/>
      </c>
      <c r="Q184" s="28"/>
      <c r="R184" s="28"/>
      <c r="T184" s="2"/>
      <c r="U184" s="1"/>
    </row>
    <row r="185" spans="1:21" ht="20.100000000000001" customHeight="1">
      <c r="A185" s="516"/>
      <c r="B185" s="3492" t="s">
        <v>1144</v>
      </c>
      <c r="C185" s="3492"/>
      <c r="D185" s="3512"/>
      <c r="E185" s="3512"/>
      <c r="F185" s="3493" t="str">
        <f t="shared" si="0"/>
        <v xml:space="preserve"> </v>
      </c>
      <c r="G185" s="3493"/>
      <c r="H185" s="3513" t="str">
        <f>IF(ISBLANK(M12)," ",M12-2)</f>
        <v xml:space="preserve"> </v>
      </c>
      <c r="I185" s="3514"/>
      <c r="J185" s="3484" t="str">
        <f t="shared" si="1"/>
        <v xml:space="preserve"> </v>
      </c>
      <c r="K185" s="3485"/>
      <c r="L185" s="3493" t="str">
        <f>IF(ISBLANK(L59)," ",L59)</f>
        <v xml:space="preserve"> </v>
      </c>
      <c r="M185" s="3493"/>
      <c r="N185" s="755" t="str">
        <f>IF(ISBLANK(M141)," ",M141)</f>
        <v xml:space="preserve"> </v>
      </c>
      <c r="O185" s="755" t="str">
        <f t="shared" si="2"/>
        <v/>
      </c>
      <c r="Q185" s="28"/>
      <c r="R185" s="28"/>
      <c r="T185" s="2"/>
      <c r="U185" s="1"/>
    </row>
    <row r="186" spans="1:21" ht="20.100000000000001" customHeight="1">
      <c r="A186" s="516"/>
      <c r="B186" s="3492" t="s">
        <v>1145</v>
      </c>
      <c r="C186" s="3492"/>
      <c r="D186" s="3512"/>
      <c r="E186" s="3512"/>
      <c r="F186" s="3493" t="str">
        <f t="shared" si="0"/>
        <v xml:space="preserve"> </v>
      </c>
      <c r="G186" s="3493"/>
      <c r="H186" s="3513" t="str">
        <f>IF(ISBLANK(M14)," ",M14-2)</f>
        <v xml:space="preserve"> </v>
      </c>
      <c r="I186" s="3514"/>
      <c r="J186" s="3484" t="str">
        <f t="shared" si="1"/>
        <v xml:space="preserve"> </v>
      </c>
      <c r="K186" s="3485"/>
      <c r="L186" s="3493" t="str">
        <f>IF(ISBLANK(L61)," ",L61)</f>
        <v xml:space="preserve"> </v>
      </c>
      <c r="M186" s="3493"/>
      <c r="N186" s="755" t="str">
        <f>IF(ISBLANK(M153)," ",M153)</f>
        <v xml:space="preserve"> </v>
      </c>
      <c r="O186" s="755" t="str">
        <f t="shared" si="2"/>
        <v/>
      </c>
      <c r="T186" s="2"/>
      <c r="U186" s="1"/>
    </row>
    <row r="187" spans="1:21" ht="20.100000000000001" customHeight="1">
      <c r="A187" s="516"/>
      <c r="B187" s="3492" t="s">
        <v>1146</v>
      </c>
      <c r="C187" s="3492"/>
      <c r="D187" s="3512"/>
      <c r="E187" s="3512"/>
      <c r="F187" s="3493" t="str">
        <f t="shared" si="0"/>
        <v xml:space="preserve"> </v>
      </c>
      <c r="G187" s="3493"/>
      <c r="H187" s="3513" t="str">
        <f>IF(ISBLANK(M16)," ",M16-2)</f>
        <v xml:space="preserve"> </v>
      </c>
      <c r="I187" s="3514"/>
      <c r="J187" s="3484" t="str">
        <f t="shared" si="1"/>
        <v xml:space="preserve"> </v>
      </c>
      <c r="K187" s="3485"/>
      <c r="L187" s="3493" t="str">
        <f>IF(ISBLANK(L63)," ",L63)</f>
        <v xml:space="preserve"> </v>
      </c>
      <c r="M187" s="3493"/>
      <c r="N187" s="755" t="str">
        <f>IF(ISBLANK(M165)," ",M165)</f>
        <v xml:space="preserve"> </v>
      </c>
      <c r="O187" s="755" t="str">
        <f t="shared" si="2"/>
        <v/>
      </c>
      <c r="P187" s="1" t="s">
        <v>1712</v>
      </c>
      <c r="T187" s="2"/>
      <c r="U187" s="1"/>
    </row>
    <row r="188" spans="1:21" ht="20.100000000000001" customHeight="1">
      <c r="A188" s="516"/>
      <c r="E188" s="3521" t="s">
        <v>1786</v>
      </c>
      <c r="F188" s="3522"/>
      <c r="G188" s="3522"/>
      <c r="H188" s="3522"/>
      <c r="I188" s="3522"/>
      <c r="J188" s="3523"/>
      <c r="K188" s="3518" t="str">
        <f>IF(ISBLANK(D182)," ",SUM(J182:K187))</f>
        <v xml:space="preserve"> </v>
      </c>
      <c r="L188" s="3519"/>
      <c r="M188" s="3520"/>
      <c r="N188" s="3533" t="s">
        <v>1787</v>
      </c>
      <c r="O188" s="3534"/>
      <c r="P188" s="3534"/>
      <c r="Q188" s="3534"/>
      <c r="R188" s="3534"/>
      <c r="S188" s="3534"/>
      <c r="T188" s="1348"/>
      <c r="U188" s="1"/>
    </row>
    <row r="189" spans="1:21" ht="20.100000000000001" customHeight="1">
      <c r="A189" s="3524" t="s">
        <v>1788</v>
      </c>
      <c r="B189" s="3525"/>
      <c r="C189" s="3525"/>
      <c r="D189" s="3525"/>
      <c r="E189" s="3525"/>
      <c r="F189" s="3525"/>
      <c r="G189" s="3525"/>
      <c r="H189" s="3525"/>
      <c r="I189" s="3525"/>
      <c r="J189" s="3526"/>
      <c r="K189" s="3515" t="str">
        <f>IF(ISBLANK(D182)," ",K188*4)</f>
        <v xml:space="preserve"> </v>
      </c>
      <c r="L189" s="3516"/>
      <c r="M189" s="3517"/>
      <c r="N189" s="744"/>
      <c r="O189" s="744"/>
      <c r="P189" s="744"/>
      <c r="Q189" s="744"/>
      <c r="R189" s="744"/>
      <c r="S189" s="1511"/>
      <c r="T189" s="1348"/>
      <c r="U189" s="1"/>
    </row>
    <row r="190" spans="1:21" ht="20.100000000000001" customHeight="1">
      <c r="A190" s="3524" t="s">
        <v>1789</v>
      </c>
      <c r="B190" s="3525"/>
      <c r="C190" s="3525"/>
      <c r="D190" s="3525"/>
      <c r="E190" s="3525"/>
      <c r="F190" s="3525"/>
      <c r="G190" s="3525"/>
      <c r="H190" s="3525"/>
      <c r="I190" s="3525"/>
      <c r="J190" s="3526"/>
      <c r="K190" s="3527" t="str">
        <f>IF(ISBLANK(D182)," ",'Design Details &amp; Summary'!I11*0.25)</f>
        <v xml:space="preserve"> </v>
      </c>
      <c r="L190" s="3527"/>
      <c r="M190" s="3527"/>
      <c r="N190" s="744"/>
      <c r="O190" s="744"/>
      <c r="P190" s="744"/>
      <c r="Q190" s="744"/>
      <c r="R190" s="744"/>
      <c r="S190" s="1511"/>
      <c r="T190" s="1348"/>
      <c r="U190" s="1"/>
    </row>
    <row r="191" spans="1:21" ht="24" customHeight="1">
      <c r="A191" s="1349" t="s">
        <v>1160</v>
      </c>
      <c r="B191" s="474"/>
      <c r="C191" s="474"/>
      <c r="D191" s="474"/>
      <c r="E191" s="474"/>
      <c r="F191" s="474"/>
      <c r="G191" s="474"/>
      <c r="H191" s="474"/>
      <c r="I191" s="474"/>
      <c r="J191" s="474"/>
      <c r="K191" s="474"/>
      <c r="L191" s="474"/>
      <c r="M191" s="474"/>
      <c r="N191" s="25"/>
      <c r="O191" s="25"/>
      <c r="P191" s="25"/>
      <c r="Q191" s="25"/>
      <c r="R191" s="25"/>
      <c r="S191" s="25"/>
      <c r="T191" s="1335"/>
      <c r="U191" s="1"/>
    </row>
    <row r="192" spans="1:21" ht="24" customHeight="1">
      <c r="A192" s="3503"/>
      <c r="B192" s="3504"/>
      <c r="C192" s="3504"/>
      <c r="D192" s="3504"/>
      <c r="E192" s="3504"/>
      <c r="F192" s="3504"/>
      <c r="G192" s="3504"/>
      <c r="H192" s="3504"/>
      <c r="I192" s="3504"/>
      <c r="J192" s="3504"/>
      <c r="K192" s="3504"/>
      <c r="L192" s="3504"/>
      <c r="M192" s="3504"/>
      <c r="N192" s="3504"/>
      <c r="O192" s="3504"/>
      <c r="P192" s="3504"/>
      <c r="Q192" s="3504"/>
      <c r="R192" s="3504"/>
      <c r="S192" s="3504"/>
      <c r="T192" s="3505"/>
      <c r="U192" s="1"/>
    </row>
    <row r="193" spans="1:21" ht="24" customHeight="1">
      <c r="A193" s="3506"/>
      <c r="B193" s="3507"/>
      <c r="C193" s="3507"/>
      <c r="D193" s="3507"/>
      <c r="E193" s="3507"/>
      <c r="F193" s="3507"/>
      <c r="G193" s="3507"/>
      <c r="H193" s="3507"/>
      <c r="I193" s="3507"/>
      <c r="J193" s="3507"/>
      <c r="K193" s="3507"/>
      <c r="L193" s="3507"/>
      <c r="M193" s="3507"/>
      <c r="N193" s="3507"/>
      <c r="O193" s="3507"/>
      <c r="P193" s="3507"/>
      <c r="Q193" s="3507"/>
      <c r="R193" s="3507"/>
      <c r="S193" s="3507"/>
      <c r="T193" s="3508"/>
      <c r="U193" s="1"/>
    </row>
    <row r="194" spans="1:21" ht="24" customHeight="1">
      <c r="A194" s="3506"/>
      <c r="B194" s="3507"/>
      <c r="C194" s="3507"/>
      <c r="D194" s="3507"/>
      <c r="E194" s="3507"/>
      <c r="F194" s="3507"/>
      <c r="G194" s="3507"/>
      <c r="H194" s="3507"/>
      <c r="I194" s="3507"/>
      <c r="J194" s="3507"/>
      <c r="K194" s="3507"/>
      <c r="L194" s="3507"/>
      <c r="M194" s="3507"/>
      <c r="N194" s="3507"/>
      <c r="O194" s="3507"/>
      <c r="P194" s="3507"/>
      <c r="Q194" s="3507"/>
      <c r="R194" s="3507"/>
      <c r="S194" s="3507"/>
      <c r="T194" s="3508"/>
      <c r="U194" s="1"/>
    </row>
    <row r="195" spans="1:21" ht="24" customHeight="1">
      <c r="A195" s="3506"/>
      <c r="B195" s="3507"/>
      <c r="C195" s="3507"/>
      <c r="D195" s="3507"/>
      <c r="E195" s="3507"/>
      <c r="F195" s="3507"/>
      <c r="G195" s="3507"/>
      <c r="H195" s="3507"/>
      <c r="I195" s="3507"/>
      <c r="J195" s="3507"/>
      <c r="K195" s="3507"/>
      <c r="L195" s="3507"/>
      <c r="M195" s="3507"/>
      <c r="N195" s="3507"/>
      <c r="O195" s="3507"/>
      <c r="P195" s="3507"/>
      <c r="Q195" s="3507"/>
      <c r="R195" s="3507"/>
      <c r="S195" s="3507"/>
      <c r="T195" s="3508"/>
      <c r="U195" s="1"/>
    </row>
    <row r="196" spans="1:21" ht="24" customHeight="1" thickBot="1">
      <c r="A196" s="3509"/>
      <c r="B196" s="3510"/>
      <c r="C196" s="3510"/>
      <c r="D196" s="3510"/>
      <c r="E196" s="3510"/>
      <c r="F196" s="3510"/>
      <c r="G196" s="3510"/>
      <c r="H196" s="3510"/>
      <c r="I196" s="3510"/>
      <c r="J196" s="3510"/>
      <c r="K196" s="3510"/>
      <c r="L196" s="3510"/>
      <c r="M196" s="3510"/>
      <c r="N196" s="3510"/>
      <c r="O196" s="3510"/>
      <c r="P196" s="3510"/>
      <c r="Q196" s="3510"/>
      <c r="R196" s="3510"/>
      <c r="S196" s="3510"/>
      <c r="T196" s="3511"/>
      <c r="U196" s="1"/>
    </row>
  </sheetData>
  <sheetProtection sheet="1" objects="1" scenarios="1"/>
  <customSheetViews>
    <customSheetView guid="{3320ADAB-1745-4CE0-B739-BF2E8269138B}" showGridLines="0" showRuler="0">
      <selection activeCell="M94" sqref="M94"/>
      <rowBreaks count="1" manualBreakCount="1">
        <brk id="67" max="16383" man="1"/>
      </rowBreaks>
      <pageMargins left="0" right="0" top="0" bottom="0" header="0" footer="0"/>
      <pageSetup scale="59" fitToHeight="2" orientation="portrait" r:id="rId1"/>
      <headerFooter alignWithMargins="0"/>
    </customSheetView>
    <customSheetView guid="{D1431318-1DB8-4C45-813B-5A8065DFC797}" showPageBreaks="1" showGridLines="0" zeroValues="0" printArea="1" view="pageBreakPreview">
      <selection activeCell="V130" sqref="V130"/>
      <rowBreaks count="2" manualBreakCount="2">
        <brk id="64" max="19" man="1"/>
        <brk id="130" max="19" man="1"/>
      </rowBreaks>
      <pageMargins left="0" right="0" top="0" bottom="0" header="0" footer="0"/>
      <printOptions horizontalCentered="1"/>
      <pageSetup scale="71" fitToHeight="4" orientation="portrait" blackAndWhite="1" r:id="rId2"/>
      <headerFooter alignWithMargins="0"/>
    </customSheetView>
  </customSheetViews>
  <mergeCells count="213">
    <mergeCell ref="N188:S188"/>
    <mergeCell ref="E1:O1"/>
    <mergeCell ref="O55:P55"/>
    <mergeCell ref="L123:T124"/>
    <mergeCell ref="B133:C133"/>
    <mergeCell ref="B117:C117"/>
    <mergeCell ref="I121:J121"/>
    <mergeCell ref="G133:H133"/>
    <mergeCell ref="L57:M57"/>
    <mergeCell ref="F63:G63"/>
    <mergeCell ref="H63:K63"/>
    <mergeCell ref="E109:F109"/>
    <mergeCell ref="F71:G71"/>
    <mergeCell ref="F67:G67"/>
    <mergeCell ref="H59:K59"/>
    <mergeCell ref="D71:E71"/>
    <mergeCell ref="O19:P19"/>
    <mergeCell ref="R19:S19"/>
    <mergeCell ref="G21:H21"/>
    <mergeCell ref="C34:F34"/>
    <mergeCell ref="B28:C28"/>
    <mergeCell ref="E28:F28"/>
    <mergeCell ref="N38:O38"/>
    <mergeCell ref="D40:E40"/>
    <mergeCell ref="J36:K36"/>
    <mergeCell ref="K2:L2"/>
    <mergeCell ref="H61:K61"/>
    <mergeCell ref="I6:L6"/>
    <mergeCell ref="G109:H109"/>
    <mergeCell ref="B85:C85"/>
    <mergeCell ref="L61:M61"/>
    <mergeCell ref="J42:K42"/>
    <mergeCell ref="J40:K40"/>
    <mergeCell ref="G40:H40"/>
    <mergeCell ref="J38:K38"/>
    <mergeCell ref="B81:C81"/>
    <mergeCell ref="I2:J2"/>
    <mergeCell ref="D42:E42"/>
    <mergeCell ref="G38:H38"/>
    <mergeCell ref="D38:E38"/>
    <mergeCell ref="F12:G12"/>
    <mergeCell ref="D46:E46"/>
    <mergeCell ref="M10:N10"/>
    <mergeCell ref="M34:P34"/>
    <mergeCell ref="J34:K34"/>
    <mergeCell ref="G34:H34"/>
    <mergeCell ref="F14:G14"/>
    <mergeCell ref="B24:R25"/>
    <mergeCell ref="E76:F76"/>
    <mergeCell ref="D129:F129"/>
    <mergeCell ref="B125:C125"/>
    <mergeCell ref="B121:C121"/>
    <mergeCell ref="D178:E180"/>
    <mergeCell ref="O63:P63"/>
    <mergeCell ref="H76:I76"/>
    <mergeCell ref="L63:M63"/>
    <mergeCell ref="B137:C137"/>
    <mergeCell ref="B141:C141"/>
    <mergeCell ref="B91:C91"/>
    <mergeCell ref="P153:Q153"/>
    <mergeCell ref="G91:H91"/>
    <mergeCell ref="P117:Q117"/>
    <mergeCell ref="D153:F153"/>
    <mergeCell ref="H153:K153"/>
    <mergeCell ref="G145:H145"/>
    <mergeCell ref="E145:F145"/>
    <mergeCell ref="E85:F85"/>
    <mergeCell ref="H117:K117"/>
    <mergeCell ref="L109:T112"/>
    <mergeCell ref="A190:J190"/>
    <mergeCell ref="K190:M190"/>
    <mergeCell ref="D187:E187"/>
    <mergeCell ref="D36:E36"/>
    <mergeCell ref="N172:O172"/>
    <mergeCell ref="B184:C184"/>
    <mergeCell ref="B182:C182"/>
    <mergeCell ref="A189:J189"/>
    <mergeCell ref="H183:I183"/>
    <mergeCell ref="L185:M185"/>
    <mergeCell ref="E161:F161"/>
    <mergeCell ref="H178:I180"/>
    <mergeCell ref="F178:G180"/>
    <mergeCell ref="B161:C161"/>
    <mergeCell ref="L184:M184"/>
    <mergeCell ref="J185:K185"/>
    <mergeCell ref="D183:E183"/>
    <mergeCell ref="J182:K182"/>
    <mergeCell ref="L178:M180"/>
    <mergeCell ref="J178:K180"/>
    <mergeCell ref="H161:I161"/>
    <mergeCell ref="B165:C165"/>
    <mergeCell ref="H182:I182"/>
    <mergeCell ref="L182:M182"/>
    <mergeCell ref="A192:T196"/>
    <mergeCell ref="F182:G182"/>
    <mergeCell ref="L187:M187"/>
    <mergeCell ref="D182:E182"/>
    <mergeCell ref="B187:C187"/>
    <mergeCell ref="H187:I187"/>
    <mergeCell ref="B183:C183"/>
    <mergeCell ref="L186:M186"/>
    <mergeCell ref="F186:G186"/>
    <mergeCell ref="L183:M183"/>
    <mergeCell ref="D186:E186"/>
    <mergeCell ref="D185:E185"/>
    <mergeCell ref="H184:I184"/>
    <mergeCell ref="D184:E184"/>
    <mergeCell ref="F184:G184"/>
    <mergeCell ref="B186:C186"/>
    <mergeCell ref="F185:G185"/>
    <mergeCell ref="H186:I186"/>
    <mergeCell ref="J186:K186"/>
    <mergeCell ref="K189:M189"/>
    <mergeCell ref="K188:M188"/>
    <mergeCell ref="H185:I185"/>
    <mergeCell ref="F187:G187"/>
    <mergeCell ref="E188:J188"/>
    <mergeCell ref="F6:G6"/>
    <mergeCell ref="O59:P59"/>
    <mergeCell ref="F55:G55"/>
    <mergeCell ref="H55:K55"/>
    <mergeCell ref="N42:O42"/>
    <mergeCell ref="M14:N14"/>
    <mergeCell ref="M12:N12"/>
    <mergeCell ref="G42:H42"/>
    <mergeCell ref="F57:G57"/>
    <mergeCell ref="J44:K44"/>
    <mergeCell ref="O57:P57"/>
    <mergeCell ref="F53:G53"/>
    <mergeCell ref="N36:O36"/>
    <mergeCell ref="G36:H36"/>
    <mergeCell ref="M6:N6"/>
    <mergeCell ref="M8:N8"/>
    <mergeCell ref="F8:G8"/>
    <mergeCell ref="F16:G16"/>
    <mergeCell ref="L53:M53"/>
    <mergeCell ref="N40:O40"/>
    <mergeCell ref="H57:K57"/>
    <mergeCell ref="M50:S51"/>
    <mergeCell ref="H28:I28"/>
    <mergeCell ref="L59:M59"/>
    <mergeCell ref="J187:K187"/>
    <mergeCell ref="P165:Q165"/>
    <mergeCell ref="E157:F157"/>
    <mergeCell ref="E149:F149"/>
    <mergeCell ref="N178:O180"/>
    <mergeCell ref="L146:T148"/>
    <mergeCell ref="P129:Q129"/>
    <mergeCell ref="B170:O170"/>
    <mergeCell ref="H125:I125"/>
    <mergeCell ref="H141:K141"/>
    <mergeCell ref="B129:C129"/>
    <mergeCell ref="E133:F133"/>
    <mergeCell ref="B185:C185"/>
    <mergeCell ref="I157:J157"/>
    <mergeCell ref="F183:G183"/>
    <mergeCell ref="J184:K184"/>
    <mergeCell ref="J183:K183"/>
    <mergeCell ref="D165:F165"/>
    <mergeCell ref="H165:K165"/>
    <mergeCell ref="B176:O177"/>
    <mergeCell ref="B157:C157"/>
    <mergeCell ref="B178:C180"/>
    <mergeCell ref="G157:H157"/>
    <mergeCell ref="L158:T160"/>
    <mergeCell ref="O53:P53"/>
    <mergeCell ref="I109:J109"/>
    <mergeCell ref="P141:Q141"/>
    <mergeCell ref="I145:J145"/>
    <mergeCell ref="L135:T136"/>
    <mergeCell ref="B153:C153"/>
    <mergeCell ref="H129:K129"/>
    <mergeCell ref="H101:I101"/>
    <mergeCell ref="D117:F117"/>
    <mergeCell ref="G121:H121"/>
    <mergeCell ref="B149:C149"/>
    <mergeCell ref="B109:C109"/>
    <mergeCell ref="H149:I149"/>
    <mergeCell ref="E125:F125"/>
    <mergeCell ref="E121:F121"/>
    <mergeCell ref="H137:I137"/>
    <mergeCell ref="H113:I113"/>
    <mergeCell ref="B145:C145"/>
    <mergeCell ref="D141:F141"/>
    <mergeCell ref="E137:F137"/>
    <mergeCell ref="F61:G61"/>
    <mergeCell ref="B71:C71"/>
    <mergeCell ref="B76:C76"/>
    <mergeCell ref="B113:C113"/>
    <mergeCell ref="R2:T2"/>
    <mergeCell ref="S3:T4"/>
    <mergeCell ref="I133:J133"/>
    <mergeCell ref="E113:F113"/>
    <mergeCell ref="F10:G10"/>
    <mergeCell ref="G81:H81"/>
    <mergeCell ref="D81:F81"/>
    <mergeCell ref="B73:L75"/>
    <mergeCell ref="L19:M19"/>
    <mergeCell ref="J67:K67"/>
    <mergeCell ref="D44:E44"/>
    <mergeCell ref="H53:K53"/>
    <mergeCell ref="L55:M55"/>
    <mergeCell ref="N44:O44"/>
    <mergeCell ref="J46:K46"/>
    <mergeCell ref="N46:O46"/>
    <mergeCell ref="G44:H44"/>
    <mergeCell ref="B49:L50"/>
    <mergeCell ref="G46:H46"/>
    <mergeCell ref="H85:I85"/>
    <mergeCell ref="O61:P61"/>
    <mergeCell ref="B87:N88"/>
    <mergeCell ref="M16:N16"/>
    <mergeCell ref="F59:G59"/>
  </mergeCells>
  <phoneticPr fontId="26" type="noConversion"/>
  <dataValidations count="6">
    <dataValidation type="list" allowBlank="1" showInputMessage="1" showErrorMessage="1" sqref="D182:E187" xr:uid="{00000000-0002-0000-1800-000000000000}">
      <formula1>PipeDia</formula1>
    </dataValidation>
    <dataValidation type="list" allowBlank="1" showInputMessage="1" showErrorMessage="1" sqref="F68 F72" xr:uid="{00000000-0002-0000-1800-000001000000}">
      <formula1>$AN$73:$AN$82</formula1>
    </dataValidation>
    <dataValidation type="decimal" allowBlank="1" showInputMessage="1" showErrorMessage="1" prompt="Min Spacing=2ft; Max Spacing=3ft.  Recommendation: 2 feet" sqref="F67:G67" xr:uid="{00000000-0002-0000-1800-000002000000}">
      <formula1>2</formula1>
      <formula2>3</formula2>
    </dataValidation>
    <dataValidation type="list" allowBlank="1" showInputMessage="1" showErrorMessage="1" sqref="L54:M54 L62:M62 L60:M60 L58:M58 L56:M56" xr:uid="{00000000-0002-0000-1800-000003000000}">
      <formula1>$AL$6:$AL$9</formula1>
    </dataValidation>
    <dataValidation type="list" allowBlank="1" showInputMessage="1" showErrorMessage="1" sqref="L53:M53 L55:M55 L57:M57 L59:M59 L61:M61 L63:M63" xr:uid="{00000000-0002-0000-1800-000004000000}">
      <formula1>PerfDia</formula1>
    </dataValidation>
    <dataValidation type="list" allowBlank="1" showInputMessage="1" showErrorMessage="1" sqref="G21:H21" xr:uid="{00000000-0002-0000-1800-000005000000}">
      <formula1>MinHead</formula1>
    </dataValidation>
  </dataValidations>
  <printOptions horizontalCentered="1"/>
  <pageMargins left="0.4" right="0.4" top="0.4" bottom="0.4" header="0.5" footer="0.5"/>
  <pageSetup scale="71" fitToHeight="4" orientation="portrait" blackAndWhite="1" r:id="rId3"/>
  <headerFooter alignWithMargins="0"/>
  <rowBreaks count="2" manualBreakCount="2">
    <brk id="64" max="19" man="1"/>
    <brk id="130" max="19" man="1"/>
  </rowBreaks>
  <ignoredErrors>
    <ignoredError sqref="A4 A18 A21 A26 A30 A48" numberStoredAsText="1"/>
  </ignoredErrors>
  <drawing r:id="rId4"/>
  <legacyDrawing r:id="rId5"/>
  <mc:AlternateContent xmlns:mc="http://schemas.openxmlformats.org/markup-compatibility/2006">
    <mc:Choice Requires="x14">
      <controls>
        <mc:AlternateContent xmlns:mc="http://schemas.openxmlformats.org/markup-compatibility/2006">
          <mc:Choice Requires="x14">
            <control shapeId="4422" r:id="rId6" name="Check Box 326">
              <controlPr defaultSize="0" autoFill="0" autoLine="0" autoPict="0">
                <anchor moveWithCells="1">
                  <from>
                    <xdr:col>8</xdr:col>
                    <xdr:colOff>228600</xdr:colOff>
                    <xdr:row>77</xdr:row>
                    <xdr:rowOff>47625</xdr:rowOff>
                  </from>
                  <to>
                    <xdr:col>10</xdr:col>
                    <xdr:colOff>0</xdr:colOff>
                    <xdr:row>77</xdr:row>
                    <xdr:rowOff>219075</xdr:rowOff>
                  </to>
                </anchor>
              </controlPr>
            </control>
          </mc:Choice>
        </mc:AlternateContent>
        <mc:AlternateContent xmlns:mc="http://schemas.openxmlformats.org/markup-compatibility/2006">
          <mc:Choice Requires="x14">
            <control shapeId="4423" r:id="rId7" name="Check Box 327">
              <controlPr defaultSize="0" autoFill="0" autoLine="0" autoPict="0">
                <anchor moveWithCells="1">
                  <from>
                    <xdr:col>10</xdr:col>
                    <xdr:colOff>0</xdr:colOff>
                    <xdr:row>77</xdr:row>
                    <xdr:rowOff>47625</xdr:rowOff>
                  </from>
                  <to>
                    <xdr:col>11</xdr:col>
                    <xdr:colOff>180975</xdr:colOff>
                    <xdr:row>77</xdr:row>
                    <xdr:rowOff>219075</xdr:rowOff>
                  </to>
                </anchor>
              </controlPr>
            </control>
          </mc:Choice>
        </mc:AlternateContent>
        <mc:AlternateContent xmlns:mc="http://schemas.openxmlformats.org/markup-compatibility/2006">
          <mc:Choice Requires="x14">
            <control shapeId="4424" r:id="rId8" name="Check Box 328">
              <controlPr defaultSize="0" autoFill="0" autoLine="0" autoPict="0">
                <anchor moveWithCells="1">
                  <from>
                    <xdr:col>11</xdr:col>
                    <xdr:colOff>295275</xdr:colOff>
                    <xdr:row>113</xdr:row>
                    <xdr:rowOff>47625</xdr:rowOff>
                  </from>
                  <to>
                    <xdr:col>13</xdr:col>
                    <xdr:colOff>47625</xdr:colOff>
                    <xdr:row>114</xdr:row>
                    <xdr:rowOff>142875</xdr:rowOff>
                  </to>
                </anchor>
              </controlPr>
            </control>
          </mc:Choice>
        </mc:AlternateContent>
        <mc:AlternateContent xmlns:mc="http://schemas.openxmlformats.org/markup-compatibility/2006">
          <mc:Choice Requires="x14">
            <control shapeId="4425" r:id="rId9" name="Check Box 329">
              <controlPr defaultSize="0" autoFill="0" autoLine="0" autoPict="0">
                <anchor moveWithCells="1">
                  <from>
                    <xdr:col>13</xdr:col>
                    <xdr:colOff>47625</xdr:colOff>
                    <xdr:row>113</xdr:row>
                    <xdr:rowOff>47625</xdr:rowOff>
                  </from>
                  <to>
                    <xdr:col>14</xdr:col>
                    <xdr:colOff>219075</xdr:colOff>
                    <xdr:row>114</xdr:row>
                    <xdr:rowOff>142875</xdr:rowOff>
                  </to>
                </anchor>
              </controlPr>
            </control>
          </mc:Choice>
        </mc:AlternateContent>
        <mc:AlternateContent xmlns:mc="http://schemas.openxmlformats.org/markup-compatibility/2006">
          <mc:Choice Requires="x14">
            <control shapeId="4426" r:id="rId10" name="Check Box 330">
              <controlPr defaultSize="0" autoFill="0" autoLine="0" autoPict="0">
                <anchor moveWithCells="1">
                  <from>
                    <xdr:col>11</xdr:col>
                    <xdr:colOff>266700</xdr:colOff>
                    <xdr:row>149</xdr:row>
                    <xdr:rowOff>66675</xdr:rowOff>
                  </from>
                  <to>
                    <xdr:col>13</xdr:col>
                    <xdr:colOff>28575</xdr:colOff>
                    <xdr:row>150</xdr:row>
                    <xdr:rowOff>180975</xdr:rowOff>
                  </to>
                </anchor>
              </controlPr>
            </control>
          </mc:Choice>
        </mc:AlternateContent>
        <mc:AlternateContent xmlns:mc="http://schemas.openxmlformats.org/markup-compatibility/2006">
          <mc:Choice Requires="x14">
            <control shapeId="4427" r:id="rId11" name="Check Box 331">
              <controlPr defaultSize="0" autoFill="0" autoLine="0" autoPict="0">
                <anchor moveWithCells="1">
                  <from>
                    <xdr:col>13</xdr:col>
                    <xdr:colOff>28575</xdr:colOff>
                    <xdr:row>149</xdr:row>
                    <xdr:rowOff>66675</xdr:rowOff>
                  </from>
                  <to>
                    <xdr:col>14</xdr:col>
                    <xdr:colOff>200025</xdr:colOff>
                    <xdr:row>150</xdr:row>
                    <xdr:rowOff>180975</xdr:rowOff>
                  </to>
                </anchor>
              </controlPr>
            </control>
          </mc:Choice>
        </mc:AlternateContent>
        <mc:AlternateContent xmlns:mc="http://schemas.openxmlformats.org/markup-compatibility/2006">
          <mc:Choice Requires="x14">
            <control shapeId="4428" r:id="rId12" name="Check Box 332">
              <controlPr defaultSize="0" autoFill="0" autoLine="0" autoPict="0">
                <anchor moveWithCells="1">
                  <from>
                    <xdr:col>11</xdr:col>
                    <xdr:colOff>276225</xdr:colOff>
                    <xdr:row>161</xdr:row>
                    <xdr:rowOff>66675</xdr:rowOff>
                  </from>
                  <to>
                    <xdr:col>13</xdr:col>
                    <xdr:colOff>38100</xdr:colOff>
                    <xdr:row>162</xdr:row>
                    <xdr:rowOff>152400</xdr:rowOff>
                  </to>
                </anchor>
              </controlPr>
            </control>
          </mc:Choice>
        </mc:AlternateContent>
        <mc:AlternateContent xmlns:mc="http://schemas.openxmlformats.org/markup-compatibility/2006">
          <mc:Choice Requires="x14">
            <control shapeId="4429" r:id="rId13" name="Check Box 333">
              <controlPr defaultSize="0" autoFill="0" autoLine="0" autoPict="0">
                <anchor moveWithCells="1">
                  <from>
                    <xdr:col>13</xdr:col>
                    <xdr:colOff>38100</xdr:colOff>
                    <xdr:row>161</xdr:row>
                    <xdr:rowOff>66675</xdr:rowOff>
                  </from>
                  <to>
                    <xdr:col>14</xdr:col>
                    <xdr:colOff>219075</xdr:colOff>
                    <xdr:row>162</xdr:row>
                    <xdr:rowOff>152400</xdr:rowOff>
                  </to>
                </anchor>
              </controlPr>
            </control>
          </mc:Choice>
        </mc:AlternateContent>
        <mc:AlternateContent xmlns:mc="http://schemas.openxmlformats.org/markup-compatibility/2006">
          <mc:Choice Requires="x14">
            <control shapeId="4430" r:id="rId14" name="Check Box 334">
              <controlPr defaultSize="0" autoFill="0" autoLine="0" autoPict="0">
                <anchor moveWithCells="1">
                  <from>
                    <xdr:col>11</xdr:col>
                    <xdr:colOff>257175</xdr:colOff>
                    <xdr:row>125</xdr:row>
                    <xdr:rowOff>66675</xdr:rowOff>
                  </from>
                  <to>
                    <xdr:col>13</xdr:col>
                    <xdr:colOff>9525</xdr:colOff>
                    <xdr:row>126</xdr:row>
                    <xdr:rowOff>180975</xdr:rowOff>
                  </to>
                </anchor>
              </controlPr>
            </control>
          </mc:Choice>
        </mc:AlternateContent>
        <mc:AlternateContent xmlns:mc="http://schemas.openxmlformats.org/markup-compatibility/2006">
          <mc:Choice Requires="x14">
            <control shapeId="4431" r:id="rId15" name="Check Box 335">
              <controlPr defaultSize="0" autoFill="0" autoLine="0" autoPict="0">
                <anchor moveWithCells="1">
                  <from>
                    <xdr:col>13</xdr:col>
                    <xdr:colOff>9525</xdr:colOff>
                    <xdr:row>125</xdr:row>
                    <xdr:rowOff>66675</xdr:rowOff>
                  </from>
                  <to>
                    <xdr:col>14</xdr:col>
                    <xdr:colOff>180975</xdr:colOff>
                    <xdr:row>126</xdr:row>
                    <xdr:rowOff>180975</xdr:rowOff>
                  </to>
                </anchor>
              </controlPr>
            </control>
          </mc:Choice>
        </mc:AlternateContent>
        <mc:AlternateContent xmlns:mc="http://schemas.openxmlformats.org/markup-compatibility/2006">
          <mc:Choice Requires="x14">
            <control shapeId="734409" r:id="rId16" name="Check Box 9417">
              <controlPr defaultSize="0" autoFill="0" autoLine="0" autoPict="0">
                <anchor moveWithCells="1">
                  <from>
                    <xdr:col>11</xdr:col>
                    <xdr:colOff>257175</xdr:colOff>
                    <xdr:row>137</xdr:row>
                    <xdr:rowOff>66675</xdr:rowOff>
                  </from>
                  <to>
                    <xdr:col>13</xdr:col>
                    <xdr:colOff>9525</xdr:colOff>
                    <xdr:row>138</xdr:row>
                    <xdr:rowOff>161925</xdr:rowOff>
                  </to>
                </anchor>
              </controlPr>
            </control>
          </mc:Choice>
        </mc:AlternateContent>
        <mc:AlternateContent xmlns:mc="http://schemas.openxmlformats.org/markup-compatibility/2006">
          <mc:Choice Requires="x14">
            <control shapeId="734410" r:id="rId17" name="Check Box 9418">
              <controlPr defaultSize="0" autoFill="0" autoLine="0" autoPict="0">
                <anchor moveWithCells="1">
                  <from>
                    <xdr:col>13</xdr:col>
                    <xdr:colOff>9525</xdr:colOff>
                    <xdr:row>137</xdr:row>
                    <xdr:rowOff>66675</xdr:rowOff>
                  </from>
                  <to>
                    <xdr:col>14</xdr:col>
                    <xdr:colOff>180975</xdr:colOff>
                    <xdr:row>138</xdr:row>
                    <xdr:rowOff>161925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
    <tabColor rgb="FF339966"/>
  </sheetPr>
  <dimension ref="A1:AU128"/>
  <sheetViews>
    <sheetView showGridLines="0" view="pageBreakPreview" zoomScaleNormal="100" zoomScaleSheetLayoutView="100" workbookViewId="0">
      <selection activeCell="I4" sqref="I4:L4"/>
    </sheetView>
  </sheetViews>
  <sheetFormatPr defaultColWidth="6.42578125" defaultRowHeight="24.75" customHeight="1"/>
  <cols>
    <col min="1" max="1" width="3.42578125" style="16" customWidth="1"/>
    <col min="2" max="18" width="6.42578125" style="8" customWidth="1"/>
    <col min="19" max="19" width="6.42578125" style="4" customWidth="1"/>
    <col min="20" max="20" width="6.42578125" style="8" customWidth="1"/>
    <col min="21" max="43" width="6.42578125" style="8"/>
    <col min="44" max="44" width="6.85546875" style="8" bestFit="1" customWidth="1"/>
    <col min="45" max="45" width="7" style="8" bestFit="1" customWidth="1"/>
    <col min="46" max="46" width="6.85546875" style="8" bestFit="1" customWidth="1"/>
    <col min="47" max="16384" width="6.42578125" style="8"/>
  </cols>
  <sheetData>
    <row r="1" spans="1:22" ht="54.95" customHeight="1" thickBot="1">
      <c r="B1" s="323"/>
      <c r="C1" s="323"/>
      <c r="D1" s="323"/>
      <c r="E1" s="3176" t="s">
        <v>1790</v>
      </c>
      <c r="F1" s="3176"/>
      <c r="G1" s="3176"/>
      <c r="H1" s="3176"/>
      <c r="I1" s="3176"/>
      <c r="J1" s="3176"/>
      <c r="K1" s="3176"/>
      <c r="L1" s="3176"/>
      <c r="M1" s="3176"/>
      <c r="N1" s="3176"/>
      <c r="O1" s="323"/>
      <c r="P1" s="324"/>
      <c r="Q1" s="324"/>
      <c r="R1" s="324"/>
      <c r="S1" s="324"/>
    </row>
    <row r="2" spans="1:22" ht="16.350000000000001" customHeight="1">
      <c r="A2" s="1144" t="s">
        <v>1791</v>
      </c>
      <c r="B2" s="1145" t="s">
        <v>1792</v>
      </c>
      <c r="C2" s="1146"/>
      <c r="D2" s="1146"/>
      <c r="E2" s="1146"/>
      <c r="F2" s="1146"/>
      <c r="G2" s="1146"/>
      <c r="H2" s="1146"/>
      <c r="I2" s="3561" t="s">
        <v>1164</v>
      </c>
      <c r="J2" s="3561"/>
      <c r="K2" s="3564" t="str">
        <f>IF(ISBLANK('Design Details &amp; Summary'!S3)," ",'Design Details &amp; Summary'!S3)</f>
        <v xml:space="preserve"> </v>
      </c>
      <c r="L2" s="3564"/>
      <c r="M2" s="1146"/>
      <c r="N2" s="1146"/>
      <c r="O2" s="1146"/>
      <c r="P2" s="1146"/>
      <c r="Q2" s="1146"/>
      <c r="R2" s="1146"/>
      <c r="S2" s="857" t="str">
        <f>'Drop-Down Lists'!$A2</f>
        <v>v 05.01.2026</v>
      </c>
      <c r="T2" s="52"/>
      <c r="U2" s="52"/>
      <c r="V2" s="52"/>
    </row>
    <row r="3" spans="1:22" ht="6" customHeight="1">
      <c r="A3" s="1149"/>
      <c r="B3" s="52"/>
      <c r="C3" s="52"/>
      <c r="D3" s="52"/>
      <c r="E3" s="52"/>
      <c r="F3" s="52"/>
      <c r="G3" s="52"/>
      <c r="H3" s="52"/>
      <c r="I3" s="308"/>
      <c r="J3" s="308"/>
      <c r="K3" s="308"/>
      <c r="L3" s="308"/>
      <c r="M3" s="52"/>
      <c r="N3" s="52"/>
      <c r="O3" s="52"/>
      <c r="P3" s="52"/>
      <c r="Q3" s="52"/>
      <c r="R3" s="52"/>
      <c r="S3" s="1156"/>
      <c r="T3" s="52"/>
      <c r="U3" s="52"/>
      <c r="V3" s="52"/>
    </row>
    <row r="4" spans="1:22" ht="18" customHeight="1">
      <c r="A4" s="1149"/>
      <c r="B4" s="3562" t="s">
        <v>1793</v>
      </c>
      <c r="C4" s="3562"/>
      <c r="D4" s="3562"/>
      <c r="E4" s="3562"/>
      <c r="F4" s="3562"/>
      <c r="G4" s="3554"/>
      <c r="H4" s="3554"/>
      <c r="I4" s="3565"/>
      <c r="J4" s="3566"/>
      <c r="K4" s="3566"/>
      <c r="L4" s="3567"/>
      <c r="M4" s="312"/>
      <c r="N4" s="1582"/>
      <c r="O4" s="52"/>
      <c r="P4" s="52"/>
      <c r="Q4" s="52"/>
      <c r="S4" s="1150">
        <v>0</v>
      </c>
      <c r="T4" s="52"/>
      <c r="U4" s="360"/>
      <c r="V4" s="52"/>
    </row>
    <row r="5" spans="1:22" ht="6" customHeight="1">
      <c r="A5" s="1149"/>
      <c r="B5" s="52"/>
      <c r="C5" s="52"/>
      <c r="D5" s="52"/>
      <c r="E5" s="52"/>
      <c r="F5" s="52"/>
      <c r="G5" s="52"/>
      <c r="H5" s="52"/>
      <c r="I5" s="52"/>
      <c r="J5" s="52"/>
      <c r="K5" s="52"/>
      <c r="L5" s="52"/>
      <c r="M5" s="52"/>
      <c r="N5" s="52"/>
      <c r="O5" s="52"/>
      <c r="P5" s="52"/>
      <c r="Q5" s="52"/>
      <c r="R5" s="360"/>
      <c r="S5" s="1151"/>
      <c r="T5" s="52"/>
      <c r="U5" s="52"/>
      <c r="V5" s="52"/>
    </row>
    <row r="6" spans="1:22" ht="20.100000000000001" customHeight="1">
      <c r="A6" s="1152" t="s">
        <v>1011</v>
      </c>
      <c r="B6" s="8" t="s">
        <v>1794</v>
      </c>
      <c r="K6" s="3172"/>
      <c r="L6" s="3563"/>
      <c r="M6" s="8" t="s">
        <v>1034</v>
      </c>
      <c r="N6" s="2348" t="s">
        <v>1795</v>
      </c>
      <c r="S6" s="518"/>
    </row>
    <row r="7" spans="1:22" ht="6" customHeight="1">
      <c r="A7" s="1153"/>
      <c r="K7" s="640"/>
      <c r="L7" s="640"/>
      <c r="R7" s="67"/>
      <c r="S7" s="1154"/>
    </row>
    <row r="8" spans="1:22" ht="20.100000000000001" customHeight="1">
      <c r="A8" s="1152" t="s">
        <v>1019</v>
      </c>
      <c r="B8" s="2927" t="s">
        <v>1796</v>
      </c>
      <c r="C8" s="2927"/>
      <c r="D8" s="2927"/>
      <c r="E8" s="2927"/>
      <c r="F8" s="2927"/>
      <c r="G8" s="2927"/>
      <c r="H8" s="2927"/>
      <c r="K8" s="3174" t="str">
        <f>IF(I4="Pressure", MAX('Pres. Dist. STA'!L84,'Non-Level  STA'!N172), " ")</f>
        <v xml:space="preserve"> </v>
      </c>
      <c r="L8" s="3437"/>
      <c r="M8" s="8" t="s">
        <v>1034</v>
      </c>
      <c r="S8" s="518"/>
    </row>
    <row r="9" spans="1:22" ht="6" customHeight="1">
      <c r="A9" s="861"/>
      <c r="R9" s="67"/>
      <c r="S9" s="1154"/>
    </row>
    <row r="10" spans="1:22" ht="20.100000000000001" customHeight="1">
      <c r="A10" s="1152" t="s">
        <v>1168</v>
      </c>
      <c r="B10" s="8" t="s">
        <v>1797</v>
      </c>
      <c r="K10" s="3568"/>
      <c r="L10" s="3569"/>
      <c r="M10" s="3569"/>
      <c r="N10" s="3569"/>
      <c r="O10" s="3569"/>
      <c r="P10" s="3570"/>
      <c r="R10" s="67"/>
      <c r="S10" s="863"/>
    </row>
    <row r="11" spans="1:22" ht="6" customHeight="1">
      <c r="A11" s="861"/>
      <c r="S11" s="863"/>
    </row>
    <row r="12" spans="1:22" ht="16.350000000000001" customHeight="1">
      <c r="A12" s="3558" t="s">
        <v>1798</v>
      </c>
      <c r="B12" s="3559"/>
      <c r="C12" s="3559"/>
      <c r="D12" s="3559"/>
      <c r="E12" s="3559"/>
      <c r="F12" s="3559"/>
      <c r="G12" s="3559"/>
      <c r="H12" s="3559"/>
      <c r="I12" s="3559"/>
      <c r="J12" s="3559"/>
      <c r="K12" s="3559"/>
      <c r="L12" s="3559"/>
      <c r="M12" s="3559"/>
      <c r="N12" s="3559"/>
      <c r="O12" s="3559"/>
      <c r="P12" s="3559"/>
      <c r="Q12" s="3559"/>
      <c r="R12" s="3559"/>
      <c r="S12" s="3560"/>
      <c r="T12" s="52"/>
      <c r="U12" s="52"/>
      <c r="V12" s="52"/>
    </row>
    <row r="13" spans="1:22" ht="6" customHeight="1">
      <c r="A13" s="858"/>
      <c r="B13" s="308"/>
      <c r="C13" s="308"/>
      <c r="D13" s="308"/>
      <c r="E13" s="308"/>
      <c r="F13" s="308"/>
      <c r="G13" s="308"/>
      <c r="H13" s="308"/>
      <c r="I13" s="308"/>
      <c r="J13" s="308"/>
      <c r="K13" s="308"/>
      <c r="L13" s="308"/>
      <c r="M13" s="308"/>
      <c r="N13" s="308"/>
      <c r="O13" s="308"/>
      <c r="P13" s="308"/>
      <c r="Q13" s="308"/>
      <c r="R13" s="308"/>
      <c r="S13" s="1148"/>
      <c r="T13" s="52"/>
    </row>
    <row r="14" spans="1:22" ht="20.100000000000001" customHeight="1">
      <c r="A14" s="1152" t="s">
        <v>1011</v>
      </c>
      <c r="B14" s="2946" t="s">
        <v>1799</v>
      </c>
      <c r="C14" s="2946"/>
      <c r="D14" s="2946"/>
      <c r="E14" s="2946"/>
      <c r="F14" s="3196"/>
      <c r="G14" s="3197"/>
      <c r="H14" s="8" t="s">
        <v>609</v>
      </c>
      <c r="K14" s="52"/>
      <c r="L14" s="52"/>
      <c r="M14" s="52"/>
      <c r="N14" s="52"/>
      <c r="O14" s="52"/>
      <c r="P14" s="52"/>
      <c r="Q14" s="52"/>
      <c r="R14" s="52"/>
      <c r="S14" s="1156"/>
      <c r="T14" s="52"/>
    </row>
    <row r="15" spans="1:22" ht="18" customHeight="1">
      <c r="A15" s="1153"/>
      <c r="B15" s="2946" t="s">
        <v>1800</v>
      </c>
      <c r="C15" s="2946"/>
      <c r="D15" s="2946"/>
      <c r="E15" s="2946"/>
      <c r="F15" s="2946"/>
      <c r="G15" s="2946"/>
      <c r="H15" s="2946"/>
      <c r="K15" s="52"/>
      <c r="L15" s="52"/>
      <c r="M15" s="52"/>
      <c r="N15" s="52"/>
      <c r="O15" s="52"/>
      <c r="P15" s="52"/>
      <c r="Q15" s="52"/>
      <c r="R15" s="52"/>
      <c r="S15" s="1156"/>
      <c r="T15" s="52"/>
    </row>
    <row r="16" spans="1:22" ht="6" customHeight="1">
      <c r="A16" s="861"/>
      <c r="B16" s="59"/>
      <c r="C16" s="59"/>
      <c r="D16" s="59"/>
      <c r="E16" s="59"/>
      <c r="F16" s="346"/>
      <c r="G16" s="346"/>
      <c r="H16" s="59"/>
      <c r="I16" s="59"/>
      <c r="J16" s="59"/>
      <c r="K16" s="10"/>
      <c r="L16" s="10"/>
      <c r="M16" s="10"/>
      <c r="N16" s="10"/>
      <c r="O16" s="10"/>
      <c r="P16" s="10"/>
      <c r="Q16" s="28"/>
      <c r="S16" s="1157"/>
    </row>
    <row r="17" spans="1:19" ht="20.100000000000001" customHeight="1">
      <c r="A17" s="1152" t="s">
        <v>1019</v>
      </c>
      <c r="B17" s="2927" t="s">
        <v>1801</v>
      </c>
      <c r="C17" s="2927"/>
      <c r="D17" s="2927"/>
      <c r="E17" s="2927"/>
      <c r="F17" s="3555"/>
      <c r="G17" s="3556"/>
      <c r="H17" s="8" t="s">
        <v>609</v>
      </c>
      <c r="I17" s="10"/>
      <c r="J17" s="10"/>
      <c r="K17" s="10"/>
      <c r="L17" s="10"/>
      <c r="M17" s="10"/>
      <c r="N17" s="10"/>
      <c r="O17" s="10"/>
      <c r="P17" s="10"/>
      <c r="Q17" s="28"/>
      <c r="S17" s="1157"/>
    </row>
    <row r="18" spans="1:19" ht="6" customHeight="1">
      <c r="A18" s="861"/>
      <c r="K18" s="10"/>
      <c r="L18" s="10"/>
      <c r="M18" s="10"/>
      <c r="N18" s="10"/>
      <c r="O18" s="10"/>
      <c r="P18" s="10"/>
      <c r="Q18" s="28"/>
      <c r="S18" s="1157"/>
    </row>
    <row r="19" spans="1:19" ht="20.100000000000001" customHeight="1">
      <c r="A19" s="1152" t="s">
        <v>1168</v>
      </c>
      <c r="B19" s="2946" t="s">
        <v>1802</v>
      </c>
      <c r="C19" s="2946"/>
      <c r="D19" s="2946"/>
      <c r="E19" s="2947"/>
      <c r="F19" s="3196"/>
      <c r="G19" s="3197"/>
      <c r="H19" s="2926" t="s">
        <v>1803</v>
      </c>
      <c r="I19" s="3554"/>
      <c r="J19" s="3554"/>
      <c r="K19" s="3554"/>
      <c r="L19" s="3554"/>
      <c r="M19" s="3554"/>
      <c r="N19" s="3554"/>
      <c r="O19" s="10"/>
      <c r="P19" s="10"/>
      <c r="Q19" s="28"/>
      <c r="S19" s="1157"/>
    </row>
    <row r="20" spans="1:19" ht="18" customHeight="1">
      <c r="A20" s="861"/>
      <c r="B20" s="3557" t="s">
        <v>1804</v>
      </c>
      <c r="C20" s="3557"/>
      <c r="D20" s="3557"/>
      <c r="E20" s="3557"/>
      <c r="F20" s="3557"/>
      <c r="G20" s="3557"/>
      <c r="H20" s="3557"/>
      <c r="I20" s="3557"/>
      <c r="J20" s="3557"/>
      <c r="K20" s="3557"/>
      <c r="L20" s="10"/>
      <c r="M20" s="10"/>
      <c r="N20" s="10"/>
      <c r="O20" s="10"/>
      <c r="P20" s="10"/>
      <c r="Q20" s="28"/>
      <c r="S20" s="1157"/>
    </row>
    <row r="21" spans="1:19" ht="23.45" customHeight="1">
      <c r="A21" s="1583"/>
      <c r="B21" s="3557"/>
      <c r="C21" s="3557"/>
      <c r="D21" s="3557"/>
      <c r="E21" s="3557"/>
      <c r="F21" s="3557"/>
      <c r="G21" s="3557"/>
      <c r="H21" s="3557"/>
      <c r="I21" s="3557"/>
      <c r="J21" s="3557"/>
      <c r="K21" s="3557"/>
      <c r="L21" s="10"/>
      <c r="M21" s="10"/>
      <c r="N21" s="10"/>
      <c r="O21" s="10"/>
      <c r="P21" s="10"/>
      <c r="Q21" s="28"/>
      <c r="S21" s="1157"/>
    </row>
    <row r="22" spans="1:19" ht="23.45" customHeight="1">
      <c r="A22" s="861"/>
      <c r="I22" s="10"/>
      <c r="J22" s="10"/>
      <c r="K22" s="10"/>
      <c r="L22" s="10"/>
      <c r="M22" s="10"/>
      <c r="N22" s="10"/>
      <c r="O22" s="10"/>
      <c r="P22" s="10"/>
      <c r="Q22" s="28"/>
      <c r="S22" s="1157"/>
    </row>
    <row r="23" spans="1:19" ht="23.45" customHeight="1">
      <c r="A23" s="861"/>
      <c r="I23" s="10"/>
      <c r="J23" s="10"/>
      <c r="K23" s="10"/>
      <c r="L23" s="10"/>
      <c r="M23" s="10"/>
      <c r="N23" s="10"/>
      <c r="O23" s="10"/>
      <c r="P23" s="10"/>
      <c r="Q23" s="28"/>
      <c r="S23" s="1157"/>
    </row>
    <row r="24" spans="1:19" ht="23.45" customHeight="1">
      <c r="A24" s="861"/>
      <c r="I24" s="10"/>
      <c r="J24" s="10"/>
      <c r="K24" s="10"/>
      <c r="L24" s="10"/>
      <c r="M24" s="10"/>
      <c r="N24" s="10"/>
      <c r="O24" s="10"/>
      <c r="P24" s="10"/>
      <c r="Q24" s="28"/>
      <c r="S24" s="1157"/>
    </row>
    <row r="25" spans="1:19" ht="23.45" customHeight="1">
      <c r="A25" s="861"/>
      <c r="I25" s="10"/>
      <c r="J25" s="10"/>
      <c r="K25" s="10"/>
      <c r="L25" s="10"/>
      <c r="M25" s="10"/>
      <c r="N25" s="10"/>
      <c r="O25" s="10"/>
      <c r="P25" s="10"/>
      <c r="Q25" s="28"/>
      <c r="S25" s="1157"/>
    </row>
    <row r="26" spans="1:19" ht="23.45" customHeight="1">
      <c r="A26" s="861"/>
      <c r="I26" s="10"/>
      <c r="J26" s="10"/>
      <c r="K26" s="10"/>
      <c r="L26" s="10"/>
      <c r="M26" s="10"/>
      <c r="N26" s="10"/>
      <c r="O26" s="10"/>
      <c r="P26" s="10"/>
      <c r="Q26" s="28"/>
      <c r="S26" s="1157"/>
    </row>
    <row r="27" spans="1:19" ht="23.45" customHeight="1">
      <c r="A27" s="861"/>
      <c r="D27" s="16"/>
      <c r="E27" s="16"/>
      <c r="K27" s="2868"/>
      <c r="L27" s="2868"/>
      <c r="M27" s="3"/>
      <c r="N27" s="3"/>
      <c r="O27" s="3"/>
      <c r="P27" s="3"/>
      <c r="Q27" s="28"/>
      <c r="R27" s="51"/>
      <c r="S27" s="1157"/>
    </row>
    <row r="28" spans="1:19" ht="20.100000000000001" customHeight="1">
      <c r="A28" s="1152" t="s">
        <v>1172</v>
      </c>
      <c r="B28" s="2927" t="s">
        <v>1805</v>
      </c>
      <c r="C28" s="2927"/>
      <c r="D28" s="2927"/>
      <c r="E28" s="2928"/>
      <c r="F28" s="3172"/>
      <c r="G28" s="3173"/>
      <c r="H28" s="8" t="s">
        <v>629</v>
      </c>
      <c r="I28" s="475"/>
      <c r="J28" s="1584"/>
      <c r="K28" s="1563"/>
      <c r="L28" s="1563"/>
      <c r="M28" s="3"/>
      <c r="N28" s="3"/>
      <c r="O28" s="1585"/>
      <c r="P28" s="1585"/>
      <c r="Q28" s="51"/>
      <c r="R28" s="51"/>
      <c r="S28" s="1157"/>
    </row>
    <row r="29" spans="1:19" ht="6" customHeight="1">
      <c r="A29" s="1152"/>
      <c r="F29" s="307"/>
      <c r="G29" s="307"/>
      <c r="H29" s="79"/>
      <c r="I29" s="1584"/>
      <c r="J29" s="1584"/>
      <c r="K29" s="1563"/>
      <c r="L29" s="1563"/>
      <c r="M29" s="4"/>
      <c r="N29" s="4"/>
      <c r="O29" s="17"/>
      <c r="P29" s="17"/>
      <c r="Q29" s="51"/>
      <c r="R29" s="51"/>
      <c r="S29" s="1157"/>
    </row>
    <row r="30" spans="1:19" ht="20.100000000000001" customHeight="1">
      <c r="A30" s="1152"/>
      <c r="B30" s="2927" t="s">
        <v>1806</v>
      </c>
      <c r="C30" s="2927"/>
      <c r="D30" s="2927"/>
      <c r="E30" s="2928"/>
      <c r="F30" s="2940"/>
      <c r="G30" s="2941"/>
      <c r="H30" s="8" t="s">
        <v>609</v>
      </c>
      <c r="I30" s="1584"/>
      <c r="J30" s="1584"/>
      <c r="K30" s="1563"/>
      <c r="L30" s="1563"/>
      <c r="M30" s="4"/>
      <c r="N30" s="4"/>
      <c r="O30" s="17"/>
      <c r="P30" s="17"/>
      <c r="Q30" s="51"/>
      <c r="R30" s="51"/>
      <c r="S30" s="1157"/>
    </row>
    <row r="31" spans="1:19" ht="6" customHeight="1">
      <c r="A31" s="1152"/>
      <c r="F31" s="307"/>
      <c r="G31" s="307"/>
      <c r="H31" s="79"/>
      <c r="K31" s="4"/>
      <c r="L31" s="4"/>
      <c r="M31" s="4"/>
      <c r="N31" s="4"/>
      <c r="O31" s="17"/>
      <c r="P31" s="17"/>
      <c r="Q31" s="51"/>
      <c r="R31" s="51"/>
      <c r="S31" s="1157"/>
    </row>
    <row r="32" spans="1:19" ht="18" customHeight="1">
      <c r="A32" s="1152" t="s">
        <v>1177</v>
      </c>
      <c r="B32" s="2927" t="s">
        <v>1807</v>
      </c>
      <c r="C32" s="2927"/>
      <c r="D32" s="2927"/>
      <c r="E32" s="2927"/>
      <c r="F32" s="2927"/>
      <c r="G32" s="2927"/>
      <c r="H32" s="2927"/>
      <c r="I32" s="2927"/>
      <c r="J32" s="2927"/>
      <c r="K32" s="2868"/>
      <c r="L32" s="2868"/>
      <c r="M32" s="3"/>
      <c r="N32" s="3"/>
      <c r="O32" s="1585"/>
      <c r="P32" s="1585"/>
      <c r="Q32" s="51"/>
      <c r="R32" s="51"/>
      <c r="S32" s="1157"/>
    </row>
    <row r="33" spans="1:19" ht="10.5" customHeight="1">
      <c r="A33" s="1152"/>
      <c r="K33" s="4"/>
      <c r="L33" s="4"/>
      <c r="M33" s="4"/>
      <c r="N33" s="4"/>
      <c r="O33" s="17"/>
      <c r="P33" s="17"/>
      <c r="Q33" s="51"/>
      <c r="R33" s="51"/>
      <c r="S33" s="1157"/>
    </row>
    <row r="34" spans="1:19" ht="20.100000000000001" customHeight="1">
      <c r="A34" s="1153"/>
      <c r="B34" s="8" t="s">
        <v>1808</v>
      </c>
      <c r="E34" s="3174" t="str">
        <f>IF(ISBLANK(F28),"",(1042*((MAX(K8,K6)/(130*F28^2.63))^1.85)))</f>
        <v/>
      </c>
      <c r="F34" s="3175"/>
      <c r="G34" s="2926" t="s">
        <v>1809</v>
      </c>
      <c r="H34" s="2927"/>
      <c r="I34" s="2927"/>
      <c r="J34" s="2927"/>
      <c r="N34" s="27"/>
      <c r="O34" s="27"/>
      <c r="P34" s="51"/>
      <c r="Q34" s="51"/>
      <c r="R34" s="51"/>
      <c r="S34" s="1157"/>
    </row>
    <row r="35" spans="1:19" ht="6" customHeight="1">
      <c r="A35" s="1153"/>
      <c r="F35" s="307"/>
      <c r="G35" s="307"/>
      <c r="N35" s="27"/>
      <c r="O35" s="27"/>
      <c r="P35" s="51"/>
      <c r="Q35" s="51"/>
      <c r="R35" s="51"/>
      <c r="S35" s="1157"/>
    </row>
    <row r="36" spans="1:19" ht="18" customHeight="1">
      <c r="A36" s="1152" t="s">
        <v>1179</v>
      </c>
      <c r="B36" s="3167" t="s">
        <v>1810</v>
      </c>
      <c r="C36" s="3167"/>
      <c r="D36" s="3167"/>
      <c r="E36" s="3167"/>
      <c r="F36" s="3167"/>
      <c r="G36" s="3167"/>
      <c r="H36" s="3167"/>
      <c r="I36" s="3167"/>
      <c r="J36" s="3167"/>
      <c r="K36" s="3167"/>
      <c r="L36" s="3167"/>
      <c r="M36" s="10"/>
      <c r="N36" s="10"/>
      <c r="O36" s="27"/>
      <c r="P36" s="51"/>
      <c r="Q36" s="51"/>
      <c r="R36" s="51"/>
      <c r="S36" s="1157"/>
    </row>
    <row r="37" spans="1:19" ht="18" customHeight="1">
      <c r="A37" s="1152"/>
      <c r="B37" s="3167"/>
      <c r="C37" s="3167"/>
      <c r="D37" s="3167"/>
      <c r="E37" s="3167"/>
      <c r="F37" s="3167"/>
      <c r="G37" s="3167"/>
      <c r="H37" s="3167"/>
      <c r="I37" s="3167"/>
      <c r="J37" s="3167"/>
      <c r="K37" s="3167"/>
      <c r="L37" s="3167"/>
      <c r="M37" s="10"/>
      <c r="N37" s="10"/>
      <c r="O37" s="27"/>
      <c r="P37" s="51"/>
      <c r="Q37" s="51"/>
      <c r="S37" s="1157"/>
    </row>
    <row r="38" spans="1:19" ht="18" customHeight="1">
      <c r="A38" s="1152"/>
      <c r="B38" s="3167"/>
      <c r="C38" s="3167"/>
      <c r="D38" s="3167"/>
      <c r="E38" s="3167"/>
      <c r="F38" s="3167"/>
      <c r="G38" s="3167"/>
      <c r="H38" s="3167"/>
      <c r="I38" s="3167"/>
      <c r="J38" s="3167"/>
      <c r="K38" s="3167"/>
      <c r="L38" s="3167"/>
      <c r="M38" s="10"/>
      <c r="N38" s="10"/>
      <c r="O38" s="27"/>
      <c r="P38" s="51"/>
      <c r="Q38" s="51"/>
      <c r="S38" s="1157"/>
    </row>
    <row r="39" spans="1:19" ht="20.100000000000001" customHeight="1">
      <c r="A39" s="1153"/>
      <c r="B39" s="3165" t="str">
        <f>IF(ISBLANK(F30),"",F30)</f>
        <v/>
      </c>
      <c r="C39" s="3166"/>
      <c r="D39" s="4" t="s">
        <v>609</v>
      </c>
      <c r="E39" s="4" t="s">
        <v>1343</v>
      </c>
      <c r="F39" s="4">
        <v>1.25</v>
      </c>
      <c r="G39" s="4" t="s">
        <v>1240</v>
      </c>
      <c r="H39" s="3174" t="str">
        <f>IF(ISBLANK(F30),"",(B39*1.25))</f>
        <v/>
      </c>
      <c r="I39" s="3175"/>
      <c r="J39" s="8" t="s">
        <v>609</v>
      </c>
      <c r="K39" s="301"/>
      <c r="L39" s="301"/>
      <c r="M39" s="80"/>
      <c r="S39" s="1157"/>
    </row>
    <row r="40" spans="1:19" ht="6" customHeight="1">
      <c r="A40" s="1153"/>
      <c r="F40" s="301"/>
      <c r="G40" s="301"/>
      <c r="H40" s="79"/>
      <c r="I40" s="79"/>
      <c r="J40" s="79"/>
      <c r="K40" s="79"/>
      <c r="L40" s="301"/>
      <c r="M40" s="301"/>
      <c r="N40" s="301"/>
      <c r="O40" s="80"/>
      <c r="S40" s="1157"/>
    </row>
    <row r="41" spans="1:19" ht="18" customHeight="1">
      <c r="A41" s="1152" t="s">
        <v>1181</v>
      </c>
      <c r="B41" s="2946" t="s">
        <v>1811</v>
      </c>
      <c r="C41" s="2946"/>
      <c r="D41" s="2946"/>
      <c r="E41" s="2946"/>
      <c r="F41" s="2946"/>
      <c r="G41" s="2946"/>
      <c r="H41" s="2946"/>
      <c r="I41" s="2946"/>
      <c r="J41" s="2946"/>
      <c r="K41" s="2946"/>
      <c r="L41" s="2946"/>
      <c r="M41" s="2946"/>
      <c r="N41" s="2946"/>
      <c r="O41" s="2946"/>
      <c r="P41" s="2946"/>
      <c r="Q41" s="2946"/>
      <c r="R41" s="2946"/>
      <c r="S41" s="3434"/>
    </row>
    <row r="42" spans="1:19" ht="18" customHeight="1">
      <c r="A42" s="861"/>
      <c r="B42" s="2927" t="s">
        <v>1812</v>
      </c>
      <c r="C42" s="2927"/>
      <c r="D42" s="2927"/>
      <c r="E42" s="2927"/>
      <c r="F42" s="10"/>
      <c r="G42" s="10"/>
      <c r="H42" s="10"/>
      <c r="I42" s="10"/>
      <c r="J42" s="10"/>
      <c r="K42" s="10"/>
      <c r="L42" s="10"/>
      <c r="M42" s="10"/>
      <c r="S42" s="1157"/>
    </row>
    <row r="43" spans="1:19" ht="20.100000000000001" customHeight="1">
      <c r="A43" s="1153"/>
      <c r="B43" s="3174" t="str">
        <f>IF(ISBLANK(E34)," ",E34)</f>
        <v/>
      </c>
      <c r="C43" s="3175"/>
      <c r="D43" s="8" t="s">
        <v>1813</v>
      </c>
      <c r="G43" s="4" t="s">
        <v>1343</v>
      </c>
      <c r="H43" s="3174" t="str">
        <f>H39</f>
        <v/>
      </c>
      <c r="I43" s="3175"/>
      <c r="J43" s="8" t="s">
        <v>609</v>
      </c>
      <c r="K43" s="347" t="s">
        <v>1558</v>
      </c>
      <c r="L43" s="4">
        <v>100</v>
      </c>
      <c r="M43" s="4" t="s">
        <v>1240</v>
      </c>
      <c r="N43" s="3174" t="str">
        <f>IF(ISBLANK(F30),"",((B43*H43)/100))</f>
        <v/>
      </c>
      <c r="O43" s="3175"/>
      <c r="P43" s="8" t="s">
        <v>609</v>
      </c>
      <c r="S43" s="1157"/>
    </row>
    <row r="44" spans="1:19" ht="6" customHeight="1">
      <c r="A44" s="1158"/>
      <c r="B44" s="61"/>
      <c r="C44" s="309"/>
      <c r="D44" s="309"/>
      <c r="E44" s="310"/>
      <c r="F44" s="61"/>
      <c r="G44" s="105"/>
      <c r="H44" s="309"/>
      <c r="I44" s="309"/>
      <c r="J44" s="310"/>
      <c r="K44" s="311"/>
      <c r="L44" s="319"/>
      <c r="M44" s="319"/>
      <c r="N44" s="319"/>
      <c r="O44" s="319"/>
      <c r="P44" s="319"/>
      <c r="Q44" s="319"/>
      <c r="R44" s="319"/>
      <c r="S44" s="1159"/>
    </row>
    <row r="45" spans="1:19" ht="6" customHeight="1">
      <c r="A45" s="1160"/>
      <c r="B45" s="41"/>
      <c r="C45" s="313"/>
      <c r="D45" s="313"/>
      <c r="E45" s="314"/>
      <c r="F45" s="41"/>
      <c r="G45" s="315"/>
      <c r="H45" s="313"/>
      <c r="I45" s="313"/>
      <c r="J45" s="314"/>
      <c r="K45" s="316"/>
      <c r="L45" s="315"/>
      <c r="M45" s="348"/>
      <c r="N45" s="314"/>
      <c r="O45" s="317"/>
      <c r="P45" s="317"/>
      <c r="Q45" s="317"/>
      <c r="R45" s="317"/>
      <c r="S45" s="1161"/>
    </row>
    <row r="46" spans="1:19" ht="27.75" customHeight="1">
      <c r="A46" s="1152" t="s">
        <v>1184</v>
      </c>
      <c r="B46" s="3443" t="s">
        <v>1814</v>
      </c>
      <c r="C46" s="3443"/>
      <c r="D46" s="3443"/>
      <c r="E46" s="3443"/>
      <c r="F46" s="3443"/>
      <c r="G46" s="3443"/>
      <c r="H46" s="3443"/>
      <c r="I46" s="3443"/>
      <c r="J46" s="3443"/>
      <c r="K46" s="3443"/>
      <c r="L46" s="3443"/>
      <c r="M46" s="3443"/>
      <c r="N46" s="3443"/>
      <c r="O46" s="3443"/>
      <c r="P46" s="3443"/>
      <c r="Q46" s="3443"/>
      <c r="R46" s="475"/>
      <c r="S46" s="873"/>
    </row>
    <row r="47" spans="1:19" ht="6" customHeight="1">
      <c r="A47" s="861"/>
      <c r="B47" s="26"/>
      <c r="C47" s="26"/>
      <c r="D47" s="26"/>
      <c r="E47" s="26"/>
      <c r="F47" s="26"/>
      <c r="G47" s="26"/>
      <c r="H47" s="26"/>
      <c r="I47" s="26"/>
      <c r="J47" s="26"/>
      <c r="K47" s="26"/>
      <c r="L47" s="26"/>
      <c r="M47" s="26"/>
      <c r="N47" s="26"/>
      <c r="P47" s="26"/>
      <c r="Q47" s="26"/>
      <c r="R47" s="4"/>
      <c r="S47" s="1157"/>
    </row>
    <row r="48" spans="1:19" ht="20.100000000000001" customHeight="1">
      <c r="A48" s="1153"/>
      <c r="B48" s="3165" t="str">
        <f>IF(ISBLANK(F14)," ",(F14))</f>
        <v xml:space="preserve"> </v>
      </c>
      <c r="C48" s="3166"/>
      <c r="D48" s="8" t="s">
        <v>1815</v>
      </c>
      <c r="E48" s="4" t="s">
        <v>987</v>
      </c>
      <c r="F48" s="3174" t="str">
        <f>IF(ISBLANK(F17)," ",(F17))</f>
        <v xml:space="preserve"> </v>
      </c>
      <c r="G48" s="3175"/>
      <c r="H48" s="8" t="s">
        <v>609</v>
      </c>
      <c r="I48" s="4" t="s">
        <v>987</v>
      </c>
      <c r="J48" s="3174" t="str">
        <f>IF(ISBLANK(F19)," ",F19)</f>
        <v xml:space="preserve"> </v>
      </c>
      <c r="K48" s="3175"/>
      <c r="L48" s="8" t="s">
        <v>1356</v>
      </c>
      <c r="M48" s="3174" t="str">
        <f>IF(ISBLANK(N43)," ",N43)</f>
        <v/>
      </c>
      <c r="N48" s="3175"/>
      <c r="O48" s="8" t="s">
        <v>1816</v>
      </c>
      <c r="P48" s="3174" t="str">
        <f>IF(ISBLANK(F28),"",SUM(B48,J48,F48+M48,))</f>
        <v/>
      </c>
      <c r="Q48" s="3175"/>
      <c r="R48" s="8" t="s">
        <v>609</v>
      </c>
      <c r="S48" s="863"/>
    </row>
    <row r="49" spans="1:47" ht="6" customHeight="1">
      <c r="A49" s="1162"/>
      <c r="B49" s="61"/>
      <c r="C49" s="61"/>
      <c r="D49" s="61"/>
      <c r="E49" s="61"/>
      <c r="F49" s="61"/>
      <c r="G49" s="61"/>
      <c r="H49" s="61"/>
      <c r="I49" s="61"/>
      <c r="J49" s="61"/>
      <c r="K49" s="61"/>
      <c r="L49" s="61"/>
      <c r="M49" s="61"/>
      <c r="N49" s="61"/>
      <c r="O49" s="61"/>
      <c r="P49" s="39"/>
      <c r="Q49" s="61"/>
      <c r="R49" s="38"/>
      <c r="S49" s="1163"/>
    </row>
    <row r="50" spans="1:47" ht="16.350000000000001" customHeight="1">
      <c r="A50" s="3541" t="s">
        <v>1817</v>
      </c>
      <c r="B50" s="3542"/>
      <c r="C50" s="3542"/>
      <c r="D50" s="3542"/>
      <c r="E50" s="3542"/>
      <c r="F50" s="3542"/>
      <c r="G50" s="3542"/>
      <c r="H50" s="3542"/>
      <c r="I50" s="3542"/>
      <c r="J50" s="3542"/>
      <c r="K50" s="3542"/>
      <c r="L50" s="3542"/>
      <c r="M50" s="3542"/>
      <c r="N50" s="3542"/>
      <c r="O50" s="3542"/>
      <c r="P50" s="3542"/>
      <c r="Q50" s="3542"/>
      <c r="R50" s="3542"/>
      <c r="S50" s="3543"/>
      <c r="T50" s="52"/>
    </row>
    <row r="51" spans="1:47" ht="20.45" customHeight="1">
      <c r="A51" s="3544" t="s">
        <v>1818</v>
      </c>
      <c r="B51" s="3545"/>
      <c r="C51" s="3545"/>
      <c r="D51" s="3545"/>
      <c r="E51" s="3545"/>
      <c r="F51" s="3545"/>
      <c r="G51" s="3545"/>
      <c r="H51" s="3546" t="str">
        <f>IF(ISBLANK(F14),"",(MAX(K6,K8)))</f>
        <v/>
      </c>
      <c r="I51" s="3546"/>
      <c r="J51" s="374" t="s">
        <v>1819</v>
      </c>
      <c r="K51" s="374"/>
      <c r="L51" s="374"/>
      <c r="M51" s="374"/>
      <c r="N51" s="374"/>
      <c r="O51" s="3546" t="str">
        <f>IF(ISBLANK(F14), "  ",P48)</f>
        <v xml:space="preserve">  </v>
      </c>
      <c r="P51" s="3546"/>
      <c r="Q51" s="374" t="s">
        <v>1820</v>
      </c>
      <c r="S51" s="1164"/>
    </row>
    <row r="52" spans="1:47" ht="6" customHeight="1">
      <c r="A52" s="1160"/>
      <c r="B52" s="41"/>
      <c r="C52" s="313"/>
      <c r="D52" s="313"/>
      <c r="E52" s="314"/>
      <c r="F52" s="41"/>
      <c r="G52" s="315"/>
      <c r="H52" s="313"/>
      <c r="I52" s="313"/>
      <c r="J52" s="314"/>
      <c r="K52" s="316"/>
      <c r="L52" s="315"/>
      <c r="M52" s="348"/>
      <c r="N52" s="314"/>
      <c r="O52" s="317"/>
      <c r="P52" s="317"/>
      <c r="Q52" s="317"/>
      <c r="R52" s="317"/>
      <c r="S52" s="1161"/>
    </row>
    <row r="53" spans="1:47" ht="20.100000000000001" customHeight="1">
      <c r="A53" s="3550" t="s">
        <v>719</v>
      </c>
      <c r="B53" s="3551"/>
      <c r="C53" s="3551"/>
      <c r="D53" s="3552"/>
      <c r="E53" s="3552"/>
      <c r="F53" s="3552"/>
      <c r="G53" s="3552"/>
      <c r="H53" s="3552"/>
      <c r="I53" s="3552"/>
      <c r="J53" s="3552"/>
      <c r="K53" s="3552"/>
      <c r="L53" s="3552"/>
      <c r="M53" s="3552"/>
      <c r="N53" s="3552"/>
      <c r="O53" s="3552"/>
      <c r="P53" s="3552"/>
      <c r="Q53" s="3552"/>
      <c r="R53" s="3552"/>
      <c r="S53" s="3553"/>
    </row>
    <row r="54" spans="1:47" ht="84.75" customHeight="1">
      <c r="A54" s="3547"/>
      <c r="B54" s="3548"/>
      <c r="C54" s="3548"/>
      <c r="D54" s="3548"/>
      <c r="E54" s="3548"/>
      <c r="F54" s="3548"/>
      <c r="G54" s="3548"/>
      <c r="H54" s="3548"/>
      <c r="I54" s="3548"/>
      <c r="J54" s="3548"/>
      <c r="K54" s="3548"/>
      <c r="L54" s="3548"/>
      <c r="M54" s="3548"/>
      <c r="N54" s="3548"/>
      <c r="O54" s="3548"/>
      <c r="P54" s="3548"/>
      <c r="Q54" s="3548"/>
      <c r="R54" s="3548"/>
      <c r="S54" s="3549"/>
    </row>
    <row r="55" spans="1:47" ht="9.75" customHeight="1" thickBot="1">
      <c r="A55" s="1586"/>
      <c r="B55" s="754"/>
      <c r="C55" s="754"/>
      <c r="D55" s="754"/>
      <c r="E55" s="754"/>
      <c r="F55" s="754"/>
      <c r="G55" s="754"/>
      <c r="H55" s="754"/>
      <c r="I55" s="754"/>
      <c r="J55" s="754"/>
      <c r="K55" s="754"/>
      <c r="L55" s="754"/>
      <c r="M55" s="754"/>
      <c r="N55" s="754"/>
      <c r="O55" s="754"/>
      <c r="P55" s="754"/>
      <c r="Q55" s="754"/>
      <c r="R55" s="754"/>
      <c r="S55" s="1587"/>
      <c r="AU55" s="17"/>
    </row>
    <row r="56" spans="1:47" ht="24.75" customHeight="1">
      <c r="AU56" s="17"/>
    </row>
    <row r="57" spans="1:47" ht="24.75" customHeight="1">
      <c r="AU57" s="17"/>
    </row>
    <row r="58" spans="1:47" ht="24.75" customHeight="1">
      <c r="AU58" s="17"/>
    </row>
    <row r="59" spans="1:47" ht="24.75" customHeight="1">
      <c r="AU59" s="17"/>
    </row>
    <row r="60" spans="1:47" ht="24.75" customHeight="1">
      <c r="AU60" s="17"/>
    </row>
    <row r="61" spans="1:47" ht="24.75" customHeight="1">
      <c r="AU61" s="17"/>
    </row>
    <row r="62" spans="1:47" ht="24.75" customHeight="1">
      <c r="AU62" s="17"/>
    </row>
    <row r="63" spans="1:47" ht="24.75" customHeight="1">
      <c r="AU63" s="17"/>
    </row>
    <row r="64" spans="1:47" ht="24.75" customHeight="1">
      <c r="AU64" s="17"/>
    </row>
    <row r="65" spans="26:47" ht="24.75" customHeight="1">
      <c r="AU65" s="17"/>
    </row>
    <row r="66" spans="26:47" ht="24.75" customHeight="1">
      <c r="AU66" s="17"/>
    </row>
    <row r="67" spans="26:47" ht="24.75" customHeight="1">
      <c r="AU67" s="17"/>
    </row>
    <row r="68" spans="26:47" ht="24.75" customHeight="1">
      <c r="AU68" s="17"/>
    </row>
    <row r="69" spans="26:47" ht="24.75" customHeight="1">
      <c r="AU69" s="17"/>
    </row>
    <row r="70" spans="26:47" ht="24.75" customHeight="1">
      <c r="AU70" s="17"/>
    </row>
    <row r="71" spans="26:47" ht="24.75" customHeight="1">
      <c r="AU71" s="17"/>
    </row>
    <row r="72" spans="26:47" ht="24.75" customHeight="1">
      <c r="AU72" s="17"/>
    </row>
    <row r="73" spans="26:47" ht="24.75" customHeight="1">
      <c r="AU73" s="17"/>
    </row>
    <row r="74" spans="26:47" ht="24.75" customHeight="1">
      <c r="AU74" s="17"/>
    </row>
    <row r="75" spans="26:47" ht="24.75" customHeight="1">
      <c r="AU75" s="17"/>
    </row>
    <row r="76" spans="26:47" ht="24.75" customHeight="1">
      <c r="AU76" s="17"/>
    </row>
    <row r="77" spans="26:47" ht="24.75" customHeight="1">
      <c r="Z77" s="19"/>
      <c r="AA77" s="17"/>
      <c r="AB77" s="3539" t="s">
        <v>1821</v>
      </c>
      <c r="AC77" s="3540"/>
      <c r="AD77" s="302">
        <v>1.5</v>
      </c>
      <c r="AE77" s="302">
        <v>2</v>
      </c>
      <c r="AF77" s="303">
        <v>3</v>
      </c>
      <c r="AU77" s="17"/>
    </row>
    <row r="78" spans="26:47" ht="24.75" customHeight="1">
      <c r="Z78" s="17"/>
      <c r="AA78" s="17"/>
      <c r="AB78" s="3539" t="s">
        <v>1822</v>
      </c>
      <c r="AC78" s="3540"/>
      <c r="AD78" s="304">
        <v>1.07</v>
      </c>
      <c r="AE78" s="302">
        <v>1.38</v>
      </c>
      <c r="AF78" s="303">
        <v>2.04</v>
      </c>
    </row>
    <row r="79" spans="26:47" ht="24.75" customHeight="1">
      <c r="Z79" s="19"/>
      <c r="AA79" s="17"/>
      <c r="AB79" s="3539" t="s">
        <v>1823</v>
      </c>
      <c r="AC79" s="3540"/>
      <c r="AD79" s="302">
        <v>4.03</v>
      </c>
      <c r="AE79" s="302">
        <v>5.17</v>
      </c>
      <c r="AF79" s="303">
        <v>7.67</v>
      </c>
    </row>
    <row r="80" spans="26:47" ht="24.75" customHeight="1">
      <c r="Z80" s="19"/>
      <c r="AA80" s="17"/>
      <c r="AB80" s="3539" t="s">
        <v>1824</v>
      </c>
      <c r="AC80" s="3540"/>
      <c r="AD80" s="302">
        <v>2.15</v>
      </c>
      <c r="AE80" s="302">
        <v>2.76</v>
      </c>
      <c r="AF80" s="303">
        <v>4.09</v>
      </c>
    </row>
    <row r="81" spans="26:32" ht="24.75" customHeight="1">
      <c r="Z81" s="32"/>
      <c r="AA81" s="17"/>
      <c r="AB81" s="3539" t="s">
        <v>1825</v>
      </c>
      <c r="AC81" s="3540"/>
      <c r="AD81" s="302">
        <v>2.68</v>
      </c>
      <c r="AE81" s="302">
        <v>3.45</v>
      </c>
      <c r="AF81" s="303">
        <v>5.1100000000000003</v>
      </c>
    </row>
    <row r="82" spans="26:32" ht="24.75" customHeight="1">
      <c r="AA82" s="17"/>
      <c r="AB82" s="3539" t="s">
        <v>1826</v>
      </c>
      <c r="AC82" s="3540"/>
      <c r="AD82" s="302">
        <v>8.0500000000000007</v>
      </c>
      <c r="AE82" s="304">
        <v>10.3</v>
      </c>
      <c r="AF82" s="305">
        <v>15.3</v>
      </c>
    </row>
    <row r="83" spans="26:32" ht="24.75" customHeight="1">
      <c r="AA83" s="17"/>
      <c r="AB83" s="3537" t="s">
        <v>1827</v>
      </c>
      <c r="AC83" s="3538"/>
      <c r="AD83" s="304">
        <v>13.4</v>
      </c>
      <c r="AE83" s="304">
        <v>17.2</v>
      </c>
      <c r="AF83" s="305">
        <v>25.5</v>
      </c>
    </row>
    <row r="84" spans="26:32" ht="24.75" customHeight="1">
      <c r="AA84" s="17"/>
      <c r="AB84" s="3537" t="s">
        <v>1828</v>
      </c>
      <c r="AC84" s="3538"/>
      <c r="AD84" s="304">
        <v>20.100000000000001</v>
      </c>
      <c r="AE84" s="304">
        <v>25.8</v>
      </c>
      <c r="AF84" s="305">
        <v>38.4</v>
      </c>
    </row>
    <row r="85" spans="26:32" ht="24.75" customHeight="1">
      <c r="AA85" s="17"/>
      <c r="AB85" s="3537" t="s">
        <v>1829</v>
      </c>
      <c r="AC85" s="3538"/>
      <c r="AD85" s="304">
        <v>45.6</v>
      </c>
      <c r="AE85" s="304">
        <v>58.6</v>
      </c>
      <c r="AF85" s="305">
        <v>86.9</v>
      </c>
    </row>
    <row r="86" spans="26:32" ht="24.75" customHeight="1">
      <c r="AA86" s="17"/>
      <c r="AB86" s="3537" t="s">
        <v>1830</v>
      </c>
      <c r="AC86" s="3538"/>
      <c r="AD86" s="302" t="s">
        <v>1282</v>
      </c>
      <c r="AE86" s="302">
        <v>7.75</v>
      </c>
      <c r="AF86" s="305">
        <v>11.5</v>
      </c>
    </row>
    <row r="87" spans="26:32" ht="24.75" customHeight="1">
      <c r="AA87" s="17"/>
    </row>
    <row r="88" spans="26:32" ht="24.75" customHeight="1">
      <c r="AA88" s="17"/>
    </row>
    <row r="89" spans="26:32" ht="24.75" customHeight="1">
      <c r="AA89" s="17"/>
    </row>
    <row r="90" spans="26:32" ht="24.75" customHeight="1">
      <c r="AA90" s="17"/>
    </row>
    <row r="91" spans="26:32" ht="24.75" customHeight="1">
      <c r="AA91" s="17"/>
    </row>
    <row r="92" spans="26:32" ht="24.75" customHeight="1">
      <c r="AA92" s="17"/>
    </row>
    <row r="93" spans="26:32" ht="24.75" customHeight="1">
      <c r="AA93" s="17"/>
    </row>
    <row r="94" spans="26:32" ht="24.75" customHeight="1">
      <c r="AA94" s="17"/>
    </row>
    <row r="95" spans="26:32" ht="24.75" customHeight="1">
      <c r="AA95" s="17"/>
    </row>
    <row r="96" spans="26:32" ht="24.75" customHeight="1">
      <c r="AA96" s="17"/>
    </row>
    <row r="97" spans="27:27" ht="24.75" customHeight="1">
      <c r="AA97" s="17"/>
    </row>
    <row r="98" spans="27:27" ht="24.75" customHeight="1">
      <c r="AA98" s="17"/>
    </row>
    <row r="99" spans="27:27" ht="24.75" customHeight="1">
      <c r="AA99" s="17"/>
    </row>
    <row r="100" spans="27:27" ht="24.75" customHeight="1">
      <c r="AA100" s="17"/>
    </row>
    <row r="101" spans="27:27" ht="24.75" customHeight="1">
      <c r="AA101" s="17"/>
    </row>
    <row r="102" spans="27:27" ht="24.75" customHeight="1">
      <c r="AA102" s="17"/>
    </row>
    <row r="103" spans="27:27" ht="24.75" customHeight="1">
      <c r="AA103" s="17"/>
    </row>
    <row r="104" spans="27:27" ht="24.75" customHeight="1">
      <c r="AA104" s="17"/>
    </row>
    <row r="105" spans="27:27" ht="24.75" customHeight="1">
      <c r="AA105" s="17"/>
    </row>
    <row r="106" spans="27:27" ht="24.75" customHeight="1">
      <c r="AA106" s="17"/>
    </row>
    <row r="107" spans="27:27" ht="24.75" customHeight="1">
      <c r="AA107" s="17"/>
    </row>
    <row r="108" spans="27:27" ht="24.75" customHeight="1">
      <c r="AA108" s="17"/>
    </row>
    <row r="109" spans="27:27" ht="24.75" customHeight="1">
      <c r="AA109" s="17"/>
    </row>
    <row r="110" spans="27:27" ht="24.75" customHeight="1">
      <c r="AA110" s="17"/>
    </row>
    <row r="111" spans="27:27" ht="24.75" customHeight="1">
      <c r="AA111" s="17"/>
    </row>
    <row r="112" spans="27:27" ht="24.75" customHeight="1">
      <c r="AA112" s="17"/>
    </row>
    <row r="113" spans="27:27" ht="24.75" customHeight="1">
      <c r="AA113" s="17"/>
    </row>
    <row r="114" spans="27:27" ht="24.75" customHeight="1">
      <c r="AA114" s="17"/>
    </row>
    <row r="115" spans="27:27" ht="24.75" customHeight="1">
      <c r="AA115" s="17"/>
    </row>
    <row r="116" spans="27:27" ht="24.75" customHeight="1">
      <c r="AA116" s="17"/>
    </row>
    <row r="117" spans="27:27" ht="24.75" customHeight="1">
      <c r="AA117" s="17"/>
    </row>
    <row r="118" spans="27:27" ht="24.75" customHeight="1">
      <c r="AA118" s="17"/>
    </row>
    <row r="119" spans="27:27" ht="24.75" customHeight="1">
      <c r="AA119" s="17"/>
    </row>
    <row r="120" spans="27:27" ht="24.75" customHeight="1">
      <c r="AA120" s="17"/>
    </row>
    <row r="121" spans="27:27" ht="24.75" customHeight="1">
      <c r="AA121" s="17"/>
    </row>
    <row r="122" spans="27:27" ht="24.75" customHeight="1">
      <c r="AA122" s="17"/>
    </row>
    <row r="123" spans="27:27" ht="24.75" customHeight="1">
      <c r="AA123" s="17"/>
    </row>
    <row r="124" spans="27:27" ht="24.75" customHeight="1">
      <c r="AA124" s="17"/>
    </row>
    <row r="125" spans="27:27" ht="24.75" customHeight="1">
      <c r="AA125" s="17"/>
    </row>
    <row r="126" spans="27:27" ht="24.75" customHeight="1">
      <c r="AA126" s="17"/>
    </row>
    <row r="127" spans="27:27" ht="24.75" customHeight="1">
      <c r="AA127" s="17"/>
    </row>
    <row r="128" spans="27:27" ht="24.75" customHeight="1">
      <c r="AA128" s="17"/>
    </row>
  </sheetData>
  <sheetProtection sheet="1" objects="1" scenarios="1"/>
  <customSheetViews>
    <customSheetView guid="{D1431318-1DB8-4C45-813B-5A8065DFC797}" showPageBreaks="1" zeroValues="0" printArea="1" view="pageBreakPreview">
      <selection activeCell="I8" sqref="I8"/>
      <pageMargins left="0" right="0" top="0" bottom="0" header="0" footer="0"/>
      <printOptions horizontalCentered="1"/>
      <pageSetup scale="75" orientation="portrait" blackAndWhite="1" r:id="rId1"/>
    </customSheetView>
  </customSheetViews>
  <mergeCells count="58">
    <mergeCell ref="E1:N1"/>
    <mergeCell ref="B8:H8"/>
    <mergeCell ref="A12:S12"/>
    <mergeCell ref="I2:J2"/>
    <mergeCell ref="B4:H4"/>
    <mergeCell ref="K6:L6"/>
    <mergeCell ref="K8:L8"/>
    <mergeCell ref="K2:L2"/>
    <mergeCell ref="I4:L4"/>
    <mergeCell ref="K10:P10"/>
    <mergeCell ref="B46:Q46"/>
    <mergeCell ref="B20:K21"/>
    <mergeCell ref="K27:L27"/>
    <mergeCell ref="F28:G28"/>
    <mergeCell ref="F30:G30"/>
    <mergeCell ref="B15:H15"/>
    <mergeCell ref="B17:E17"/>
    <mergeCell ref="F17:G17"/>
    <mergeCell ref="B28:E28"/>
    <mergeCell ref="B30:E30"/>
    <mergeCell ref="B14:E14"/>
    <mergeCell ref="F14:G14"/>
    <mergeCell ref="B43:C43"/>
    <mergeCell ref="H43:I43"/>
    <mergeCell ref="F19:G19"/>
    <mergeCell ref="H19:N19"/>
    <mergeCell ref="B19:E19"/>
    <mergeCell ref="N43:O43"/>
    <mergeCell ref="B32:J32"/>
    <mergeCell ref="K32:L32"/>
    <mergeCell ref="E34:F34"/>
    <mergeCell ref="G34:J34"/>
    <mergeCell ref="B39:C39"/>
    <mergeCell ref="H39:I39"/>
    <mergeCell ref="B41:S41"/>
    <mergeCell ref="B42:E42"/>
    <mergeCell ref="A53:S53"/>
    <mergeCell ref="B48:C48"/>
    <mergeCell ref="F48:G48"/>
    <mergeCell ref="J48:K48"/>
    <mergeCell ref="P48:Q48"/>
    <mergeCell ref="M48:N48"/>
    <mergeCell ref="AB83:AC83"/>
    <mergeCell ref="AB84:AC84"/>
    <mergeCell ref="AB85:AC85"/>
    <mergeCell ref="AB86:AC86"/>
    <mergeCell ref="B36:L38"/>
    <mergeCell ref="AB77:AC77"/>
    <mergeCell ref="AB78:AC78"/>
    <mergeCell ref="AB79:AC79"/>
    <mergeCell ref="AB80:AC80"/>
    <mergeCell ref="AB81:AC81"/>
    <mergeCell ref="AB82:AC82"/>
    <mergeCell ref="A50:S50"/>
    <mergeCell ref="A51:G51"/>
    <mergeCell ref="H51:I51"/>
    <mergeCell ref="O51:P51"/>
    <mergeCell ref="A54:S54"/>
  </mergeCells>
  <dataValidations count="5">
    <dataValidation type="list" allowBlank="1" showInputMessage="1" showErrorMessage="1" sqref="F17:G17" xr:uid="{00000000-0002-0000-1900-000000000000}">
      <formula1>DistHeadLoss</formula1>
    </dataValidation>
    <dataValidation type="list" allowBlank="1" showInputMessage="1" showErrorMessage="1" sqref="F28:G28" xr:uid="{00000000-0002-0000-1900-000001000000}">
      <formula1>PipeDia</formula1>
    </dataValidation>
    <dataValidation type="decimal" allowBlank="1" showInputMessage="1" showErrorMessage="1" sqref="K6" xr:uid="{00000000-0002-0000-1900-000002000000}">
      <formula1>10</formula1>
      <formula2>45</formula2>
    </dataValidation>
    <dataValidation type="list" allowBlank="1" showInputMessage="1" sqref="K10:P10" xr:uid="{00000000-0002-0000-1900-000003000000}">
      <formula1>PumpTankType</formula1>
    </dataValidation>
    <dataValidation type="list" allowBlank="1" showInputMessage="1" showErrorMessage="1" sqref="I4:L4" xr:uid="{00000000-0002-0000-1900-000004000000}">
      <formula1>Gravity_Or_Pressure</formula1>
    </dataValidation>
  </dataValidations>
  <printOptions horizontalCentered="1"/>
  <pageMargins left="0.45" right="0.45" top="0.5" bottom="0.5" header="0.3" footer="0.3"/>
  <pageSetup scale="75" orientation="portrait" blackAndWhite="1"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tabColor rgb="FF66FF33"/>
  </sheetPr>
  <dimension ref="A1:AF1321"/>
  <sheetViews>
    <sheetView showGridLines="0" showZeros="0" view="pageBreakPreview" zoomScaleNormal="100" zoomScaleSheetLayoutView="100" workbookViewId="0">
      <selection activeCell="G3" sqref="G3:O3"/>
    </sheetView>
  </sheetViews>
  <sheetFormatPr defaultColWidth="9.140625" defaultRowHeight="15"/>
  <cols>
    <col min="1" max="1" width="1.140625" style="609" customWidth="1"/>
    <col min="2" max="21" width="4.85546875" style="609" customWidth="1"/>
    <col min="22" max="22" width="1.140625" style="609" customWidth="1"/>
    <col min="23" max="16384" width="9.140625" style="609"/>
  </cols>
  <sheetData>
    <row r="1" spans="1:22" ht="15.75" customHeight="1">
      <c r="A1" s="975"/>
      <c r="B1" s="976" t="s">
        <v>547</v>
      </c>
      <c r="C1" s="976"/>
      <c r="D1" s="976"/>
      <c r="E1" s="976"/>
      <c r="F1" s="976"/>
      <c r="G1" s="976"/>
      <c r="H1" s="976"/>
      <c r="I1" s="976"/>
      <c r="J1" s="976"/>
      <c r="K1" s="976"/>
      <c r="L1" s="976"/>
      <c r="M1" s="976"/>
      <c r="N1" s="976"/>
      <c r="O1" s="976"/>
      <c r="P1" s="976"/>
      <c r="Q1" s="976"/>
      <c r="R1" s="977"/>
      <c r="S1" s="977"/>
      <c r="T1" s="978" t="str">
        <f>'Drop-Down Lists'!A2</f>
        <v>v 05.01.2026</v>
      </c>
      <c r="U1" s="2434"/>
      <c r="V1" s="2435"/>
    </row>
    <row r="2" spans="1:22" ht="6" customHeight="1">
      <c r="A2" s="784"/>
      <c r="C2" s="773"/>
      <c r="G2" s="611"/>
      <c r="I2" s="611"/>
      <c r="K2" s="611"/>
      <c r="U2" s="775"/>
      <c r="V2" s="783"/>
    </row>
    <row r="3" spans="1:22" ht="18" customHeight="1">
      <c r="A3" s="784"/>
      <c r="F3" s="776" t="s">
        <v>548</v>
      </c>
      <c r="G3" s="2436"/>
      <c r="H3" s="2437"/>
      <c r="I3" s="2437"/>
      <c r="J3" s="2437"/>
      <c r="K3" s="2437"/>
      <c r="L3" s="2437"/>
      <c r="M3" s="2437"/>
      <c r="N3" s="2437"/>
      <c r="O3" s="2438"/>
      <c r="P3" s="2433" t="s">
        <v>549</v>
      </c>
      <c r="Q3" s="2433"/>
      <c r="R3" s="2439"/>
      <c r="S3" s="2445"/>
      <c r="T3" s="2446"/>
      <c r="U3" s="2447"/>
      <c r="V3" s="783"/>
    </row>
    <row r="4" spans="1:22" ht="6" customHeight="1">
      <c r="A4" s="784"/>
      <c r="C4" s="792"/>
      <c r="D4" s="792"/>
      <c r="E4" s="881"/>
      <c r="Q4" s="611"/>
      <c r="R4" s="882"/>
      <c r="V4" s="783"/>
    </row>
    <row r="5" spans="1:22" ht="18" customHeight="1">
      <c r="A5" s="784"/>
      <c r="F5" s="776" t="s">
        <v>550</v>
      </c>
      <c r="G5" s="2436"/>
      <c r="H5" s="2437"/>
      <c r="I5" s="2437"/>
      <c r="J5" s="2437"/>
      <c r="K5" s="2437"/>
      <c r="L5" s="2437"/>
      <c r="M5" s="2437"/>
      <c r="N5" s="2437"/>
      <c r="O5" s="2437"/>
      <c r="P5" s="2438"/>
      <c r="Q5" s="2440" t="s">
        <v>551</v>
      </c>
      <c r="R5" s="2441"/>
      <c r="S5" s="2448"/>
      <c r="T5" s="2449"/>
      <c r="U5" s="2450"/>
      <c r="V5" s="783"/>
    </row>
    <row r="6" spans="1:22" ht="6" customHeight="1">
      <c r="A6" s="784"/>
      <c r="C6" s="792"/>
      <c r="D6" s="792"/>
      <c r="E6" s="792"/>
      <c r="F6" s="792"/>
      <c r="H6" s="792"/>
      <c r="Q6" s="611"/>
      <c r="R6" s="882"/>
      <c r="V6" s="783"/>
    </row>
    <row r="7" spans="1:22" ht="18" customHeight="1">
      <c r="A7" s="784"/>
      <c r="F7" s="776" t="s">
        <v>552</v>
      </c>
      <c r="G7" s="2436"/>
      <c r="H7" s="2437"/>
      <c r="I7" s="2437"/>
      <c r="J7" s="2437"/>
      <c r="K7" s="2437"/>
      <c r="L7" s="2437"/>
      <c r="M7" s="2437"/>
      <c r="N7" s="2437"/>
      <c r="O7" s="2437"/>
      <c r="P7" s="2438"/>
      <c r="Q7" s="2433" t="s">
        <v>553</v>
      </c>
      <c r="R7" s="2433"/>
      <c r="S7" s="2427"/>
      <c r="T7" s="2428"/>
      <c r="U7" s="2429"/>
      <c r="V7" s="783"/>
    </row>
    <row r="8" spans="1:22" ht="6" customHeight="1">
      <c r="A8" s="784"/>
      <c r="C8" s="792"/>
      <c r="D8" s="792"/>
      <c r="E8" s="881"/>
      <c r="Q8" s="611"/>
      <c r="R8" s="882"/>
      <c r="V8" s="783"/>
    </row>
    <row r="9" spans="1:22" ht="18" customHeight="1">
      <c r="A9" s="784"/>
      <c r="F9" s="776" t="s">
        <v>554</v>
      </c>
      <c r="G9" s="2455"/>
      <c r="H9" s="2455"/>
      <c r="I9" s="2455"/>
      <c r="J9" s="2455"/>
      <c r="K9" s="2455"/>
      <c r="L9" s="2455"/>
      <c r="M9" s="2455"/>
      <c r="N9" s="2455"/>
      <c r="O9" s="2455"/>
      <c r="P9" s="2455"/>
      <c r="Q9" s="2433" t="s">
        <v>555</v>
      </c>
      <c r="R9" s="2433"/>
      <c r="S9" s="2427"/>
      <c r="T9" s="2428"/>
      <c r="U9" s="2429"/>
      <c r="V9" s="783"/>
    </row>
    <row r="10" spans="1:22" ht="6" customHeight="1">
      <c r="A10" s="784"/>
      <c r="C10" s="792"/>
      <c r="D10" s="792"/>
      <c r="E10" s="881"/>
      <c r="V10" s="783"/>
    </row>
    <row r="11" spans="1:22" ht="18" customHeight="1">
      <c r="A11" s="784"/>
      <c r="F11" s="776" t="s">
        <v>556</v>
      </c>
      <c r="G11" s="2406"/>
      <c r="H11" s="2407"/>
      <c r="I11" s="2407"/>
      <c r="J11" s="2407"/>
      <c r="K11" s="2407"/>
      <c r="L11" s="2407"/>
      <c r="M11" s="2407"/>
      <c r="N11" s="2407"/>
      <c r="O11" s="2407"/>
      <c r="P11" s="2407"/>
      <c r="Q11" s="2407"/>
      <c r="R11" s="2407"/>
      <c r="S11" s="2407"/>
      <c r="T11" s="2407"/>
      <c r="U11" s="2408"/>
      <c r="V11" s="783"/>
    </row>
    <row r="12" spans="1:22" ht="6" customHeight="1">
      <c r="A12" s="784"/>
      <c r="C12" s="792"/>
      <c r="D12" s="792"/>
      <c r="E12" s="881"/>
      <c r="V12" s="783"/>
    </row>
    <row r="13" spans="1:22" ht="18" customHeight="1">
      <c r="A13" s="784"/>
      <c r="F13" s="776" t="s">
        <v>557</v>
      </c>
      <c r="G13" s="2452"/>
      <c r="H13" s="2453"/>
      <c r="I13" s="2453"/>
      <c r="J13" s="2453"/>
      <c r="K13" s="2454"/>
      <c r="L13" s="776" t="s">
        <v>558</v>
      </c>
      <c r="M13" s="2442"/>
      <c r="N13" s="2444"/>
      <c r="O13" s="2443"/>
      <c r="P13" s="776" t="s">
        <v>559</v>
      </c>
      <c r="Q13" s="2442"/>
      <c r="R13" s="2443"/>
      <c r="S13" s="776" t="s">
        <v>560</v>
      </c>
      <c r="T13" s="2442"/>
      <c r="U13" s="2443"/>
      <c r="V13" s="783"/>
    </row>
    <row r="14" spans="1:22" ht="6" customHeight="1">
      <c r="A14" s="784"/>
      <c r="C14" s="792"/>
      <c r="D14" s="792"/>
      <c r="E14" s="881"/>
      <c r="P14" s="611"/>
      <c r="Q14" s="611"/>
      <c r="R14" s="882"/>
      <c r="V14" s="783"/>
    </row>
    <row r="15" spans="1:22" ht="15.75" customHeight="1">
      <c r="A15" s="979"/>
      <c r="B15" s="2409" t="s">
        <v>561</v>
      </c>
      <c r="C15" s="2409"/>
      <c r="D15" s="2409"/>
      <c r="E15" s="2409"/>
      <c r="F15" s="2409"/>
      <c r="G15" s="2409"/>
      <c r="H15" s="2409"/>
      <c r="I15" s="2409"/>
      <c r="J15" s="2409"/>
      <c r="K15" s="2409"/>
      <c r="L15" s="2409"/>
      <c r="M15" s="2409"/>
      <c r="N15" s="2409"/>
      <c r="O15" s="2409"/>
      <c r="P15" s="2409"/>
      <c r="Q15" s="2409"/>
      <c r="R15" s="2409"/>
      <c r="S15" s="2409"/>
      <c r="T15" s="2409"/>
      <c r="U15" s="2409"/>
      <c r="V15" s="980"/>
    </row>
    <row r="16" spans="1:22" ht="6" customHeight="1">
      <c r="A16" s="784"/>
      <c r="B16" s="883"/>
      <c r="C16" s="883"/>
      <c r="D16" s="883"/>
      <c r="E16" s="883"/>
      <c r="F16" s="883"/>
      <c r="G16" s="883"/>
      <c r="H16" s="883"/>
      <c r="I16" s="883"/>
      <c r="J16" s="883"/>
      <c r="K16" s="883"/>
      <c r="L16" s="883"/>
      <c r="M16" s="883"/>
      <c r="N16" s="883"/>
      <c r="O16" s="883"/>
      <c r="P16" s="883"/>
      <c r="Q16" s="883"/>
      <c r="R16" s="883"/>
      <c r="S16" s="883"/>
      <c r="T16" s="883"/>
      <c r="U16" s="883"/>
      <c r="V16" s="783"/>
    </row>
    <row r="17" spans="1:22" ht="13.5" customHeight="1">
      <c r="A17" s="784"/>
      <c r="C17" s="773" t="s">
        <v>562</v>
      </c>
      <c r="F17" s="776"/>
      <c r="G17" s="611"/>
      <c r="H17" s="776"/>
      <c r="I17" s="611"/>
      <c r="J17" s="776"/>
      <c r="K17" s="611"/>
      <c r="L17" s="776"/>
      <c r="M17" s="776"/>
      <c r="N17" s="611"/>
      <c r="P17" s="773"/>
      <c r="R17" s="1119"/>
      <c r="V17" s="783"/>
    </row>
    <row r="18" spans="1:22" ht="18" customHeight="1">
      <c r="A18" s="784"/>
      <c r="D18" s="792"/>
      <c r="E18" s="776" t="s">
        <v>563</v>
      </c>
      <c r="G18" s="611"/>
      <c r="J18" s="611"/>
      <c r="M18" s="785"/>
      <c r="V18" s="783"/>
    </row>
    <row r="19" spans="1:22" ht="18" customHeight="1">
      <c r="A19" s="784"/>
      <c r="E19" s="776" t="s">
        <v>564</v>
      </c>
      <c r="M19" s="2430"/>
      <c r="N19" s="2431"/>
      <c r="O19" s="2431"/>
      <c r="P19" s="2431"/>
      <c r="Q19" s="2431"/>
      <c r="R19" s="2431"/>
      <c r="S19" s="2431"/>
      <c r="T19" s="2431"/>
      <c r="U19" s="2432"/>
      <c r="V19" s="783"/>
    </row>
    <row r="20" spans="1:22" ht="6" customHeight="1">
      <c r="A20" s="784"/>
      <c r="D20" s="792"/>
      <c r="E20" s="881"/>
      <c r="V20" s="783"/>
    </row>
    <row r="21" spans="1:22" ht="18" customHeight="1">
      <c r="A21" s="784"/>
      <c r="C21" s="884" t="s">
        <v>565</v>
      </c>
      <c r="H21" s="776" t="s">
        <v>566</v>
      </c>
      <c r="I21" s="2430"/>
      <c r="J21" s="2432"/>
      <c r="M21" s="776" t="s">
        <v>567</v>
      </c>
      <c r="N21" s="2430"/>
      <c r="O21" s="2432"/>
      <c r="P21" s="792"/>
      <c r="Q21" s="611"/>
      <c r="S21" s="776" t="s">
        <v>568</v>
      </c>
      <c r="T21" s="2427"/>
      <c r="U21" s="2429"/>
      <c r="V21" s="783"/>
    </row>
    <row r="22" spans="1:22" ht="6" customHeight="1">
      <c r="A22" s="784"/>
      <c r="C22" s="792"/>
      <c r="D22" s="792"/>
      <c r="E22" s="881"/>
      <c r="O22" s="611"/>
      <c r="P22" s="611"/>
      <c r="Q22" s="611"/>
      <c r="R22" s="882"/>
      <c r="V22" s="783"/>
    </row>
    <row r="23" spans="1:22" ht="18" customHeight="1">
      <c r="A23" s="784"/>
      <c r="E23" s="776"/>
      <c r="H23" s="776" t="s">
        <v>569</v>
      </c>
      <c r="I23" s="2430"/>
      <c r="J23" s="2432"/>
      <c r="M23" s="776" t="s">
        <v>570</v>
      </c>
      <c r="N23" s="2410">
        <v>0</v>
      </c>
      <c r="O23" s="2411"/>
      <c r="P23" s="611"/>
      <c r="Q23" s="611"/>
      <c r="S23" s="776" t="s">
        <v>571</v>
      </c>
      <c r="T23" s="2427"/>
      <c r="U23" s="2429"/>
      <c r="V23" s="783"/>
    </row>
    <row r="24" spans="1:22" ht="6" customHeight="1">
      <c r="A24" s="784"/>
      <c r="C24" s="792"/>
      <c r="D24" s="792"/>
      <c r="E24" s="792"/>
      <c r="F24" s="792"/>
      <c r="I24" s="611"/>
      <c r="L24" s="792"/>
      <c r="M24" s="792"/>
      <c r="N24" s="792"/>
      <c r="P24" s="611"/>
      <c r="Q24" s="611"/>
      <c r="R24" s="611"/>
      <c r="V24" s="783"/>
    </row>
    <row r="25" spans="1:22" ht="18" customHeight="1">
      <c r="A25" s="784"/>
      <c r="D25" s="881"/>
      <c r="H25" s="776" t="s">
        <v>572</v>
      </c>
      <c r="I25" s="2430"/>
      <c r="J25" s="2432"/>
      <c r="K25" s="776"/>
      <c r="M25" s="776" t="s">
        <v>573</v>
      </c>
      <c r="N25" s="2406"/>
      <c r="O25" s="2407"/>
      <c r="P25" s="2407"/>
      <c r="Q25" s="2407"/>
      <c r="R25" s="2407"/>
      <c r="S25" s="2407"/>
      <c r="T25" s="2407"/>
      <c r="U25" s="2408"/>
      <c r="V25" s="783"/>
    </row>
    <row r="26" spans="1:22" ht="6" customHeight="1">
      <c r="A26" s="784"/>
      <c r="C26" s="792"/>
      <c r="D26" s="792"/>
      <c r="E26" s="792"/>
      <c r="F26" s="792"/>
      <c r="I26" s="611"/>
      <c r="L26" s="792"/>
      <c r="M26" s="792"/>
      <c r="N26" s="792"/>
      <c r="P26" s="611"/>
      <c r="Q26" s="611"/>
      <c r="V26" s="783"/>
    </row>
    <row r="27" spans="1:22" ht="15.95" customHeight="1">
      <c r="A27" s="784"/>
      <c r="D27" s="2415" t="s">
        <v>574</v>
      </c>
      <c r="E27" s="2415"/>
      <c r="F27" s="2415"/>
      <c r="G27" s="2415"/>
      <c r="H27" s="2415"/>
      <c r="I27" s="611"/>
      <c r="J27" s="2451"/>
      <c r="K27" s="2451"/>
      <c r="N27" s="885"/>
      <c r="O27" s="885"/>
      <c r="P27" s="611"/>
      <c r="Q27" s="611"/>
      <c r="R27" s="611"/>
      <c r="V27" s="783"/>
    </row>
    <row r="28" spans="1:22" ht="15.95" customHeight="1">
      <c r="A28" s="784"/>
      <c r="D28" s="2415"/>
      <c r="E28" s="2415"/>
      <c r="F28" s="2415"/>
      <c r="G28" s="2415"/>
      <c r="H28" s="2415"/>
      <c r="I28" s="611"/>
      <c r="J28" s="2451"/>
      <c r="K28" s="2451"/>
      <c r="N28" s="885"/>
      <c r="O28" s="885"/>
      <c r="P28" s="611"/>
      <c r="Q28" s="611"/>
      <c r="R28" s="611"/>
      <c r="V28" s="783"/>
    </row>
    <row r="29" spans="1:22" ht="15.95" customHeight="1">
      <c r="A29" s="784"/>
      <c r="D29" s="2415"/>
      <c r="E29" s="2415"/>
      <c r="F29" s="2415"/>
      <c r="G29" s="2415"/>
      <c r="H29" s="2415"/>
      <c r="I29" s="611"/>
      <c r="J29" s="2451"/>
      <c r="K29" s="2451"/>
      <c r="P29" s="611"/>
      <c r="Q29" s="611"/>
      <c r="R29" s="611"/>
      <c r="V29" s="783"/>
    </row>
    <row r="30" spans="1:22" ht="15.95" customHeight="1">
      <c r="A30" s="784"/>
      <c r="D30" s="2415"/>
      <c r="E30" s="2415"/>
      <c r="F30" s="2415"/>
      <c r="G30" s="2415"/>
      <c r="H30" s="2415"/>
      <c r="I30" s="611"/>
      <c r="J30" s="2451"/>
      <c r="K30" s="2451"/>
      <c r="L30" s="611"/>
      <c r="P30" s="611"/>
      <c r="Q30" s="611"/>
      <c r="R30" s="611"/>
      <c r="S30" s="2412"/>
      <c r="T30" s="2413"/>
      <c r="U30" s="2414"/>
      <c r="V30" s="783"/>
    </row>
    <row r="31" spans="1:22" ht="15.6" customHeight="1">
      <c r="A31" s="784"/>
      <c r="I31" s="611"/>
      <c r="L31" s="792"/>
      <c r="M31" s="609" t="s">
        <v>575</v>
      </c>
      <c r="N31" s="792"/>
      <c r="P31" s="611"/>
      <c r="Q31" s="611"/>
      <c r="R31" s="611"/>
      <c r="V31" s="783"/>
    </row>
    <row r="32" spans="1:22" ht="18" customHeight="1">
      <c r="A32" s="784"/>
      <c r="F32" s="776"/>
      <c r="G32" s="776"/>
      <c r="H32" s="776" t="s">
        <v>576</v>
      </c>
      <c r="I32" s="2406"/>
      <c r="J32" s="2407"/>
      <c r="K32" s="2407"/>
      <c r="L32" s="2407"/>
      <c r="M32" s="2407"/>
      <c r="N32" s="2407"/>
      <c r="O32" s="2407"/>
      <c r="P32" s="2407"/>
      <c r="Q32" s="2407"/>
      <c r="R32" s="2407"/>
      <c r="S32" s="2407"/>
      <c r="T32" s="2407"/>
      <c r="U32" s="2408"/>
      <c r="V32" s="783"/>
    </row>
    <row r="33" spans="1:26" ht="5.0999999999999996" customHeight="1">
      <c r="A33" s="784"/>
      <c r="C33" s="792"/>
      <c r="D33" s="792"/>
      <c r="E33" s="881"/>
      <c r="V33" s="783"/>
    </row>
    <row r="34" spans="1:26" ht="18" customHeight="1">
      <c r="A34" s="784"/>
      <c r="H34" s="776" t="s">
        <v>577</v>
      </c>
      <c r="I34" s="2406"/>
      <c r="J34" s="2407"/>
      <c r="K34" s="2407"/>
      <c r="L34" s="2407"/>
      <c r="M34" s="2407"/>
      <c r="N34" s="2407"/>
      <c r="O34" s="2407"/>
      <c r="P34" s="2407"/>
      <c r="Q34" s="2407"/>
      <c r="R34" s="2407"/>
      <c r="S34" s="2407"/>
      <c r="T34" s="2407"/>
      <c r="U34" s="2408"/>
      <c r="V34" s="783"/>
    </row>
    <row r="35" spans="1:26" ht="6" customHeight="1">
      <c r="A35" s="784"/>
      <c r="V35" s="783"/>
    </row>
    <row r="36" spans="1:26" ht="18" customHeight="1">
      <c r="A36" s="784"/>
      <c r="H36" s="886" t="s">
        <v>578</v>
      </c>
      <c r="I36" s="2406"/>
      <c r="J36" s="2407"/>
      <c r="K36" s="2407"/>
      <c r="L36" s="2407"/>
      <c r="M36" s="2407"/>
      <c r="N36" s="2407"/>
      <c r="O36" s="2407"/>
      <c r="P36" s="2407"/>
      <c r="Q36" s="2407"/>
      <c r="R36" s="2407"/>
      <c r="S36" s="2407"/>
      <c r="T36" s="2407"/>
      <c r="U36" s="2408"/>
      <c r="V36" s="783"/>
    </row>
    <row r="37" spans="1:26" ht="13.5" customHeight="1">
      <c r="A37" s="784"/>
      <c r="G37" s="633"/>
      <c r="H37" s="633"/>
      <c r="I37" s="2461" t="s">
        <v>579</v>
      </c>
      <c r="J37" s="2461"/>
      <c r="K37" s="2461"/>
      <c r="L37" s="2461"/>
      <c r="M37" s="2461"/>
      <c r="N37" s="2461"/>
      <c r="O37" s="2461"/>
      <c r="P37" s="2461"/>
      <c r="Q37" s="2461"/>
      <c r="R37" s="2461"/>
      <c r="S37" s="2461"/>
      <c r="T37" s="2461"/>
      <c r="U37" s="2461"/>
      <c r="V37" s="783"/>
    </row>
    <row r="38" spans="1:26" ht="15" customHeight="1">
      <c r="A38" s="784"/>
      <c r="C38" s="773" t="s">
        <v>580</v>
      </c>
      <c r="G38" s="633"/>
      <c r="H38" s="633"/>
      <c r="I38" s="887"/>
      <c r="J38" s="887"/>
      <c r="L38" s="887"/>
      <c r="M38" s="887"/>
      <c r="N38" s="887"/>
      <c r="P38" s="887"/>
      <c r="Q38" s="887"/>
      <c r="R38" s="887"/>
      <c r="S38" s="887"/>
      <c r="T38" s="887"/>
      <c r="U38" s="887"/>
      <c r="V38" s="783"/>
    </row>
    <row r="39" spans="1:26" ht="15" customHeight="1">
      <c r="A39" s="784"/>
      <c r="B39" s="773"/>
      <c r="E39" s="1411" t="s">
        <v>581</v>
      </c>
      <c r="G39" s="633"/>
      <c r="H39" s="633"/>
      <c r="I39" s="887"/>
      <c r="J39" s="887"/>
      <c r="K39" s="887"/>
      <c r="L39" s="887"/>
      <c r="M39" s="887"/>
      <c r="N39" s="887"/>
      <c r="O39" s="887"/>
      <c r="P39" s="887"/>
      <c r="Q39" s="887"/>
      <c r="R39" s="887"/>
      <c r="S39" s="887"/>
      <c r="T39" s="887"/>
      <c r="U39" s="887"/>
      <c r="V39" s="783"/>
    </row>
    <row r="40" spans="1:26" ht="18" customHeight="1">
      <c r="A40" s="784"/>
      <c r="H40" s="776" t="s">
        <v>582</v>
      </c>
      <c r="I40" s="2430"/>
      <c r="J40" s="2432"/>
      <c r="K40" s="609" t="s">
        <v>583</v>
      </c>
      <c r="Q40" s="1104" t="s">
        <v>584</v>
      </c>
      <c r="R40" s="2462"/>
      <c r="S40" s="2463"/>
      <c r="T40" s="2463"/>
      <c r="U40" s="2464"/>
      <c r="V40" s="783"/>
    </row>
    <row r="41" spans="1:26" ht="6" customHeight="1">
      <c r="A41" s="784"/>
      <c r="G41" s="633"/>
      <c r="H41" s="633"/>
      <c r="I41" s="633"/>
      <c r="J41" s="633"/>
      <c r="V41" s="783"/>
    </row>
    <row r="42" spans="1:26" ht="18" customHeight="1">
      <c r="A42" s="784"/>
      <c r="C42" s="609" t="s">
        <v>585</v>
      </c>
      <c r="H42" s="776" t="s">
        <v>586</v>
      </c>
      <c r="I42" s="2430" t="str">
        <f>IF(R40="Residential","170",IF(R40="Other Est. - Resid.","170"," "))</f>
        <v xml:space="preserve"> </v>
      </c>
      <c r="J42" s="2432"/>
      <c r="K42" s="609" t="s">
        <v>587</v>
      </c>
      <c r="L42" s="776" t="s">
        <v>183</v>
      </c>
      <c r="M42" s="2430" t="str">
        <f>IF(R40="Residential","60",IF(R40="Other Est. - Resid.","60"," "))</f>
        <v xml:space="preserve"> </v>
      </c>
      <c r="N42" s="2432"/>
      <c r="O42" s="609" t="s">
        <v>587</v>
      </c>
      <c r="R42" s="776" t="s">
        <v>588</v>
      </c>
      <c r="S42" s="2430" t="str">
        <f>IF(R40="Residential","25",IF(R40="Other Est. - Resid.","25"," "))</f>
        <v xml:space="preserve"> </v>
      </c>
      <c r="T42" s="2432"/>
      <c r="U42" s="609" t="s">
        <v>587</v>
      </c>
      <c r="V42" s="783"/>
    </row>
    <row r="43" spans="1:26" ht="6" customHeight="1">
      <c r="A43" s="784"/>
      <c r="B43" s="775"/>
      <c r="C43" s="775"/>
      <c r="D43" s="775"/>
      <c r="E43" s="775"/>
      <c r="F43" s="775"/>
      <c r="G43" s="888"/>
      <c r="H43" s="888"/>
      <c r="I43" s="888"/>
      <c r="J43" s="888"/>
      <c r="K43" s="775"/>
      <c r="L43" s="775"/>
      <c r="M43" s="775"/>
      <c r="N43" s="775"/>
      <c r="O43" s="775"/>
      <c r="P43" s="775"/>
      <c r="R43" s="611"/>
      <c r="V43" s="783"/>
    </row>
    <row r="44" spans="1:26" ht="15.75" customHeight="1">
      <c r="A44" s="1181" t="s">
        <v>589</v>
      </c>
      <c r="B44" s="1180"/>
      <c r="C44" s="1180"/>
      <c r="D44" s="1180"/>
      <c r="E44" s="1180"/>
      <c r="F44" s="1180"/>
      <c r="G44" s="1180"/>
      <c r="H44" s="1180"/>
      <c r="I44" s="1180"/>
      <c r="J44" s="1180"/>
      <c r="K44" s="1180"/>
      <c r="L44" s="1180"/>
      <c r="M44" s="1180"/>
      <c r="N44" s="1180"/>
      <c r="O44" s="1180"/>
      <c r="P44" s="1180"/>
      <c r="Q44" s="1180"/>
      <c r="R44" s="1180"/>
      <c r="S44" s="1180"/>
      <c r="T44" s="1180"/>
      <c r="U44" s="1180"/>
      <c r="V44" s="980"/>
    </row>
    <row r="45" spans="1:26" ht="18" customHeight="1">
      <c r="A45" s="1100" t="s">
        <v>590</v>
      </c>
      <c r="C45" s="889"/>
      <c r="D45" s="773"/>
      <c r="R45" s="611"/>
      <c r="V45" s="783"/>
    </row>
    <row r="46" spans="1:26" ht="18" customHeight="1">
      <c r="A46" s="784"/>
      <c r="C46" s="2425" t="s">
        <v>591</v>
      </c>
      <c r="D46" s="2425" t="s">
        <v>592</v>
      </c>
      <c r="E46" s="2425"/>
      <c r="F46" s="2425"/>
      <c r="G46" s="2425"/>
      <c r="H46" s="2425"/>
      <c r="I46" s="2425" t="s">
        <v>593</v>
      </c>
      <c r="J46" s="2425"/>
      <c r="K46" s="2425" t="s">
        <v>594</v>
      </c>
      <c r="L46" s="2425"/>
      <c r="M46" s="2425" t="s">
        <v>595</v>
      </c>
      <c r="N46" s="2425"/>
      <c r="O46" s="2425" t="s">
        <v>596</v>
      </c>
      <c r="P46" s="2425"/>
      <c r="Q46" s="2425" t="s">
        <v>597</v>
      </c>
      <c r="R46" s="2425"/>
      <c r="S46" s="2425" t="s">
        <v>598</v>
      </c>
      <c r="T46" s="2425"/>
      <c r="U46" s="2425"/>
      <c r="V46" s="783"/>
    </row>
    <row r="47" spans="1:26" ht="18" customHeight="1">
      <c r="A47" s="784"/>
      <c r="C47" s="2425"/>
      <c r="D47" s="2425"/>
      <c r="E47" s="2425"/>
      <c r="F47" s="2425"/>
      <c r="G47" s="2425"/>
      <c r="H47" s="2425"/>
      <c r="I47" s="2425"/>
      <c r="J47" s="2425"/>
      <c r="K47" s="2425"/>
      <c r="L47" s="2425"/>
      <c r="M47" s="2425"/>
      <c r="N47" s="2425"/>
      <c r="O47" s="2425"/>
      <c r="P47" s="2425"/>
      <c r="Q47" s="2425"/>
      <c r="R47" s="2425"/>
      <c r="S47" s="2425"/>
      <c r="T47" s="2425"/>
      <c r="U47" s="2425"/>
      <c r="V47" s="783"/>
      <c r="X47" s="611"/>
      <c r="Y47" s="611"/>
      <c r="Z47" s="611"/>
    </row>
    <row r="48" spans="1:26" ht="18" customHeight="1">
      <c r="A48" s="784"/>
      <c r="C48" s="915">
        <v>1</v>
      </c>
      <c r="D48" s="2426"/>
      <c r="E48" s="2426"/>
      <c r="F48" s="2426"/>
      <c r="G48" s="2426"/>
      <c r="H48" s="2426"/>
      <c r="I48" s="2426"/>
      <c r="J48" s="2426"/>
      <c r="K48" s="2426"/>
      <c r="L48" s="2426"/>
      <c r="M48" s="2426"/>
      <c r="N48" s="2426"/>
      <c r="O48" s="2426"/>
      <c r="P48" s="2426"/>
      <c r="Q48" s="2426"/>
      <c r="R48" s="2426"/>
      <c r="S48" s="2426"/>
      <c r="T48" s="2426"/>
      <c r="U48" s="2426"/>
      <c r="V48" s="783"/>
    </row>
    <row r="49" spans="1:24" ht="18" customHeight="1">
      <c r="A49" s="784"/>
      <c r="C49" s="915">
        <v>2</v>
      </c>
      <c r="D49" s="2426"/>
      <c r="E49" s="2426"/>
      <c r="F49" s="2426"/>
      <c r="G49" s="2426"/>
      <c r="H49" s="2426"/>
      <c r="I49" s="2426"/>
      <c r="J49" s="2426"/>
      <c r="K49" s="2426"/>
      <c r="L49" s="2426"/>
      <c r="M49" s="2426"/>
      <c r="N49" s="2426"/>
      <c r="O49" s="2426"/>
      <c r="P49" s="2426"/>
      <c r="Q49" s="2426"/>
      <c r="R49" s="2426"/>
      <c r="S49" s="2426"/>
      <c r="T49" s="2426"/>
      <c r="U49" s="2426"/>
      <c r="V49" s="783"/>
    </row>
    <row r="50" spans="1:24" ht="18" customHeight="1">
      <c r="A50" s="784"/>
      <c r="C50" s="915">
        <v>3</v>
      </c>
      <c r="D50" s="2426"/>
      <c r="E50" s="2426"/>
      <c r="F50" s="2426"/>
      <c r="G50" s="2426"/>
      <c r="H50" s="2426"/>
      <c r="I50" s="2426"/>
      <c r="J50" s="2426"/>
      <c r="K50" s="2426"/>
      <c r="L50" s="2426"/>
      <c r="M50" s="2426"/>
      <c r="N50" s="2426"/>
      <c r="O50" s="2426"/>
      <c r="P50" s="2426"/>
      <c r="Q50" s="2426"/>
      <c r="R50" s="2426"/>
      <c r="S50" s="2426"/>
      <c r="T50" s="2426"/>
      <c r="U50" s="2426"/>
      <c r="V50" s="783"/>
    </row>
    <row r="51" spans="1:24" ht="18" customHeight="1">
      <c r="A51" s="784"/>
      <c r="C51" s="915">
        <v>4</v>
      </c>
      <c r="D51" s="2426"/>
      <c r="E51" s="2426"/>
      <c r="F51" s="2426"/>
      <c r="G51" s="2426"/>
      <c r="H51" s="2426"/>
      <c r="I51" s="2426"/>
      <c r="J51" s="2426"/>
      <c r="K51" s="2426"/>
      <c r="L51" s="2426"/>
      <c r="M51" s="2426"/>
      <c r="N51" s="2426"/>
      <c r="O51" s="2426"/>
      <c r="P51" s="2426"/>
      <c r="Q51" s="2426"/>
      <c r="R51" s="2426"/>
      <c r="S51" s="2426"/>
      <c r="T51" s="2426"/>
      <c r="U51" s="2426"/>
      <c r="V51" s="783"/>
    </row>
    <row r="52" spans="1:24" ht="18" customHeight="1">
      <c r="A52" s="784"/>
      <c r="C52" s="611"/>
      <c r="D52" s="2433" t="s">
        <v>599</v>
      </c>
      <c r="E52" s="2433"/>
      <c r="F52" s="2433"/>
      <c r="G52" s="2433"/>
      <c r="H52" s="2433"/>
      <c r="I52" s="2406"/>
      <c r="J52" s="2407"/>
      <c r="K52" s="2407"/>
      <c r="L52" s="2407"/>
      <c r="M52" s="2407"/>
      <c r="N52" s="2407"/>
      <c r="O52" s="2407"/>
      <c r="P52" s="2407"/>
      <c r="Q52" s="2407"/>
      <c r="R52" s="2407"/>
      <c r="S52" s="2407"/>
      <c r="T52" s="2407"/>
      <c r="U52" s="2408"/>
      <c r="V52" s="783"/>
    </row>
    <row r="53" spans="1:24" ht="6" customHeight="1" thickBot="1">
      <c r="A53" s="791"/>
      <c r="B53" s="891"/>
      <c r="C53" s="891"/>
      <c r="D53" s="891"/>
      <c r="E53" s="891"/>
      <c r="F53" s="891"/>
      <c r="G53" s="891"/>
      <c r="H53" s="891"/>
      <c r="I53" s="891"/>
      <c r="J53" s="891"/>
      <c r="K53" s="891"/>
      <c r="L53" s="891"/>
      <c r="M53" s="891"/>
      <c r="N53" s="891"/>
      <c r="O53" s="891"/>
      <c r="P53" s="891"/>
      <c r="Q53" s="891"/>
      <c r="R53" s="894"/>
      <c r="S53" s="891"/>
      <c r="T53" s="891"/>
      <c r="U53" s="891"/>
      <c r="V53" s="1103"/>
    </row>
    <row r="54" spans="1:24" ht="5.0999999999999996" customHeight="1">
      <c r="A54" s="777"/>
      <c r="B54" s="778"/>
      <c r="C54" s="778"/>
      <c r="D54" s="778"/>
      <c r="E54" s="778"/>
      <c r="F54" s="778"/>
      <c r="G54" s="778"/>
      <c r="H54" s="778"/>
      <c r="I54" s="778"/>
      <c r="J54" s="778"/>
      <c r="K54" s="778"/>
      <c r="L54" s="778"/>
      <c r="M54" s="778"/>
      <c r="N54" s="778"/>
      <c r="O54" s="778"/>
      <c r="P54" s="778"/>
      <c r="Q54" s="778"/>
      <c r="R54" s="778"/>
      <c r="S54" s="778"/>
      <c r="T54" s="778"/>
      <c r="U54" s="778"/>
      <c r="V54" s="779"/>
    </row>
    <row r="55" spans="1:24" ht="18" customHeight="1">
      <c r="A55" s="784"/>
      <c r="J55" s="792"/>
      <c r="M55" s="808" t="s">
        <v>600</v>
      </c>
      <c r="N55" s="2430"/>
      <c r="O55" s="2432"/>
      <c r="R55" s="879" t="s">
        <v>601</v>
      </c>
      <c r="S55" s="2430"/>
      <c r="T55" s="2431"/>
      <c r="U55" s="2432"/>
      <c r="V55" s="783"/>
    </row>
    <row r="56" spans="1:24" ht="5.0999999999999996" customHeight="1">
      <c r="A56" s="784"/>
      <c r="M56" s="808"/>
      <c r="V56" s="783"/>
    </row>
    <row r="57" spans="1:24" ht="18" customHeight="1">
      <c r="A57" s="784"/>
      <c r="M57" s="808" t="s">
        <v>602</v>
      </c>
      <c r="N57" s="2430"/>
      <c r="O57" s="2432"/>
      <c r="R57" s="1110" t="s">
        <v>601</v>
      </c>
      <c r="S57" s="2430"/>
      <c r="T57" s="2431"/>
      <c r="U57" s="2432"/>
      <c r="V57" s="783"/>
    </row>
    <row r="58" spans="1:24" ht="5.0999999999999996" customHeight="1">
      <c r="A58" s="784"/>
      <c r="M58" s="808"/>
      <c r="Q58" s="774"/>
      <c r="R58" s="776"/>
      <c r="V58" s="783"/>
    </row>
    <row r="59" spans="1:24" ht="18" customHeight="1">
      <c r="A59" s="784"/>
      <c r="M59" s="808" t="s">
        <v>603</v>
      </c>
      <c r="N59" s="2430"/>
      <c r="O59" s="2432"/>
      <c r="R59" s="1110" t="s">
        <v>601</v>
      </c>
      <c r="S59" s="2430"/>
      <c r="T59" s="2431"/>
      <c r="U59" s="2432"/>
      <c r="V59" s="783"/>
    </row>
    <row r="60" spans="1:24" ht="5.0999999999999996" customHeight="1">
      <c r="A60" s="784"/>
      <c r="M60" s="808"/>
      <c r="R60" s="611"/>
      <c r="V60" s="783"/>
    </row>
    <row r="61" spans="1:24" ht="18" customHeight="1">
      <c r="A61" s="784"/>
      <c r="M61" s="808" t="s">
        <v>604</v>
      </c>
      <c r="N61" s="2430"/>
      <c r="O61" s="2432"/>
      <c r="R61" s="611"/>
      <c r="V61" s="783"/>
    </row>
    <row r="62" spans="1:24" ht="5.0999999999999996" customHeight="1">
      <c r="A62" s="784"/>
      <c r="M62" s="808"/>
      <c r="N62" s="611"/>
      <c r="O62" s="611"/>
      <c r="R62" s="611"/>
      <c r="V62" s="783"/>
    </row>
    <row r="63" spans="1:24" ht="17.25" customHeight="1">
      <c r="A63" s="784" t="s">
        <v>605</v>
      </c>
      <c r="G63" s="2455"/>
      <c r="H63" s="2455"/>
      <c r="I63" s="2455"/>
      <c r="J63" s="2455"/>
      <c r="K63" s="2455"/>
      <c r="L63" s="2455"/>
      <c r="M63" s="2455"/>
      <c r="N63" s="2455"/>
      <c r="O63" s="2455"/>
      <c r="P63" s="2455"/>
      <c r="Q63" s="2455"/>
      <c r="R63" s="2455"/>
      <c r="S63" s="2455"/>
      <c r="T63" s="2455"/>
      <c r="U63" s="2455"/>
      <c r="V63" s="783"/>
      <c r="X63" s="1411"/>
    </row>
    <row r="64" spans="1:24" ht="5.0999999999999996" customHeight="1">
      <c r="A64" s="784"/>
      <c r="C64" s="792"/>
      <c r="D64" s="792"/>
      <c r="E64" s="881"/>
      <c r="P64" s="611"/>
      <c r="Q64" s="611"/>
      <c r="R64" s="882"/>
      <c r="V64" s="783"/>
    </row>
    <row r="65" spans="1:32" ht="18" customHeight="1">
      <c r="A65" s="784"/>
      <c r="C65" s="773" t="s">
        <v>606</v>
      </c>
      <c r="N65" s="2430"/>
      <c r="O65" s="2432"/>
      <c r="R65" s="879" t="s">
        <v>607</v>
      </c>
      <c r="S65" s="2427" t="str">
        <f>IF(N65="No","N/A"," ")</f>
        <v xml:space="preserve"> </v>
      </c>
      <c r="T65" s="2428"/>
      <c r="U65" s="2429"/>
      <c r="V65" s="783"/>
    </row>
    <row r="66" spans="1:32" ht="5.0999999999999996" customHeight="1">
      <c r="A66" s="784"/>
      <c r="C66" s="773"/>
      <c r="O66" s="611"/>
      <c r="R66" s="776"/>
      <c r="S66" s="611"/>
      <c r="T66" s="611"/>
      <c r="U66" s="611"/>
      <c r="V66" s="783"/>
    </row>
    <row r="67" spans="1:32" ht="18" customHeight="1">
      <c r="A67" s="784"/>
      <c r="L67" s="776" t="s">
        <v>608</v>
      </c>
      <c r="N67" s="2427" t="str">
        <f>IF(N65="no","N/A"," ")</f>
        <v xml:space="preserve"> </v>
      </c>
      <c r="O67" s="2429"/>
      <c r="P67" s="609" t="s">
        <v>609</v>
      </c>
      <c r="R67" s="776" t="s">
        <v>610</v>
      </c>
      <c r="S67" s="2427" t="str">
        <f>IF(N65="No","N/A"," ")</f>
        <v xml:space="preserve"> </v>
      </c>
      <c r="T67" s="2428"/>
      <c r="U67" s="2429"/>
      <c r="V67" s="783"/>
    </row>
    <row r="68" spans="1:32" ht="5.0999999999999996" customHeight="1">
      <c r="A68" s="784"/>
      <c r="L68" s="776"/>
      <c r="N68" s="611"/>
      <c r="O68" s="611"/>
      <c r="R68" s="776"/>
      <c r="S68" s="611"/>
      <c r="T68" s="611"/>
      <c r="U68" s="611"/>
      <c r="V68" s="783"/>
    </row>
    <row r="69" spans="1:32" ht="18" customHeight="1">
      <c r="A69" s="784"/>
      <c r="C69" s="773"/>
      <c r="E69" s="776" t="s">
        <v>611</v>
      </c>
      <c r="F69" s="2430" t="str">
        <f>IF(N65="No","N/A"," ")</f>
        <v xml:space="preserve"> </v>
      </c>
      <c r="G69" s="2431"/>
      <c r="H69" s="2431"/>
      <c r="I69" s="2431"/>
      <c r="J69" s="2432"/>
      <c r="M69" s="776" t="s">
        <v>612</v>
      </c>
      <c r="N69" s="2427" t="str">
        <f>IF(N65="no","N/A"," ")</f>
        <v xml:space="preserve"> </v>
      </c>
      <c r="O69" s="2429"/>
      <c r="P69" s="2458" t="s">
        <v>613</v>
      </c>
      <c r="Q69" s="2459"/>
      <c r="R69" s="2460"/>
      <c r="S69" s="2410" t="str">
        <f>IF(N65="no","N/A"," ")</f>
        <v xml:space="preserve"> </v>
      </c>
      <c r="T69" s="2411"/>
      <c r="U69" s="890" t="s">
        <v>614</v>
      </c>
      <c r="V69" s="783"/>
    </row>
    <row r="70" spans="1:32" ht="5.0999999999999996" customHeight="1">
      <c r="A70" s="784"/>
      <c r="C70" s="792"/>
      <c r="D70" s="792"/>
      <c r="E70" s="881"/>
      <c r="P70" s="611"/>
      <c r="Q70" s="611"/>
      <c r="R70" s="882"/>
      <c r="V70" s="783"/>
    </row>
    <row r="71" spans="1:32" ht="18" customHeight="1">
      <c r="A71" s="784"/>
      <c r="C71" s="773" t="s">
        <v>615</v>
      </c>
      <c r="L71" s="774"/>
      <c r="N71" s="2430"/>
      <c r="O71" s="2432"/>
      <c r="R71" s="879" t="s">
        <v>616</v>
      </c>
      <c r="S71" s="2427" t="str">
        <f>IF(N71="No","N/A"," ")</f>
        <v xml:space="preserve"> </v>
      </c>
      <c r="T71" s="2428"/>
      <c r="U71" s="2429"/>
      <c r="V71" s="783"/>
    </row>
    <row r="72" spans="1:32" ht="5.0999999999999996" customHeight="1">
      <c r="A72" s="784"/>
      <c r="C72" s="792"/>
      <c r="D72" s="792"/>
      <c r="E72" s="881"/>
      <c r="P72" s="611"/>
      <c r="Q72" s="611"/>
      <c r="R72" s="882"/>
      <c r="V72" s="783"/>
    </row>
    <row r="73" spans="1:32" ht="18" customHeight="1">
      <c r="A73" s="784"/>
      <c r="G73" s="774"/>
      <c r="H73" s="774"/>
      <c r="L73" s="776" t="s">
        <v>617</v>
      </c>
      <c r="N73" s="2427" t="str">
        <f>IF(N71="no","N/A"," ")</f>
        <v xml:space="preserve"> </v>
      </c>
      <c r="O73" s="2429"/>
      <c r="P73" s="609" t="s">
        <v>609</v>
      </c>
      <c r="R73" s="776" t="s">
        <v>610</v>
      </c>
      <c r="S73" s="2427" t="str">
        <f>IF(N71="No","N/A"," ")</f>
        <v xml:space="preserve"> </v>
      </c>
      <c r="T73" s="2428"/>
      <c r="U73" s="2429"/>
      <c r="V73" s="783"/>
    </row>
    <row r="74" spans="1:32" ht="5.0999999999999996" customHeight="1">
      <c r="A74" s="784"/>
      <c r="C74" s="792"/>
      <c r="D74" s="792"/>
      <c r="E74" s="881"/>
      <c r="P74" s="611"/>
      <c r="Q74" s="611"/>
      <c r="R74" s="882"/>
      <c r="V74" s="783"/>
    </row>
    <row r="75" spans="1:32" s="774" customFormat="1" ht="18" customHeight="1">
      <c r="A75" s="847"/>
      <c r="L75" s="776" t="s">
        <v>618</v>
      </c>
      <c r="N75" s="2427" t="str">
        <f>IF(N71="no","N/A"," ")</f>
        <v xml:space="preserve"> </v>
      </c>
      <c r="O75" s="2429"/>
      <c r="P75" s="609" t="s">
        <v>609</v>
      </c>
      <c r="R75" s="776" t="s">
        <v>610</v>
      </c>
      <c r="S75" s="2427" t="str">
        <f>IF(N71="No","N/A"," ")</f>
        <v xml:space="preserve"> </v>
      </c>
      <c r="T75" s="2428"/>
      <c r="U75" s="2429"/>
      <c r="V75" s="848"/>
      <c r="W75" s="609"/>
      <c r="X75" s="609"/>
      <c r="Y75" s="609"/>
      <c r="Z75" s="609"/>
      <c r="AA75" s="609"/>
      <c r="AB75" s="609"/>
      <c r="AC75" s="609"/>
      <c r="AD75" s="609"/>
      <c r="AE75" s="609"/>
      <c r="AF75" s="609"/>
    </row>
    <row r="76" spans="1:32" ht="5.0999999999999996" customHeight="1">
      <c r="A76" s="784"/>
      <c r="C76" s="792"/>
      <c r="D76" s="792"/>
      <c r="E76" s="881"/>
      <c r="P76" s="611"/>
      <c r="Q76" s="611"/>
      <c r="R76" s="882"/>
      <c r="V76" s="783"/>
    </row>
    <row r="77" spans="1:32" ht="18" customHeight="1">
      <c r="A77" s="784"/>
      <c r="C77" s="773" t="s">
        <v>619</v>
      </c>
      <c r="H77" s="774"/>
      <c r="I77" s="611"/>
      <c r="S77" s="2427"/>
      <c r="T77" s="2428"/>
      <c r="U77" s="2429"/>
      <c r="V77" s="783"/>
    </row>
    <row r="78" spans="1:32" ht="5.0999999999999996" customHeight="1">
      <c r="A78" s="784"/>
      <c r="C78" s="773"/>
      <c r="D78" s="773"/>
      <c r="F78" s="773"/>
      <c r="G78" s="792"/>
      <c r="I78" s="611"/>
      <c r="K78" s="792"/>
      <c r="R78" s="611"/>
      <c r="V78" s="783"/>
    </row>
    <row r="79" spans="1:32" ht="18" customHeight="1">
      <c r="A79" s="784"/>
      <c r="C79" s="773" t="s">
        <v>620</v>
      </c>
      <c r="D79" s="773"/>
      <c r="F79" s="773"/>
      <c r="G79" s="883"/>
      <c r="H79" s="773"/>
      <c r="I79" s="1119"/>
      <c r="J79" s="773"/>
      <c r="K79" s="883"/>
      <c r="L79" s="773"/>
      <c r="M79" s="773"/>
      <c r="N79" s="773"/>
      <c r="R79" s="611"/>
      <c r="V79" s="783"/>
    </row>
    <row r="80" spans="1:32" ht="18" customHeight="1">
      <c r="A80" s="784"/>
      <c r="C80" s="773"/>
      <c r="D80" s="773"/>
      <c r="F80" s="773"/>
      <c r="G80" s="792"/>
      <c r="I80" s="611"/>
      <c r="K80" s="792"/>
      <c r="R80" s="611"/>
      <c r="S80" s="2427"/>
      <c r="T80" s="2428"/>
      <c r="U80" s="2429"/>
      <c r="V80" s="783"/>
    </row>
    <row r="81" spans="1:22" ht="6" customHeight="1">
      <c r="A81" s="784"/>
      <c r="C81" s="773"/>
      <c r="D81" s="773"/>
      <c r="F81" s="773"/>
      <c r="G81" s="792"/>
      <c r="I81" s="611"/>
      <c r="K81" s="792"/>
      <c r="R81" s="611"/>
      <c r="V81" s="783"/>
    </row>
    <row r="82" spans="1:22" ht="15.75" customHeight="1">
      <c r="A82" s="979"/>
      <c r="B82" s="2409" t="s">
        <v>621</v>
      </c>
      <c r="C82" s="2409"/>
      <c r="D82" s="2409"/>
      <c r="E82" s="2409"/>
      <c r="F82" s="2409"/>
      <c r="G82" s="2409"/>
      <c r="H82" s="2409"/>
      <c r="I82" s="2409"/>
      <c r="J82" s="2409"/>
      <c r="K82" s="2409"/>
      <c r="L82" s="2409"/>
      <c r="M82" s="2409"/>
      <c r="N82" s="2409"/>
      <c r="O82" s="2409"/>
      <c r="P82" s="2409"/>
      <c r="Q82" s="2409"/>
      <c r="R82" s="2409"/>
      <c r="S82" s="2409"/>
      <c r="T82" s="2409"/>
      <c r="U82" s="2409"/>
      <c r="V82" s="980"/>
    </row>
    <row r="83" spans="1:22" ht="5.0999999999999996" customHeight="1">
      <c r="A83" s="784"/>
      <c r="C83" s="773"/>
      <c r="D83" s="773"/>
      <c r="F83" s="773"/>
      <c r="G83" s="792"/>
      <c r="I83" s="611"/>
      <c r="K83" s="792"/>
      <c r="L83" s="799"/>
      <c r="M83" s="799"/>
      <c r="N83" s="799"/>
      <c r="O83" s="799"/>
      <c r="R83" s="611"/>
      <c r="V83" s="783"/>
    </row>
    <row r="84" spans="1:22" ht="18" customHeight="1">
      <c r="A84" s="784"/>
      <c r="B84" s="883"/>
      <c r="F84" s="776" t="s">
        <v>622</v>
      </c>
      <c r="G84" s="2406"/>
      <c r="H84" s="2407"/>
      <c r="I84" s="2407"/>
      <c r="J84" s="2407"/>
      <c r="K84" s="2407"/>
      <c r="L84" s="2407"/>
      <c r="M84" s="2407"/>
      <c r="N84" s="2407"/>
      <c r="O84" s="2408"/>
      <c r="P84" s="892"/>
      <c r="Q84" s="892"/>
      <c r="R84" s="776" t="s">
        <v>623</v>
      </c>
      <c r="S84" s="2456"/>
      <c r="T84" s="2457"/>
      <c r="U84" s="890" t="s">
        <v>624</v>
      </c>
      <c r="V84" s="783"/>
    </row>
    <row r="85" spans="1:22" ht="5.0999999999999996" customHeight="1">
      <c r="A85" s="784"/>
      <c r="C85" s="792"/>
      <c r="D85" s="792"/>
      <c r="E85" s="881"/>
      <c r="P85" s="892"/>
      <c r="Q85" s="611"/>
      <c r="R85" s="882"/>
      <c r="V85" s="783"/>
    </row>
    <row r="86" spans="1:22" ht="18" customHeight="1">
      <c r="A86" s="784"/>
      <c r="C86" s="773"/>
      <c r="F86" s="776" t="s">
        <v>625</v>
      </c>
      <c r="G86" s="2406"/>
      <c r="H86" s="2407"/>
      <c r="I86" s="2407"/>
      <c r="J86" s="2407"/>
      <c r="K86" s="2407"/>
      <c r="L86" s="2407"/>
      <c r="M86" s="2407"/>
      <c r="N86" s="2407"/>
      <c r="O86" s="2407"/>
      <c r="P86" s="2407"/>
      <c r="Q86" s="2407"/>
      <c r="R86" s="2407"/>
      <c r="S86" s="2407"/>
      <c r="T86" s="2408"/>
      <c r="V86" s="783"/>
    </row>
    <row r="87" spans="1:22" ht="5.0999999999999996" customHeight="1">
      <c r="A87" s="784"/>
      <c r="C87" s="773"/>
      <c r="J87" s="776"/>
      <c r="K87" s="776"/>
      <c r="V87" s="783"/>
    </row>
    <row r="88" spans="1:22" ht="18" customHeight="1">
      <c r="A88" s="784"/>
      <c r="C88" s="773"/>
      <c r="F88" s="776" t="s">
        <v>626</v>
      </c>
      <c r="G88" s="2412"/>
      <c r="H88" s="2413"/>
      <c r="I88" s="2413"/>
      <c r="J88" s="2413"/>
      <c r="K88" s="2413"/>
      <c r="L88" s="2413"/>
      <c r="M88" s="2413"/>
      <c r="N88" s="2413"/>
      <c r="O88" s="2413"/>
      <c r="P88" s="2413"/>
      <c r="Q88" s="2413"/>
      <c r="R88" s="2413"/>
      <c r="S88" s="2413"/>
      <c r="T88" s="2414"/>
      <c r="U88" s="892"/>
      <c r="V88" s="783"/>
    </row>
    <row r="89" spans="1:22" ht="5.0999999999999996" customHeight="1">
      <c r="A89" s="784"/>
      <c r="C89" s="773"/>
      <c r="U89" s="892"/>
      <c r="V89" s="783"/>
    </row>
    <row r="90" spans="1:22" ht="18" customHeight="1">
      <c r="A90" s="784"/>
      <c r="D90" s="774"/>
      <c r="F90" s="1110" t="s">
        <v>627</v>
      </c>
      <c r="G90" s="2412"/>
      <c r="H90" s="2413"/>
      <c r="I90" s="2413"/>
      <c r="J90" s="2413"/>
      <c r="K90" s="2413"/>
      <c r="L90" s="2413"/>
      <c r="M90" s="2413"/>
      <c r="N90" s="2413"/>
      <c r="O90" s="2413"/>
      <c r="P90" s="2413"/>
      <c r="Q90" s="2413"/>
      <c r="R90" s="2413"/>
      <c r="S90" s="2413"/>
      <c r="T90" s="2414"/>
      <c r="U90" s="892"/>
      <c r="V90" s="783"/>
    </row>
    <row r="91" spans="1:22" ht="5.0999999999999996" customHeight="1">
      <c r="A91" s="784"/>
      <c r="C91" s="773"/>
      <c r="U91" s="892"/>
      <c r="V91" s="783"/>
    </row>
    <row r="92" spans="1:22" ht="18" customHeight="1">
      <c r="A92" s="784"/>
      <c r="K92" s="776" t="s">
        <v>628</v>
      </c>
      <c r="L92" s="2410"/>
      <c r="M92" s="2411"/>
      <c r="N92" s="609" t="s">
        <v>629</v>
      </c>
      <c r="R92" s="776" t="s">
        <v>630</v>
      </c>
      <c r="S92" s="2417"/>
      <c r="T92" s="2418"/>
      <c r="U92" s="609" t="s">
        <v>629</v>
      </c>
      <c r="V92" s="783"/>
    </row>
    <row r="93" spans="1:22" ht="5.0999999999999996" customHeight="1">
      <c r="A93" s="784"/>
      <c r="C93" s="776"/>
      <c r="D93" s="776"/>
      <c r="G93" s="776"/>
      <c r="H93" s="776"/>
      <c r="I93" s="776"/>
      <c r="M93" s="881"/>
      <c r="R93" s="611"/>
      <c r="V93" s="783"/>
    </row>
    <row r="94" spans="1:22" ht="18" customHeight="1">
      <c r="A94" s="784"/>
      <c r="B94" s="2415" t="s">
        <v>631</v>
      </c>
      <c r="C94" s="2415"/>
      <c r="D94" s="2416"/>
      <c r="E94" s="913"/>
      <c r="K94" s="776" t="s">
        <v>632</v>
      </c>
      <c r="L94" s="2406"/>
      <c r="M94" s="2407"/>
      <c r="N94" s="2407"/>
      <c r="O94" s="2407"/>
      <c r="P94" s="2407"/>
      <c r="Q94" s="2407"/>
      <c r="R94" s="2407"/>
      <c r="S94" s="2407"/>
      <c r="T94" s="2407"/>
      <c r="U94" s="2408"/>
      <c r="V94" s="783"/>
    </row>
    <row r="95" spans="1:22" ht="5.0999999999999996" customHeight="1">
      <c r="A95" s="784"/>
      <c r="B95" s="2415"/>
      <c r="C95" s="2415"/>
      <c r="D95" s="2416"/>
      <c r="F95" s="773"/>
      <c r="G95" s="792"/>
      <c r="I95" s="611"/>
      <c r="K95" s="792"/>
      <c r="V95" s="783"/>
    </row>
    <row r="96" spans="1:22" ht="18" customHeight="1">
      <c r="A96" s="784"/>
      <c r="B96" s="2415"/>
      <c r="C96" s="2415"/>
      <c r="D96" s="2416"/>
      <c r="K96" s="776" t="s">
        <v>633</v>
      </c>
      <c r="L96" s="2406"/>
      <c r="M96" s="2407"/>
      <c r="N96" s="2407"/>
      <c r="O96" s="2407"/>
      <c r="P96" s="2407"/>
      <c r="Q96" s="2407"/>
      <c r="R96" s="2407"/>
      <c r="S96" s="2407"/>
      <c r="T96" s="2407"/>
      <c r="U96" s="2408"/>
      <c r="V96" s="783"/>
    </row>
    <row r="97" spans="1:22" ht="5.0999999999999996" customHeight="1">
      <c r="A97" s="784"/>
      <c r="B97" s="2415"/>
      <c r="C97" s="2415"/>
      <c r="D97" s="2416"/>
      <c r="F97" s="773"/>
      <c r="G97" s="792"/>
      <c r="I97" s="611"/>
      <c r="K97" s="792"/>
      <c r="V97" s="783"/>
    </row>
    <row r="98" spans="1:22" ht="18" customHeight="1">
      <c r="A98" s="784"/>
      <c r="B98" s="2415"/>
      <c r="C98" s="2415"/>
      <c r="D98" s="2416"/>
      <c r="E98" s="914"/>
      <c r="K98" s="776" t="s">
        <v>634</v>
      </c>
      <c r="L98" s="2406"/>
      <c r="M98" s="2407"/>
      <c r="N98" s="2407"/>
      <c r="O98" s="2407"/>
      <c r="P98" s="2407"/>
      <c r="Q98" s="2407"/>
      <c r="R98" s="2407"/>
      <c r="S98" s="2407"/>
      <c r="T98" s="2407"/>
      <c r="U98" s="2408"/>
      <c r="V98" s="783"/>
    </row>
    <row r="99" spans="1:22" ht="5.0999999999999996" customHeight="1">
      <c r="A99" s="784"/>
      <c r="D99" s="773"/>
      <c r="F99" s="773"/>
      <c r="G99" s="792"/>
      <c r="I99" s="611"/>
      <c r="K99" s="792"/>
      <c r="V99" s="783"/>
    </row>
    <row r="100" spans="1:22" ht="15.75" customHeight="1">
      <c r="A100" s="979"/>
      <c r="B100" s="2409" t="s">
        <v>635</v>
      </c>
      <c r="C100" s="2409"/>
      <c r="D100" s="2409"/>
      <c r="E100" s="2409"/>
      <c r="F100" s="2409"/>
      <c r="G100" s="2409"/>
      <c r="H100" s="2409"/>
      <c r="I100" s="2409"/>
      <c r="J100" s="2409"/>
      <c r="K100" s="2409"/>
      <c r="L100" s="2409"/>
      <c r="M100" s="2409"/>
      <c r="N100" s="2409"/>
      <c r="O100" s="2409"/>
      <c r="P100" s="2409"/>
      <c r="Q100" s="2409"/>
      <c r="R100" s="2409"/>
      <c r="S100" s="2409"/>
      <c r="T100" s="2409"/>
      <c r="U100" s="2409"/>
      <c r="V100" s="980"/>
    </row>
    <row r="101" spans="1:22" ht="5.0999999999999996" customHeight="1">
      <c r="A101" s="784"/>
      <c r="C101" s="773"/>
      <c r="D101" s="773"/>
      <c r="E101" s="773"/>
      <c r="F101" s="773"/>
      <c r="G101" s="792"/>
      <c r="I101" s="611"/>
      <c r="K101" s="792"/>
      <c r="R101" s="611"/>
      <c r="V101" s="783"/>
    </row>
    <row r="102" spans="1:22" ht="18" customHeight="1">
      <c r="A102" s="784"/>
      <c r="H102" s="776" t="s">
        <v>636</v>
      </c>
      <c r="I102" s="2406"/>
      <c r="J102" s="2407"/>
      <c r="K102" s="2407"/>
      <c r="L102" s="2407"/>
      <c r="M102" s="2407"/>
      <c r="N102" s="2407"/>
      <c r="O102" s="2407"/>
      <c r="P102" s="2407"/>
      <c r="Q102" s="2407"/>
      <c r="R102" s="2407"/>
      <c r="S102" s="2407"/>
      <c r="T102" s="2407"/>
      <c r="U102" s="2408"/>
      <c r="V102" s="783"/>
    </row>
    <row r="103" spans="1:22" ht="5.0999999999999996" customHeight="1">
      <c r="A103" s="784"/>
      <c r="D103" s="773"/>
      <c r="F103" s="773"/>
      <c r="G103" s="792"/>
      <c r="I103" s="611"/>
      <c r="K103" s="792"/>
      <c r="R103" s="611"/>
      <c r="V103" s="783"/>
    </row>
    <row r="104" spans="1:22" ht="18" customHeight="1">
      <c r="A104" s="784"/>
      <c r="H104" s="776" t="s">
        <v>637</v>
      </c>
      <c r="I104" s="2406"/>
      <c r="J104" s="2407"/>
      <c r="K104" s="2407"/>
      <c r="L104" s="2407"/>
      <c r="M104" s="2407"/>
      <c r="N104" s="2407"/>
      <c r="O104" s="2407"/>
      <c r="P104" s="2407"/>
      <c r="Q104" s="2407"/>
      <c r="R104" s="2407"/>
      <c r="S104" s="2407"/>
      <c r="T104" s="2407"/>
      <c r="U104" s="2408"/>
      <c r="V104" s="783"/>
    </row>
    <row r="105" spans="1:22" ht="5.0999999999999996" customHeight="1">
      <c r="A105" s="784"/>
      <c r="D105" s="773"/>
      <c r="F105" s="773"/>
      <c r="G105" s="792"/>
      <c r="I105" s="611"/>
      <c r="K105" s="792"/>
      <c r="R105" s="611"/>
      <c r="V105" s="783"/>
    </row>
    <row r="106" spans="1:22" ht="18" customHeight="1">
      <c r="A106" s="784"/>
      <c r="H106" s="776" t="s">
        <v>638</v>
      </c>
      <c r="I106" s="2406"/>
      <c r="J106" s="2407"/>
      <c r="K106" s="2407"/>
      <c r="L106" s="2407"/>
      <c r="M106" s="2407"/>
      <c r="N106" s="2407"/>
      <c r="O106" s="2407"/>
      <c r="P106" s="2407"/>
      <c r="Q106" s="2407"/>
      <c r="R106" s="2407"/>
      <c r="S106" s="2407"/>
      <c r="T106" s="2407"/>
      <c r="U106" s="2408"/>
      <c r="V106" s="783"/>
    </row>
    <row r="107" spans="1:22" ht="5.0999999999999996" customHeight="1">
      <c r="A107" s="784"/>
      <c r="D107" s="773"/>
      <c r="F107" s="773"/>
      <c r="G107" s="792"/>
      <c r="I107" s="611"/>
      <c r="K107" s="792"/>
      <c r="R107" s="611"/>
      <c r="V107" s="783"/>
    </row>
    <row r="108" spans="1:22" ht="18" customHeight="1">
      <c r="A108" s="784"/>
      <c r="H108" s="776" t="s">
        <v>639</v>
      </c>
      <c r="I108" s="2406"/>
      <c r="J108" s="2407"/>
      <c r="K108" s="2407"/>
      <c r="L108" s="2407"/>
      <c r="M108" s="2407"/>
      <c r="N108" s="2407"/>
      <c r="O108" s="2407"/>
      <c r="P108" s="2407"/>
      <c r="Q108" s="2407"/>
      <c r="R108" s="2407"/>
      <c r="S108" s="2407"/>
      <c r="T108" s="2407"/>
      <c r="U108" s="2408"/>
      <c r="V108" s="783"/>
    </row>
    <row r="109" spans="1:22" ht="5.0999999999999996" customHeight="1">
      <c r="A109" s="784"/>
      <c r="G109" s="792"/>
      <c r="R109" s="611"/>
      <c r="V109" s="783"/>
    </row>
    <row r="110" spans="1:22" ht="18" customHeight="1">
      <c r="A110" s="784"/>
      <c r="E110" s="611"/>
      <c r="F110" s="792"/>
      <c r="G110" s="611"/>
      <c r="H110" s="776" t="s">
        <v>640</v>
      </c>
      <c r="I110" s="2406"/>
      <c r="J110" s="2407"/>
      <c r="K110" s="2407"/>
      <c r="L110" s="2407"/>
      <c r="M110" s="2407"/>
      <c r="N110" s="2407"/>
      <c r="O110" s="2407"/>
      <c r="P110" s="2407"/>
      <c r="Q110" s="2407"/>
      <c r="R110" s="2407"/>
      <c r="S110" s="2407"/>
      <c r="T110" s="2407"/>
      <c r="U110" s="2408"/>
      <c r="V110" s="783"/>
    </row>
    <row r="111" spans="1:22" ht="5.0999999999999996" customHeight="1">
      <c r="A111" s="784"/>
      <c r="E111" s="611"/>
      <c r="G111" s="611"/>
      <c r="K111" s="611"/>
      <c r="M111" s="611"/>
      <c r="V111" s="783"/>
    </row>
    <row r="112" spans="1:22" ht="17.25" customHeight="1">
      <c r="A112" s="784"/>
      <c r="B112" s="776" t="s">
        <v>641</v>
      </c>
      <c r="C112" s="2419"/>
      <c r="D112" s="2420"/>
      <c r="E112" s="2420"/>
      <c r="F112" s="2420"/>
      <c r="G112" s="2420"/>
      <c r="H112" s="2420"/>
      <c r="I112" s="2420"/>
      <c r="J112" s="2420"/>
      <c r="K112" s="2420"/>
      <c r="L112" s="2420"/>
      <c r="M112" s="2420"/>
      <c r="N112" s="2420"/>
      <c r="O112" s="2420"/>
      <c r="P112" s="2420"/>
      <c r="Q112" s="2420"/>
      <c r="R112" s="2420"/>
      <c r="S112" s="2420"/>
      <c r="T112" s="2420"/>
      <c r="U112" s="2421"/>
      <c r="V112" s="783"/>
    </row>
    <row r="113" spans="1:22" ht="18" customHeight="1">
      <c r="A113" s="784"/>
      <c r="C113" s="2422"/>
      <c r="D113" s="2423"/>
      <c r="E113" s="2423"/>
      <c r="F113" s="2423"/>
      <c r="G113" s="2423"/>
      <c r="H113" s="2423"/>
      <c r="I113" s="2423"/>
      <c r="J113" s="2423"/>
      <c r="K113" s="2423"/>
      <c r="L113" s="2423"/>
      <c r="M113" s="2423"/>
      <c r="N113" s="2423"/>
      <c r="O113" s="2423"/>
      <c r="P113" s="2423"/>
      <c r="Q113" s="2423"/>
      <c r="R113" s="2423"/>
      <c r="S113" s="2423"/>
      <c r="T113" s="2423"/>
      <c r="U113" s="2424"/>
      <c r="V113" s="783"/>
    </row>
    <row r="114" spans="1:22" ht="6" customHeight="1" thickBot="1">
      <c r="A114" s="791"/>
      <c r="B114" s="891"/>
      <c r="C114" s="891"/>
      <c r="D114" s="893"/>
      <c r="E114" s="893"/>
      <c r="F114" s="894"/>
      <c r="G114" s="1105"/>
      <c r="H114" s="891"/>
      <c r="I114" s="894"/>
      <c r="J114" s="891"/>
      <c r="K114" s="891"/>
      <c r="L114" s="891"/>
      <c r="M114" s="891"/>
      <c r="N114" s="891"/>
      <c r="O114" s="891"/>
      <c r="P114" s="891"/>
      <c r="Q114" s="891"/>
      <c r="R114" s="891"/>
      <c r="S114" s="891"/>
      <c r="T114" s="891"/>
      <c r="U114" s="891"/>
      <c r="V114" s="1103"/>
    </row>
    <row r="115" spans="1:22">
      <c r="D115" s="776"/>
      <c r="E115" s="776"/>
      <c r="F115" s="611"/>
      <c r="G115" s="792"/>
      <c r="I115" s="611"/>
    </row>
    <row r="116" spans="1:22">
      <c r="D116" s="776"/>
      <c r="E116" s="776"/>
      <c r="F116" s="611"/>
      <c r="G116" s="792"/>
      <c r="I116" s="611"/>
    </row>
    <row r="117" spans="1:22">
      <c r="D117" s="776"/>
      <c r="E117" s="776"/>
      <c r="F117" s="611"/>
      <c r="G117" s="792"/>
      <c r="I117" s="611"/>
    </row>
    <row r="118" spans="1:22">
      <c r="E118" s="776"/>
      <c r="F118" s="611"/>
      <c r="G118" s="792"/>
      <c r="I118" s="611"/>
    </row>
    <row r="119" spans="1:22">
      <c r="D119" s="776"/>
      <c r="E119" s="776"/>
      <c r="F119" s="611"/>
      <c r="G119" s="792"/>
      <c r="I119" s="611"/>
    </row>
    <row r="120" spans="1:22">
      <c r="D120" s="776"/>
      <c r="E120" s="776"/>
      <c r="F120" s="611"/>
      <c r="G120" s="792"/>
      <c r="I120" s="611"/>
    </row>
    <row r="121" spans="1:22">
      <c r="D121" s="776"/>
      <c r="E121" s="611"/>
      <c r="F121" s="792"/>
      <c r="I121" s="792"/>
      <c r="K121" s="792"/>
      <c r="L121" s="792"/>
      <c r="M121" s="792"/>
    </row>
    <row r="122" spans="1:22">
      <c r="E122" s="611"/>
      <c r="G122" s="611"/>
      <c r="I122" s="611"/>
      <c r="K122" s="792"/>
      <c r="L122" s="792"/>
      <c r="M122" s="792"/>
    </row>
    <row r="123" spans="1:22">
      <c r="C123" s="773"/>
      <c r="E123" s="611"/>
      <c r="F123" s="792"/>
      <c r="G123" s="611"/>
      <c r="I123" s="611"/>
      <c r="J123" s="792"/>
      <c r="K123" s="611"/>
      <c r="M123" s="611"/>
      <c r="N123" s="792"/>
      <c r="T123" s="611"/>
    </row>
    <row r="124" spans="1:22">
      <c r="C124" s="633"/>
      <c r="E124" s="611"/>
      <c r="F124" s="880"/>
      <c r="G124" s="611"/>
      <c r="I124" s="611"/>
      <c r="J124" s="881"/>
      <c r="M124" s="611"/>
      <c r="N124" s="792"/>
    </row>
    <row r="125" spans="1:22">
      <c r="C125" s="773"/>
      <c r="F125" s="776"/>
      <c r="G125" s="611"/>
      <c r="H125" s="776"/>
      <c r="I125" s="611"/>
      <c r="J125" s="776"/>
      <c r="K125" s="611"/>
      <c r="L125" s="776"/>
      <c r="M125" s="776"/>
      <c r="N125" s="611"/>
      <c r="O125" s="776"/>
    </row>
    <row r="126" spans="1:22">
      <c r="G126" s="611"/>
      <c r="I126" s="611"/>
      <c r="K126" s="611"/>
    </row>
    <row r="127" spans="1:22">
      <c r="G127" s="611"/>
      <c r="I127" s="611"/>
      <c r="K127" s="611"/>
    </row>
    <row r="128" spans="1:22">
      <c r="G128" s="611"/>
      <c r="I128" s="611"/>
      <c r="K128" s="611"/>
    </row>
    <row r="129" spans="3:11">
      <c r="G129" s="611"/>
      <c r="I129" s="611"/>
      <c r="K129" s="611"/>
    </row>
    <row r="130" spans="3:11">
      <c r="G130" s="611"/>
      <c r="I130" s="611"/>
      <c r="K130" s="611"/>
    </row>
    <row r="131" spans="3:11">
      <c r="C131" s="773"/>
      <c r="G131" s="611"/>
      <c r="I131" s="611"/>
      <c r="K131" s="611"/>
    </row>
    <row r="132" spans="3:11">
      <c r="G132" s="611"/>
      <c r="I132" s="611"/>
      <c r="K132" s="611"/>
    </row>
    <row r="133" spans="3:11">
      <c r="G133" s="611"/>
      <c r="I133" s="611"/>
      <c r="K133" s="611"/>
    </row>
    <row r="134" spans="3:11">
      <c r="G134" s="611"/>
      <c r="I134" s="611"/>
      <c r="K134" s="611"/>
    </row>
    <row r="135" spans="3:11">
      <c r="G135" s="611"/>
      <c r="I135" s="611"/>
      <c r="K135" s="611"/>
    </row>
    <row r="136" spans="3:11">
      <c r="G136" s="611"/>
      <c r="I136" s="611"/>
      <c r="K136" s="611"/>
    </row>
    <row r="137" spans="3:11">
      <c r="G137" s="611"/>
      <c r="I137" s="611"/>
      <c r="K137" s="611"/>
    </row>
    <row r="138" spans="3:11">
      <c r="G138" s="611"/>
      <c r="I138" s="611"/>
      <c r="K138" s="611"/>
    </row>
    <row r="139" spans="3:11">
      <c r="G139" s="611"/>
      <c r="I139" s="611"/>
      <c r="K139" s="611"/>
    </row>
    <row r="140" spans="3:11">
      <c r="G140" s="611"/>
      <c r="I140" s="611"/>
      <c r="K140" s="611"/>
    </row>
    <row r="141" spans="3:11">
      <c r="G141" s="611"/>
      <c r="I141" s="611"/>
      <c r="K141" s="611"/>
    </row>
    <row r="142" spans="3:11">
      <c r="G142" s="611"/>
      <c r="I142" s="611"/>
      <c r="K142" s="611"/>
    </row>
    <row r="143" spans="3:11">
      <c r="G143" s="611"/>
      <c r="I143" s="611"/>
      <c r="K143" s="611"/>
    </row>
    <row r="144" spans="3:11">
      <c r="G144" s="611"/>
      <c r="I144" s="611"/>
      <c r="K144" s="611"/>
    </row>
    <row r="145" spans="7:11">
      <c r="G145" s="611"/>
      <c r="I145" s="611"/>
      <c r="K145" s="611"/>
    </row>
    <row r="146" spans="7:11">
      <c r="G146" s="611"/>
      <c r="I146" s="611"/>
      <c r="K146" s="611"/>
    </row>
    <row r="147" spans="7:11">
      <c r="G147" s="611"/>
      <c r="I147" s="611"/>
      <c r="K147" s="611"/>
    </row>
    <row r="148" spans="7:11">
      <c r="G148" s="611"/>
      <c r="I148" s="611"/>
      <c r="K148" s="611"/>
    </row>
    <row r="149" spans="7:11">
      <c r="G149" s="611"/>
      <c r="I149" s="611"/>
      <c r="K149" s="611"/>
    </row>
    <row r="150" spans="7:11">
      <c r="G150" s="611"/>
      <c r="I150" s="611"/>
      <c r="K150" s="611"/>
    </row>
    <row r="151" spans="7:11">
      <c r="G151" s="611"/>
      <c r="I151" s="611"/>
      <c r="K151" s="611"/>
    </row>
    <row r="152" spans="7:11">
      <c r="G152" s="611"/>
      <c r="I152" s="611"/>
      <c r="K152" s="611"/>
    </row>
    <row r="153" spans="7:11">
      <c r="G153" s="611"/>
      <c r="I153" s="611"/>
      <c r="K153" s="611"/>
    </row>
    <row r="154" spans="7:11">
      <c r="G154" s="611"/>
      <c r="I154" s="611"/>
      <c r="K154" s="611"/>
    </row>
    <row r="155" spans="7:11">
      <c r="G155" s="611"/>
      <c r="I155" s="611"/>
      <c r="K155" s="611"/>
    </row>
    <row r="156" spans="7:11">
      <c r="G156" s="611"/>
      <c r="I156" s="611"/>
      <c r="K156" s="611"/>
    </row>
    <row r="157" spans="7:11">
      <c r="G157" s="611"/>
      <c r="I157" s="611"/>
      <c r="K157" s="611"/>
    </row>
    <row r="158" spans="7:11">
      <c r="G158" s="611"/>
      <c r="I158" s="611"/>
      <c r="K158" s="611"/>
    </row>
    <row r="159" spans="7:11">
      <c r="G159" s="611"/>
      <c r="I159" s="611"/>
      <c r="K159" s="611"/>
    </row>
    <row r="160" spans="7:11">
      <c r="G160" s="611"/>
      <c r="I160" s="611"/>
      <c r="K160" s="611"/>
    </row>
    <row r="161" spans="7:11">
      <c r="G161" s="611"/>
      <c r="I161" s="611"/>
      <c r="K161" s="611"/>
    </row>
    <row r="162" spans="7:11">
      <c r="G162" s="611"/>
      <c r="I162" s="611"/>
      <c r="K162" s="611"/>
    </row>
    <row r="163" spans="7:11">
      <c r="G163" s="611"/>
      <c r="I163" s="611"/>
      <c r="K163" s="611"/>
    </row>
    <row r="164" spans="7:11">
      <c r="G164" s="611"/>
      <c r="I164" s="611"/>
      <c r="K164" s="611"/>
    </row>
    <row r="165" spans="7:11">
      <c r="G165" s="611"/>
      <c r="I165" s="611"/>
      <c r="K165" s="611"/>
    </row>
    <row r="166" spans="7:11">
      <c r="G166" s="611"/>
      <c r="I166" s="611"/>
      <c r="K166" s="611"/>
    </row>
    <row r="167" spans="7:11">
      <c r="G167" s="611"/>
      <c r="I167" s="611"/>
      <c r="K167" s="611"/>
    </row>
    <row r="168" spans="7:11">
      <c r="G168" s="611"/>
      <c r="I168" s="611"/>
      <c r="K168" s="611"/>
    </row>
    <row r="169" spans="7:11">
      <c r="G169" s="611"/>
      <c r="I169" s="611"/>
      <c r="K169" s="611"/>
    </row>
    <row r="170" spans="7:11">
      <c r="G170" s="611"/>
      <c r="I170" s="611"/>
      <c r="K170" s="611"/>
    </row>
    <row r="171" spans="7:11">
      <c r="G171" s="611"/>
      <c r="I171" s="611"/>
      <c r="K171" s="611"/>
    </row>
    <row r="172" spans="7:11">
      <c r="G172" s="611"/>
      <c r="I172" s="611"/>
      <c r="K172" s="611"/>
    </row>
    <row r="173" spans="7:11">
      <c r="G173" s="611"/>
      <c r="I173" s="611"/>
      <c r="K173" s="611"/>
    </row>
    <row r="174" spans="7:11">
      <c r="G174" s="611"/>
      <c r="I174" s="611"/>
      <c r="K174" s="611"/>
    </row>
    <row r="175" spans="7:11">
      <c r="G175" s="611"/>
      <c r="I175" s="611"/>
      <c r="K175" s="611"/>
    </row>
    <row r="176" spans="7:11">
      <c r="G176" s="611"/>
      <c r="I176" s="611"/>
      <c r="K176" s="611"/>
    </row>
    <row r="177" spans="7:11">
      <c r="G177" s="611"/>
      <c r="I177" s="611"/>
      <c r="K177" s="611"/>
    </row>
    <row r="178" spans="7:11">
      <c r="G178" s="611"/>
      <c r="I178" s="611"/>
      <c r="K178" s="611"/>
    </row>
    <row r="179" spans="7:11">
      <c r="G179" s="611"/>
      <c r="I179" s="611"/>
      <c r="K179" s="611"/>
    </row>
    <row r="180" spans="7:11">
      <c r="G180" s="611"/>
      <c r="I180" s="611"/>
      <c r="K180" s="611"/>
    </row>
    <row r="181" spans="7:11">
      <c r="G181" s="611"/>
      <c r="I181" s="611"/>
      <c r="K181" s="611"/>
    </row>
    <row r="182" spans="7:11">
      <c r="G182" s="611"/>
      <c r="I182" s="611"/>
      <c r="K182" s="611"/>
    </row>
    <row r="183" spans="7:11">
      <c r="G183" s="611"/>
      <c r="I183" s="611"/>
      <c r="K183" s="611"/>
    </row>
    <row r="184" spans="7:11">
      <c r="G184" s="611"/>
      <c r="I184" s="611"/>
      <c r="K184" s="611"/>
    </row>
    <row r="185" spans="7:11">
      <c r="G185" s="611"/>
      <c r="I185" s="611"/>
      <c r="K185" s="611"/>
    </row>
    <row r="186" spans="7:11">
      <c r="G186" s="611"/>
      <c r="I186" s="611"/>
      <c r="K186" s="611"/>
    </row>
    <row r="187" spans="7:11">
      <c r="G187" s="611"/>
      <c r="I187" s="611"/>
      <c r="K187" s="611"/>
    </row>
    <row r="188" spans="7:11">
      <c r="G188" s="611"/>
      <c r="I188" s="611"/>
      <c r="K188" s="611"/>
    </row>
    <row r="189" spans="7:11">
      <c r="G189" s="611"/>
      <c r="I189" s="611"/>
      <c r="K189" s="611"/>
    </row>
    <row r="190" spans="7:11">
      <c r="G190" s="611"/>
      <c r="I190" s="611"/>
      <c r="K190" s="611"/>
    </row>
    <row r="191" spans="7:11">
      <c r="G191" s="611"/>
      <c r="I191" s="611"/>
      <c r="K191" s="611"/>
    </row>
    <row r="192" spans="7:11">
      <c r="G192" s="611"/>
      <c r="I192" s="611"/>
      <c r="K192" s="611"/>
    </row>
    <row r="193" spans="7:11">
      <c r="G193" s="611"/>
      <c r="I193" s="611"/>
      <c r="K193" s="611"/>
    </row>
    <row r="194" spans="7:11">
      <c r="G194" s="611"/>
      <c r="I194" s="611"/>
      <c r="K194" s="611"/>
    </row>
    <row r="195" spans="7:11">
      <c r="G195" s="611"/>
      <c r="I195" s="611"/>
      <c r="K195" s="611"/>
    </row>
    <row r="196" spans="7:11">
      <c r="G196" s="611"/>
      <c r="I196" s="611"/>
      <c r="K196" s="611"/>
    </row>
    <row r="197" spans="7:11">
      <c r="G197" s="611"/>
      <c r="I197" s="611"/>
      <c r="K197" s="611"/>
    </row>
    <row r="198" spans="7:11">
      <c r="G198" s="611"/>
      <c r="I198" s="611"/>
      <c r="K198" s="611"/>
    </row>
    <row r="199" spans="7:11">
      <c r="G199" s="611"/>
      <c r="I199" s="611"/>
      <c r="K199" s="611"/>
    </row>
    <row r="200" spans="7:11">
      <c r="G200" s="611"/>
      <c r="I200" s="611"/>
      <c r="K200" s="611"/>
    </row>
    <row r="201" spans="7:11">
      <c r="G201" s="611"/>
      <c r="I201" s="611"/>
      <c r="K201" s="611"/>
    </row>
    <row r="202" spans="7:11">
      <c r="G202" s="611"/>
      <c r="I202" s="611"/>
      <c r="K202" s="611"/>
    </row>
    <row r="203" spans="7:11">
      <c r="G203" s="611"/>
      <c r="I203" s="611"/>
      <c r="K203" s="611"/>
    </row>
    <row r="204" spans="7:11">
      <c r="G204" s="611"/>
      <c r="I204" s="611"/>
      <c r="K204" s="611"/>
    </row>
    <row r="205" spans="7:11">
      <c r="G205" s="611"/>
      <c r="I205" s="611"/>
      <c r="K205" s="611"/>
    </row>
    <row r="206" spans="7:11">
      <c r="G206" s="611"/>
      <c r="I206" s="611"/>
      <c r="K206" s="611"/>
    </row>
    <row r="207" spans="7:11">
      <c r="G207" s="611"/>
      <c r="I207" s="611"/>
      <c r="K207" s="611"/>
    </row>
    <row r="208" spans="7:11">
      <c r="G208" s="611"/>
      <c r="I208" s="611"/>
      <c r="K208" s="611"/>
    </row>
    <row r="209" spans="7:11">
      <c r="G209" s="611"/>
      <c r="I209" s="611"/>
      <c r="K209" s="611"/>
    </row>
    <row r="210" spans="7:11">
      <c r="G210" s="611"/>
      <c r="I210" s="611"/>
      <c r="K210" s="611"/>
    </row>
    <row r="211" spans="7:11">
      <c r="G211" s="611"/>
      <c r="I211" s="611"/>
      <c r="K211" s="611"/>
    </row>
    <row r="212" spans="7:11">
      <c r="G212" s="611"/>
      <c r="I212" s="611"/>
      <c r="K212" s="611"/>
    </row>
    <row r="213" spans="7:11">
      <c r="G213" s="611"/>
      <c r="I213" s="611"/>
      <c r="K213" s="611"/>
    </row>
    <row r="214" spans="7:11">
      <c r="G214" s="611"/>
      <c r="I214" s="611"/>
      <c r="K214" s="611"/>
    </row>
    <row r="215" spans="7:11">
      <c r="G215" s="611"/>
      <c r="I215" s="611"/>
      <c r="K215" s="611"/>
    </row>
    <row r="216" spans="7:11">
      <c r="G216" s="611"/>
      <c r="I216" s="611"/>
      <c r="K216" s="611"/>
    </row>
    <row r="217" spans="7:11">
      <c r="G217" s="611"/>
      <c r="I217" s="611"/>
      <c r="K217" s="611"/>
    </row>
    <row r="218" spans="7:11">
      <c r="G218" s="611"/>
      <c r="I218" s="611"/>
      <c r="K218" s="611"/>
    </row>
    <row r="219" spans="7:11">
      <c r="G219" s="611"/>
      <c r="I219" s="611"/>
      <c r="K219" s="611"/>
    </row>
    <row r="220" spans="7:11">
      <c r="G220" s="611"/>
      <c r="I220" s="611"/>
      <c r="K220" s="611"/>
    </row>
    <row r="221" spans="7:11">
      <c r="G221" s="611"/>
      <c r="I221" s="611"/>
      <c r="K221" s="611"/>
    </row>
    <row r="222" spans="7:11">
      <c r="G222" s="611"/>
      <c r="I222" s="611"/>
      <c r="K222" s="611"/>
    </row>
    <row r="223" spans="7:11">
      <c r="G223" s="611"/>
      <c r="I223" s="611"/>
      <c r="K223" s="611"/>
    </row>
    <row r="224" spans="7:11">
      <c r="G224" s="611"/>
      <c r="I224" s="611"/>
      <c r="K224" s="611"/>
    </row>
    <row r="225" spans="7:11">
      <c r="G225" s="611"/>
      <c r="I225" s="611"/>
      <c r="K225" s="611"/>
    </row>
    <row r="226" spans="7:11">
      <c r="G226" s="611"/>
      <c r="I226" s="611"/>
      <c r="K226" s="611"/>
    </row>
    <row r="227" spans="7:11">
      <c r="G227" s="611"/>
      <c r="I227" s="611"/>
      <c r="K227" s="611"/>
    </row>
    <row r="228" spans="7:11">
      <c r="G228" s="611"/>
      <c r="I228" s="611"/>
      <c r="K228" s="611"/>
    </row>
    <row r="229" spans="7:11">
      <c r="G229" s="611"/>
      <c r="I229" s="611"/>
      <c r="K229" s="611"/>
    </row>
    <row r="230" spans="7:11">
      <c r="G230" s="611"/>
      <c r="I230" s="611"/>
      <c r="K230" s="611"/>
    </row>
    <row r="231" spans="7:11">
      <c r="G231" s="611"/>
      <c r="I231" s="611"/>
      <c r="K231" s="611"/>
    </row>
    <row r="232" spans="7:11">
      <c r="G232" s="611"/>
      <c r="I232" s="611"/>
      <c r="K232" s="611"/>
    </row>
    <row r="233" spans="7:11">
      <c r="G233" s="611"/>
      <c r="I233" s="611"/>
      <c r="K233" s="611"/>
    </row>
    <row r="234" spans="7:11">
      <c r="G234" s="611"/>
      <c r="I234" s="611"/>
      <c r="K234" s="611"/>
    </row>
    <row r="235" spans="7:11">
      <c r="G235" s="611"/>
      <c r="I235" s="611"/>
      <c r="K235" s="611"/>
    </row>
    <row r="236" spans="7:11">
      <c r="G236" s="611"/>
      <c r="I236" s="611"/>
      <c r="K236" s="611"/>
    </row>
    <row r="237" spans="7:11">
      <c r="G237" s="611"/>
      <c r="I237" s="611"/>
      <c r="K237" s="611"/>
    </row>
    <row r="238" spans="7:11">
      <c r="G238" s="611"/>
      <c r="I238" s="611"/>
      <c r="K238" s="611"/>
    </row>
    <row r="239" spans="7:11">
      <c r="G239" s="611"/>
      <c r="I239" s="611"/>
      <c r="K239" s="611"/>
    </row>
    <row r="240" spans="7:11">
      <c r="G240" s="611"/>
      <c r="I240" s="611"/>
      <c r="K240" s="611"/>
    </row>
    <row r="241" spans="7:11">
      <c r="G241" s="611"/>
      <c r="I241" s="611"/>
      <c r="K241" s="611"/>
    </row>
    <row r="242" spans="7:11">
      <c r="G242" s="611"/>
      <c r="I242" s="611"/>
      <c r="K242" s="611"/>
    </row>
    <row r="243" spans="7:11">
      <c r="G243" s="611"/>
      <c r="I243" s="611"/>
      <c r="K243" s="611"/>
    </row>
    <row r="244" spans="7:11">
      <c r="G244" s="611"/>
      <c r="I244" s="611"/>
      <c r="K244" s="611"/>
    </row>
    <row r="245" spans="7:11">
      <c r="G245" s="611"/>
      <c r="I245" s="611"/>
      <c r="K245" s="611"/>
    </row>
    <row r="246" spans="7:11">
      <c r="G246" s="611"/>
      <c r="I246" s="611"/>
      <c r="K246" s="611"/>
    </row>
    <row r="247" spans="7:11">
      <c r="G247" s="611"/>
      <c r="I247" s="611"/>
      <c r="K247" s="611"/>
    </row>
    <row r="248" spans="7:11">
      <c r="G248" s="611"/>
      <c r="I248" s="611"/>
      <c r="K248" s="611"/>
    </row>
    <row r="249" spans="7:11">
      <c r="G249" s="611"/>
      <c r="I249" s="611"/>
      <c r="K249" s="611"/>
    </row>
    <row r="250" spans="7:11">
      <c r="G250" s="611"/>
      <c r="I250" s="611"/>
      <c r="K250" s="611"/>
    </row>
    <row r="251" spans="7:11">
      <c r="G251" s="611"/>
      <c r="I251" s="611"/>
      <c r="K251" s="611"/>
    </row>
    <row r="252" spans="7:11">
      <c r="G252" s="611"/>
      <c r="I252" s="611"/>
      <c r="K252" s="611"/>
    </row>
    <row r="253" spans="7:11">
      <c r="G253" s="611"/>
      <c r="I253" s="611"/>
      <c r="K253" s="611"/>
    </row>
    <row r="254" spans="7:11">
      <c r="G254" s="611"/>
      <c r="I254" s="611"/>
      <c r="K254" s="611"/>
    </row>
    <row r="255" spans="7:11">
      <c r="G255" s="611"/>
      <c r="I255" s="611"/>
      <c r="K255" s="611"/>
    </row>
    <row r="256" spans="7:11">
      <c r="G256" s="611"/>
      <c r="I256" s="611"/>
      <c r="K256" s="611"/>
    </row>
    <row r="257" spans="7:11">
      <c r="G257" s="611"/>
      <c r="I257" s="611"/>
      <c r="K257" s="611"/>
    </row>
    <row r="258" spans="7:11">
      <c r="G258" s="611"/>
      <c r="I258" s="611"/>
      <c r="K258" s="611"/>
    </row>
    <row r="259" spans="7:11">
      <c r="G259" s="611"/>
      <c r="I259" s="611"/>
      <c r="K259" s="611"/>
    </row>
    <row r="260" spans="7:11">
      <c r="G260" s="611"/>
      <c r="I260" s="611"/>
      <c r="K260" s="611"/>
    </row>
    <row r="261" spans="7:11">
      <c r="G261" s="611"/>
      <c r="I261" s="611"/>
      <c r="K261" s="611"/>
    </row>
    <row r="262" spans="7:11">
      <c r="G262" s="611"/>
      <c r="I262" s="611"/>
      <c r="K262" s="611"/>
    </row>
    <row r="263" spans="7:11">
      <c r="G263" s="611"/>
      <c r="I263" s="611"/>
      <c r="K263" s="611"/>
    </row>
    <row r="264" spans="7:11">
      <c r="G264" s="611"/>
      <c r="I264" s="611"/>
      <c r="K264" s="611"/>
    </row>
    <row r="265" spans="7:11">
      <c r="G265" s="611"/>
      <c r="I265" s="611"/>
      <c r="K265" s="611"/>
    </row>
    <row r="266" spans="7:11">
      <c r="G266" s="611"/>
      <c r="I266" s="611"/>
      <c r="K266" s="611"/>
    </row>
    <row r="267" spans="7:11">
      <c r="G267" s="611"/>
      <c r="I267" s="611"/>
      <c r="K267" s="611"/>
    </row>
    <row r="268" spans="7:11">
      <c r="G268" s="611"/>
      <c r="I268" s="611"/>
      <c r="K268" s="611"/>
    </row>
    <row r="269" spans="7:11">
      <c r="G269" s="611"/>
      <c r="I269" s="611"/>
      <c r="K269" s="611"/>
    </row>
    <row r="270" spans="7:11">
      <c r="G270" s="611"/>
      <c r="I270" s="611"/>
      <c r="K270" s="611"/>
    </row>
    <row r="271" spans="7:11">
      <c r="G271" s="611"/>
      <c r="I271" s="611"/>
      <c r="K271" s="611"/>
    </row>
    <row r="272" spans="7:11">
      <c r="G272" s="611"/>
      <c r="I272" s="611"/>
      <c r="K272" s="611"/>
    </row>
    <row r="273" spans="7:11">
      <c r="G273" s="611"/>
      <c r="I273" s="611"/>
      <c r="K273" s="611"/>
    </row>
    <row r="274" spans="7:11">
      <c r="G274" s="611"/>
      <c r="I274" s="611"/>
      <c r="K274" s="611"/>
    </row>
    <row r="275" spans="7:11">
      <c r="G275" s="611"/>
      <c r="I275" s="611"/>
      <c r="K275" s="611"/>
    </row>
    <row r="276" spans="7:11">
      <c r="G276" s="611"/>
      <c r="I276" s="611"/>
      <c r="K276" s="611"/>
    </row>
    <row r="277" spans="7:11">
      <c r="G277" s="611"/>
      <c r="I277" s="611"/>
      <c r="K277" s="611"/>
    </row>
    <row r="278" spans="7:11">
      <c r="G278" s="611"/>
      <c r="I278" s="611"/>
      <c r="K278" s="611"/>
    </row>
    <row r="279" spans="7:11">
      <c r="G279" s="611"/>
      <c r="I279" s="611"/>
      <c r="K279" s="611"/>
    </row>
    <row r="280" spans="7:11">
      <c r="G280" s="611"/>
      <c r="I280" s="611"/>
      <c r="K280" s="611"/>
    </row>
    <row r="281" spans="7:11">
      <c r="G281" s="611"/>
      <c r="I281" s="611"/>
      <c r="K281" s="611"/>
    </row>
    <row r="282" spans="7:11">
      <c r="G282" s="611"/>
      <c r="I282" s="611"/>
      <c r="K282" s="611"/>
    </row>
    <row r="283" spans="7:11">
      <c r="G283" s="611"/>
      <c r="I283" s="611"/>
      <c r="K283" s="611"/>
    </row>
    <row r="284" spans="7:11">
      <c r="G284" s="611"/>
      <c r="I284" s="611"/>
      <c r="K284" s="611"/>
    </row>
    <row r="285" spans="7:11">
      <c r="G285" s="611"/>
      <c r="I285" s="611"/>
      <c r="K285" s="611"/>
    </row>
    <row r="286" spans="7:11">
      <c r="G286" s="611"/>
      <c r="I286" s="611"/>
      <c r="K286" s="611"/>
    </row>
    <row r="287" spans="7:11">
      <c r="G287" s="611"/>
      <c r="I287" s="611"/>
      <c r="K287" s="611"/>
    </row>
    <row r="288" spans="7:11">
      <c r="G288" s="611"/>
      <c r="I288" s="611"/>
      <c r="K288" s="611"/>
    </row>
    <row r="289" spans="7:11">
      <c r="G289" s="611"/>
      <c r="I289" s="611"/>
      <c r="K289" s="611"/>
    </row>
    <row r="290" spans="7:11">
      <c r="G290" s="611"/>
      <c r="I290" s="611"/>
      <c r="K290" s="611"/>
    </row>
    <row r="291" spans="7:11">
      <c r="G291" s="611"/>
      <c r="I291" s="611"/>
      <c r="K291" s="611"/>
    </row>
    <row r="292" spans="7:11">
      <c r="G292" s="611"/>
      <c r="I292" s="611"/>
      <c r="K292" s="611"/>
    </row>
    <row r="293" spans="7:11">
      <c r="G293" s="611"/>
      <c r="I293" s="611"/>
      <c r="K293" s="611"/>
    </row>
    <row r="294" spans="7:11">
      <c r="G294" s="611"/>
      <c r="I294" s="611"/>
      <c r="K294" s="611"/>
    </row>
    <row r="295" spans="7:11">
      <c r="G295" s="611"/>
      <c r="I295" s="611"/>
      <c r="K295" s="611"/>
    </row>
    <row r="296" spans="7:11">
      <c r="G296" s="611"/>
      <c r="I296" s="611"/>
      <c r="K296" s="611"/>
    </row>
    <row r="297" spans="7:11">
      <c r="G297" s="611"/>
      <c r="I297" s="611"/>
      <c r="K297" s="611"/>
    </row>
    <row r="298" spans="7:11">
      <c r="G298" s="611"/>
      <c r="I298" s="611"/>
      <c r="K298" s="611"/>
    </row>
    <row r="299" spans="7:11">
      <c r="G299" s="611"/>
      <c r="I299" s="611"/>
      <c r="K299" s="611"/>
    </row>
    <row r="300" spans="7:11">
      <c r="G300" s="611"/>
      <c r="I300" s="611"/>
      <c r="K300" s="611"/>
    </row>
    <row r="301" spans="7:11">
      <c r="G301" s="611"/>
      <c r="I301" s="611"/>
      <c r="K301" s="611"/>
    </row>
    <row r="302" spans="7:11">
      <c r="G302" s="611"/>
      <c r="I302" s="611"/>
      <c r="K302" s="611"/>
    </row>
    <row r="303" spans="7:11">
      <c r="G303" s="611"/>
      <c r="I303" s="611"/>
      <c r="K303" s="611"/>
    </row>
    <row r="304" spans="7:11">
      <c r="G304" s="611"/>
      <c r="I304" s="611"/>
      <c r="K304" s="611"/>
    </row>
    <row r="305" spans="7:11">
      <c r="G305" s="611"/>
      <c r="I305" s="611"/>
      <c r="K305" s="611"/>
    </row>
    <row r="306" spans="7:11">
      <c r="G306" s="611"/>
      <c r="I306" s="611"/>
      <c r="K306" s="611"/>
    </row>
    <row r="307" spans="7:11">
      <c r="G307" s="611"/>
      <c r="I307" s="611"/>
      <c r="K307" s="611"/>
    </row>
    <row r="308" spans="7:11">
      <c r="G308" s="611"/>
      <c r="I308" s="611"/>
      <c r="K308" s="611"/>
    </row>
    <row r="309" spans="7:11">
      <c r="G309" s="611"/>
      <c r="I309" s="611"/>
      <c r="K309" s="611"/>
    </row>
    <row r="310" spans="7:11">
      <c r="G310" s="611"/>
      <c r="I310" s="611"/>
      <c r="K310" s="611"/>
    </row>
    <row r="311" spans="7:11">
      <c r="G311" s="611"/>
      <c r="I311" s="611"/>
      <c r="K311" s="611"/>
    </row>
    <row r="312" spans="7:11">
      <c r="G312" s="611"/>
      <c r="I312" s="611"/>
      <c r="K312" s="611"/>
    </row>
    <row r="313" spans="7:11">
      <c r="G313" s="611"/>
      <c r="I313" s="611"/>
      <c r="K313" s="611"/>
    </row>
    <row r="314" spans="7:11">
      <c r="G314" s="611"/>
      <c r="I314" s="611"/>
      <c r="K314" s="611"/>
    </row>
    <row r="315" spans="7:11">
      <c r="G315" s="611"/>
      <c r="I315" s="611"/>
      <c r="K315" s="611"/>
    </row>
    <row r="316" spans="7:11">
      <c r="G316" s="611"/>
      <c r="I316" s="611"/>
      <c r="K316" s="611"/>
    </row>
    <row r="317" spans="7:11">
      <c r="G317" s="611"/>
      <c r="I317" s="611"/>
      <c r="K317" s="611"/>
    </row>
    <row r="318" spans="7:11">
      <c r="G318" s="611"/>
      <c r="I318" s="611"/>
      <c r="K318" s="611"/>
    </row>
    <row r="319" spans="7:11">
      <c r="G319" s="611"/>
      <c r="I319" s="611"/>
      <c r="K319" s="611"/>
    </row>
    <row r="320" spans="7:11">
      <c r="G320" s="611"/>
      <c r="I320" s="611"/>
      <c r="K320" s="611"/>
    </row>
    <row r="321" spans="7:11">
      <c r="G321" s="611"/>
      <c r="I321" s="611"/>
      <c r="K321" s="611"/>
    </row>
    <row r="322" spans="7:11">
      <c r="G322" s="611"/>
      <c r="I322" s="611"/>
      <c r="K322" s="611"/>
    </row>
    <row r="323" spans="7:11">
      <c r="G323" s="611"/>
      <c r="I323" s="611"/>
      <c r="K323" s="611"/>
    </row>
    <row r="324" spans="7:11">
      <c r="G324" s="611"/>
      <c r="I324" s="611"/>
      <c r="K324" s="611"/>
    </row>
    <row r="325" spans="7:11">
      <c r="G325" s="611"/>
      <c r="I325" s="611"/>
      <c r="K325" s="611"/>
    </row>
    <row r="326" spans="7:11">
      <c r="G326" s="611"/>
      <c r="I326" s="611"/>
      <c r="K326" s="611"/>
    </row>
    <row r="327" spans="7:11">
      <c r="G327" s="611"/>
      <c r="I327" s="611"/>
      <c r="K327" s="611"/>
    </row>
    <row r="328" spans="7:11">
      <c r="G328" s="611"/>
      <c r="I328" s="611"/>
      <c r="K328" s="611"/>
    </row>
    <row r="329" spans="7:11">
      <c r="G329" s="611"/>
      <c r="I329" s="611"/>
      <c r="K329" s="611"/>
    </row>
    <row r="330" spans="7:11">
      <c r="G330" s="611"/>
      <c r="I330" s="611"/>
      <c r="K330" s="611"/>
    </row>
    <row r="331" spans="7:11">
      <c r="G331" s="611"/>
      <c r="I331" s="611"/>
      <c r="K331" s="611"/>
    </row>
    <row r="332" spans="7:11">
      <c r="G332" s="611"/>
      <c r="I332" s="611"/>
      <c r="K332" s="611"/>
    </row>
    <row r="333" spans="7:11">
      <c r="G333" s="611"/>
      <c r="I333" s="611"/>
      <c r="K333" s="611"/>
    </row>
    <row r="334" spans="7:11">
      <c r="G334" s="611"/>
      <c r="I334" s="611"/>
      <c r="K334" s="611"/>
    </row>
    <row r="335" spans="7:11">
      <c r="G335" s="611"/>
      <c r="I335" s="611"/>
      <c r="K335" s="611"/>
    </row>
    <row r="336" spans="7:11">
      <c r="G336" s="611"/>
      <c r="I336" s="611"/>
      <c r="K336" s="611"/>
    </row>
    <row r="337" spans="7:11">
      <c r="G337" s="611"/>
      <c r="I337" s="611"/>
      <c r="K337" s="611"/>
    </row>
    <row r="338" spans="7:11">
      <c r="G338" s="611"/>
      <c r="I338" s="611"/>
      <c r="K338" s="611"/>
    </row>
    <row r="339" spans="7:11">
      <c r="G339" s="611"/>
      <c r="I339" s="611"/>
      <c r="K339" s="611"/>
    </row>
    <row r="340" spans="7:11">
      <c r="G340" s="611"/>
      <c r="I340" s="611"/>
      <c r="K340" s="611"/>
    </row>
    <row r="341" spans="7:11">
      <c r="G341" s="611"/>
      <c r="I341" s="611"/>
      <c r="K341" s="611"/>
    </row>
    <row r="342" spans="7:11">
      <c r="G342" s="611"/>
      <c r="I342" s="611"/>
      <c r="K342" s="611"/>
    </row>
    <row r="343" spans="7:11">
      <c r="G343" s="611"/>
      <c r="I343" s="611"/>
      <c r="K343" s="611"/>
    </row>
    <row r="344" spans="7:11">
      <c r="G344" s="611"/>
      <c r="I344" s="611"/>
      <c r="K344" s="611"/>
    </row>
    <row r="345" spans="7:11">
      <c r="G345" s="611"/>
      <c r="I345" s="611"/>
      <c r="K345" s="611"/>
    </row>
    <row r="346" spans="7:11">
      <c r="G346" s="611"/>
      <c r="I346" s="611"/>
      <c r="K346" s="611"/>
    </row>
    <row r="347" spans="7:11">
      <c r="G347" s="611"/>
      <c r="I347" s="611"/>
      <c r="K347" s="611"/>
    </row>
    <row r="348" spans="7:11">
      <c r="G348" s="611"/>
      <c r="I348" s="611"/>
      <c r="K348" s="611"/>
    </row>
    <row r="349" spans="7:11">
      <c r="G349" s="611"/>
      <c r="I349" s="611"/>
      <c r="K349" s="611"/>
    </row>
    <row r="350" spans="7:11">
      <c r="G350" s="611"/>
      <c r="I350" s="611"/>
      <c r="K350" s="611"/>
    </row>
    <row r="351" spans="7:11">
      <c r="G351" s="611"/>
      <c r="I351" s="611"/>
      <c r="K351" s="611"/>
    </row>
    <row r="352" spans="7:11">
      <c r="G352" s="611"/>
      <c r="I352" s="611"/>
      <c r="K352" s="611"/>
    </row>
    <row r="353" spans="7:11">
      <c r="G353" s="611"/>
      <c r="I353" s="611"/>
      <c r="K353" s="611"/>
    </row>
    <row r="354" spans="7:11">
      <c r="G354" s="611"/>
      <c r="I354" s="611"/>
      <c r="K354" s="611"/>
    </row>
    <row r="355" spans="7:11">
      <c r="G355" s="611"/>
      <c r="I355" s="611"/>
      <c r="K355" s="611"/>
    </row>
    <row r="356" spans="7:11">
      <c r="G356" s="611"/>
      <c r="I356" s="611"/>
      <c r="K356" s="611"/>
    </row>
    <row r="357" spans="7:11">
      <c r="G357" s="611"/>
      <c r="I357" s="611"/>
      <c r="K357" s="611"/>
    </row>
    <row r="358" spans="7:11">
      <c r="G358" s="611"/>
      <c r="I358" s="611"/>
      <c r="K358" s="611"/>
    </row>
    <row r="359" spans="7:11">
      <c r="G359" s="611"/>
      <c r="I359" s="611"/>
      <c r="K359" s="611"/>
    </row>
    <row r="360" spans="7:11">
      <c r="G360" s="611"/>
      <c r="I360" s="611"/>
      <c r="K360" s="611"/>
    </row>
    <row r="361" spans="7:11">
      <c r="G361" s="611"/>
      <c r="I361" s="611"/>
      <c r="K361" s="611"/>
    </row>
    <row r="362" spans="7:11">
      <c r="G362" s="611"/>
      <c r="I362" s="611"/>
      <c r="K362" s="611"/>
    </row>
    <row r="363" spans="7:11">
      <c r="G363" s="611"/>
      <c r="I363" s="611"/>
      <c r="K363" s="611"/>
    </row>
    <row r="364" spans="7:11">
      <c r="G364" s="611"/>
      <c r="I364" s="611"/>
      <c r="K364" s="611"/>
    </row>
    <row r="365" spans="7:11">
      <c r="G365" s="611"/>
      <c r="I365" s="611"/>
      <c r="K365" s="611"/>
    </row>
    <row r="366" spans="7:11">
      <c r="G366" s="611"/>
      <c r="I366" s="611"/>
      <c r="K366" s="611"/>
    </row>
    <row r="367" spans="7:11">
      <c r="G367" s="611"/>
      <c r="I367" s="611"/>
      <c r="K367" s="611"/>
    </row>
    <row r="368" spans="7:11">
      <c r="G368" s="611"/>
      <c r="I368" s="611"/>
      <c r="K368" s="611"/>
    </row>
    <row r="369" spans="7:11">
      <c r="G369" s="611"/>
      <c r="I369" s="611"/>
      <c r="K369" s="611"/>
    </row>
    <row r="370" spans="7:11">
      <c r="G370" s="611"/>
      <c r="I370" s="611"/>
      <c r="K370" s="611"/>
    </row>
    <row r="371" spans="7:11">
      <c r="G371" s="611"/>
      <c r="I371" s="611"/>
      <c r="K371" s="611"/>
    </row>
    <row r="372" spans="7:11">
      <c r="G372" s="611"/>
      <c r="I372" s="611"/>
      <c r="K372" s="611"/>
    </row>
    <row r="373" spans="7:11">
      <c r="G373" s="611"/>
      <c r="I373" s="611"/>
      <c r="K373" s="611"/>
    </row>
    <row r="374" spans="7:11">
      <c r="G374" s="611"/>
      <c r="I374" s="611"/>
      <c r="K374" s="611"/>
    </row>
    <row r="375" spans="7:11">
      <c r="G375" s="611"/>
      <c r="I375" s="611"/>
      <c r="K375" s="611"/>
    </row>
    <row r="376" spans="7:11">
      <c r="G376" s="611"/>
      <c r="I376" s="611"/>
      <c r="K376" s="611"/>
    </row>
    <row r="377" spans="7:11">
      <c r="G377" s="611"/>
      <c r="I377" s="611"/>
      <c r="K377" s="611"/>
    </row>
    <row r="378" spans="7:11">
      <c r="G378" s="611"/>
      <c r="I378" s="611"/>
      <c r="K378" s="611"/>
    </row>
    <row r="379" spans="7:11">
      <c r="G379" s="611"/>
      <c r="I379" s="611"/>
      <c r="K379" s="611"/>
    </row>
    <row r="380" spans="7:11">
      <c r="G380" s="611"/>
      <c r="I380" s="611"/>
      <c r="K380" s="611"/>
    </row>
    <row r="381" spans="7:11">
      <c r="G381" s="611"/>
      <c r="I381" s="611"/>
      <c r="K381" s="611"/>
    </row>
    <row r="382" spans="7:11">
      <c r="G382" s="611"/>
      <c r="I382" s="611"/>
      <c r="K382" s="611"/>
    </row>
    <row r="383" spans="7:11">
      <c r="G383" s="611"/>
      <c r="I383" s="611"/>
      <c r="K383" s="611"/>
    </row>
    <row r="384" spans="7:11">
      <c r="G384" s="611"/>
      <c r="I384" s="611"/>
      <c r="K384" s="611"/>
    </row>
    <row r="385" spans="7:11">
      <c r="G385" s="611"/>
      <c r="I385" s="611"/>
      <c r="K385" s="611"/>
    </row>
    <row r="386" spans="7:11">
      <c r="G386" s="611"/>
      <c r="I386" s="611"/>
      <c r="K386" s="611"/>
    </row>
    <row r="387" spans="7:11">
      <c r="G387" s="611"/>
      <c r="I387" s="611"/>
      <c r="K387" s="611"/>
    </row>
    <row r="388" spans="7:11">
      <c r="G388" s="611"/>
      <c r="I388" s="611"/>
      <c r="K388" s="611"/>
    </row>
    <row r="389" spans="7:11">
      <c r="G389" s="611"/>
      <c r="I389" s="611"/>
      <c r="K389" s="611"/>
    </row>
    <row r="390" spans="7:11">
      <c r="G390" s="611"/>
      <c r="I390" s="611"/>
      <c r="K390" s="611"/>
    </row>
    <row r="391" spans="7:11">
      <c r="G391" s="611"/>
      <c r="I391" s="611"/>
      <c r="K391" s="611"/>
    </row>
    <row r="392" spans="7:11">
      <c r="G392" s="611"/>
      <c r="I392" s="611"/>
      <c r="K392" s="611"/>
    </row>
    <row r="393" spans="7:11">
      <c r="G393" s="611"/>
      <c r="I393" s="611"/>
      <c r="K393" s="611"/>
    </row>
    <row r="394" spans="7:11">
      <c r="G394" s="611"/>
      <c r="I394" s="611"/>
      <c r="K394" s="611"/>
    </row>
    <row r="395" spans="7:11">
      <c r="G395" s="611"/>
      <c r="I395" s="611"/>
      <c r="K395" s="611"/>
    </row>
    <row r="396" spans="7:11">
      <c r="G396" s="611"/>
      <c r="I396" s="611"/>
      <c r="K396" s="611"/>
    </row>
    <row r="397" spans="7:11">
      <c r="G397" s="611"/>
      <c r="I397" s="611"/>
      <c r="K397" s="611"/>
    </row>
    <row r="398" spans="7:11">
      <c r="G398" s="611"/>
      <c r="I398" s="611"/>
      <c r="K398" s="611"/>
    </row>
    <row r="399" spans="7:11">
      <c r="G399" s="611"/>
      <c r="I399" s="611"/>
      <c r="K399" s="611"/>
    </row>
    <row r="400" spans="7:11">
      <c r="G400" s="611"/>
      <c r="I400" s="611"/>
      <c r="K400" s="611"/>
    </row>
    <row r="401" spans="7:11">
      <c r="G401" s="611"/>
      <c r="I401" s="611"/>
      <c r="K401" s="611"/>
    </row>
    <row r="402" spans="7:11">
      <c r="G402" s="611"/>
      <c r="I402" s="611"/>
      <c r="K402" s="611"/>
    </row>
    <row r="403" spans="7:11">
      <c r="G403" s="611"/>
      <c r="I403" s="611"/>
      <c r="K403" s="611"/>
    </row>
    <row r="404" spans="7:11">
      <c r="G404" s="611"/>
      <c r="I404" s="611"/>
      <c r="K404" s="611"/>
    </row>
    <row r="405" spans="7:11">
      <c r="G405" s="611"/>
      <c r="I405" s="611"/>
      <c r="K405" s="611"/>
    </row>
    <row r="406" spans="7:11">
      <c r="G406" s="611"/>
      <c r="I406" s="611"/>
      <c r="K406" s="611"/>
    </row>
    <row r="407" spans="7:11">
      <c r="G407" s="611"/>
      <c r="I407" s="611"/>
      <c r="K407" s="611"/>
    </row>
    <row r="408" spans="7:11">
      <c r="G408" s="611"/>
      <c r="I408" s="611"/>
      <c r="K408" s="611"/>
    </row>
    <row r="409" spans="7:11">
      <c r="G409" s="611"/>
      <c r="I409" s="611"/>
      <c r="K409" s="611"/>
    </row>
    <row r="410" spans="7:11">
      <c r="G410" s="611"/>
      <c r="I410" s="611"/>
      <c r="K410" s="611"/>
    </row>
    <row r="411" spans="7:11">
      <c r="G411" s="611"/>
      <c r="I411" s="611"/>
      <c r="K411" s="611"/>
    </row>
    <row r="412" spans="7:11">
      <c r="G412" s="611"/>
      <c r="I412" s="611"/>
      <c r="K412" s="611"/>
    </row>
    <row r="413" spans="7:11">
      <c r="G413" s="611"/>
      <c r="I413" s="611"/>
      <c r="K413" s="611"/>
    </row>
    <row r="414" spans="7:11">
      <c r="G414" s="611"/>
      <c r="I414" s="611"/>
      <c r="K414" s="611"/>
    </row>
    <row r="415" spans="7:11">
      <c r="G415" s="611"/>
      <c r="I415" s="611"/>
      <c r="K415" s="611"/>
    </row>
    <row r="416" spans="7:11">
      <c r="G416" s="611"/>
      <c r="I416" s="611"/>
      <c r="K416" s="611"/>
    </row>
    <row r="417" spans="7:11">
      <c r="G417" s="611"/>
      <c r="I417" s="611"/>
      <c r="K417" s="611"/>
    </row>
    <row r="418" spans="7:11">
      <c r="G418" s="611"/>
      <c r="I418" s="611"/>
      <c r="K418" s="611"/>
    </row>
    <row r="419" spans="7:11">
      <c r="G419" s="611"/>
      <c r="I419" s="611"/>
      <c r="K419" s="611"/>
    </row>
    <row r="420" spans="7:11">
      <c r="G420" s="611"/>
      <c r="I420" s="611"/>
      <c r="K420" s="611"/>
    </row>
    <row r="421" spans="7:11">
      <c r="G421" s="611"/>
      <c r="I421" s="611"/>
      <c r="K421" s="611"/>
    </row>
    <row r="422" spans="7:11">
      <c r="G422" s="611"/>
      <c r="I422" s="611"/>
      <c r="K422" s="611"/>
    </row>
    <row r="423" spans="7:11">
      <c r="G423" s="611"/>
      <c r="I423" s="611"/>
      <c r="K423" s="611"/>
    </row>
    <row r="424" spans="7:11">
      <c r="G424" s="611"/>
      <c r="I424" s="611"/>
      <c r="K424" s="611"/>
    </row>
    <row r="425" spans="7:11">
      <c r="G425" s="611"/>
      <c r="I425" s="611"/>
      <c r="K425" s="611"/>
    </row>
    <row r="426" spans="7:11">
      <c r="G426" s="611"/>
      <c r="I426" s="611"/>
      <c r="K426" s="611"/>
    </row>
    <row r="427" spans="7:11">
      <c r="G427" s="611"/>
      <c r="I427" s="611"/>
      <c r="K427" s="611"/>
    </row>
    <row r="428" spans="7:11">
      <c r="G428" s="611"/>
      <c r="I428" s="611"/>
      <c r="K428" s="611"/>
    </row>
    <row r="429" spans="7:11">
      <c r="G429" s="611"/>
      <c r="I429" s="611"/>
      <c r="K429" s="611"/>
    </row>
    <row r="430" spans="7:11">
      <c r="G430" s="611"/>
      <c r="I430" s="611"/>
      <c r="K430" s="611"/>
    </row>
    <row r="431" spans="7:11">
      <c r="G431" s="611"/>
      <c r="I431" s="611"/>
      <c r="K431" s="611"/>
    </row>
    <row r="432" spans="7:11">
      <c r="G432" s="611"/>
      <c r="I432" s="611"/>
      <c r="K432" s="611"/>
    </row>
    <row r="433" spans="7:11">
      <c r="G433" s="611"/>
      <c r="I433" s="611"/>
      <c r="K433" s="611"/>
    </row>
    <row r="434" spans="7:11">
      <c r="G434" s="611"/>
      <c r="I434" s="611"/>
      <c r="K434" s="611"/>
    </row>
    <row r="435" spans="7:11">
      <c r="G435" s="611"/>
      <c r="I435" s="611"/>
      <c r="K435" s="611"/>
    </row>
    <row r="436" spans="7:11">
      <c r="G436" s="611"/>
      <c r="I436" s="611"/>
      <c r="K436" s="611"/>
    </row>
    <row r="437" spans="7:11">
      <c r="G437" s="611"/>
      <c r="I437" s="611"/>
      <c r="K437" s="611"/>
    </row>
    <row r="438" spans="7:11">
      <c r="G438" s="611"/>
      <c r="I438" s="611"/>
      <c r="K438" s="611"/>
    </row>
    <row r="439" spans="7:11">
      <c r="G439" s="611"/>
      <c r="I439" s="611"/>
      <c r="K439" s="611"/>
    </row>
    <row r="440" spans="7:11">
      <c r="G440" s="611"/>
      <c r="I440" s="611"/>
      <c r="K440" s="611"/>
    </row>
    <row r="441" spans="7:11">
      <c r="G441" s="611"/>
      <c r="I441" s="611"/>
      <c r="K441" s="611"/>
    </row>
    <row r="442" spans="7:11">
      <c r="G442" s="611"/>
      <c r="I442" s="611"/>
      <c r="K442" s="611"/>
    </row>
    <row r="443" spans="7:11">
      <c r="G443" s="611"/>
      <c r="I443" s="611"/>
      <c r="K443" s="611"/>
    </row>
    <row r="444" spans="7:11">
      <c r="G444" s="611"/>
      <c r="I444" s="611"/>
      <c r="K444" s="611"/>
    </row>
    <row r="445" spans="7:11">
      <c r="G445" s="611"/>
      <c r="I445" s="611"/>
      <c r="K445" s="611"/>
    </row>
    <row r="446" spans="7:11">
      <c r="G446" s="611"/>
      <c r="I446" s="611"/>
      <c r="K446" s="611"/>
    </row>
    <row r="447" spans="7:11">
      <c r="G447" s="611"/>
      <c r="I447" s="611"/>
      <c r="K447" s="611"/>
    </row>
    <row r="448" spans="7:11">
      <c r="G448" s="611"/>
      <c r="I448" s="611"/>
      <c r="K448" s="611"/>
    </row>
    <row r="449" spans="7:11">
      <c r="G449" s="611"/>
      <c r="I449" s="611"/>
      <c r="K449" s="611"/>
    </row>
    <row r="450" spans="7:11">
      <c r="G450" s="611"/>
      <c r="I450" s="611"/>
      <c r="K450" s="611"/>
    </row>
    <row r="451" spans="7:11">
      <c r="G451" s="611"/>
      <c r="I451" s="611"/>
      <c r="K451" s="611"/>
    </row>
    <row r="452" spans="7:11">
      <c r="G452" s="611"/>
      <c r="I452" s="611"/>
      <c r="K452" s="611"/>
    </row>
    <row r="453" spans="7:11">
      <c r="G453" s="611"/>
      <c r="I453" s="611"/>
      <c r="K453" s="611"/>
    </row>
    <row r="454" spans="7:11">
      <c r="G454" s="611"/>
      <c r="I454" s="611"/>
      <c r="K454" s="611"/>
    </row>
    <row r="455" spans="7:11">
      <c r="G455" s="611"/>
      <c r="I455" s="611"/>
      <c r="K455" s="611"/>
    </row>
    <row r="456" spans="7:11">
      <c r="G456" s="611"/>
      <c r="I456" s="611"/>
      <c r="K456" s="611"/>
    </row>
    <row r="457" spans="7:11">
      <c r="G457" s="611"/>
      <c r="I457" s="611"/>
      <c r="K457" s="611"/>
    </row>
    <row r="458" spans="7:11">
      <c r="G458" s="611"/>
      <c r="I458" s="611"/>
      <c r="K458" s="611"/>
    </row>
    <row r="459" spans="7:11">
      <c r="G459" s="611"/>
      <c r="I459" s="611"/>
      <c r="K459" s="611"/>
    </row>
    <row r="460" spans="7:11">
      <c r="G460" s="611"/>
      <c r="I460" s="611"/>
      <c r="K460" s="611"/>
    </row>
    <row r="461" spans="7:11">
      <c r="G461" s="611"/>
      <c r="I461" s="611"/>
      <c r="K461" s="611"/>
    </row>
    <row r="462" spans="7:11">
      <c r="G462" s="611"/>
      <c r="I462" s="611"/>
      <c r="K462" s="611"/>
    </row>
    <row r="463" spans="7:11">
      <c r="G463" s="611"/>
      <c r="I463" s="611"/>
      <c r="K463" s="611"/>
    </row>
    <row r="464" spans="7:11">
      <c r="G464" s="611"/>
      <c r="I464" s="611"/>
      <c r="K464" s="611"/>
    </row>
    <row r="465" spans="7:11">
      <c r="G465" s="611"/>
      <c r="I465" s="611"/>
      <c r="K465" s="611"/>
    </row>
    <row r="466" spans="7:11">
      <c r="G466" s="611"/>
      <c r="I466" s="611"/>
      <c r="K466" s="611"/>
    </row>
    <row r="467" spans="7:11">
      <c r="G467" s="611"/>
      <c r="I467" s="611"/>
      <c r="K467" s="611"/>
    </row>
    <row r="468" spans="7:11">
      <c r="G468" s="611"/>
      <c r="I468" s="611"/>
      <c r="K468" s="611"/>
    </row>
    <row r="469" spans="7:11">
      <c r="G469" s="611"/>
      <c r="I469" s="611"/>
      <c r="K469" s="611"/>
    </row>
    <row r="470" spans="7:11">
      <c r="G470" s="611"/>
      <c r="I470" s="611"/>
      <c r="K470" s="611"/>
    </row>
    <row r="471" spans="7:11">
      <c r="G471" s="611"/>
      <c r="I471" s="611"/>
      <c r="K471" s="611"/>
    </row>
    <row r="472" spans="7:11">
      <c r="G472" s="611"/>
      <c r="I472" s="611"/>
      <c r="K472" s="611"/>
    </row>
    <row r="473" spans="7:11">
      <c r="G473" s="611"/>
      <c r="I473" s="611"/>
      <c r="K473" s="611"/>
    </row>
    <row r="474" spans="7:11">
      <c r="G474" s="611"/>
      <c r="I474" s="611"/>
      <c r="K474" s="611"/>
    </row>
    <row r="475" spans="7:11">
      <c r="G475" s="611"/>
      <c r="I475" s="611"/>
      <c r="K475" s="611"/>
    </row>
    <row r="476" spans="7:11">
      <c r="G476" s="611"/>
      <c r="I476" s="611"/>
      <c r="K476" s="611"/>
    </row>
    <row r="477" spans="7:11">
      <c r="G477" s="611"/>
      <c r="I477" s="611"/>
      <c r="K477" s="611"/>
    </row>
    <row r="478" spans="7:11">
      <c r="G478" s="611"/>
      <c r="I478" s="611"/>
      <c r="K478" s="611"/>
    </row>
    <row r="479" spans="7:11">
      <c r="G479" s="611"/>
      <c r="I479" s="611"/>
      <c r="K479" s="611"/>
    </row>
    <row r="480" spans="7:11">
      <c r="G480" s="611"/>
      <c r="I480" s="611"/>
      <c r="K480" s="611"/>
    </row>
    <row r="481" spans="7:11">
      <c r="G481" s="611"/>
      <c r="I481" s="611"/>
      <c r="K481" s="611"/>
    </row>
    <row r="482" spans="7:11">
      <c r="G482" s="611"/>
      <c r="I482" s="611"/>
      <c r="K482" s="611"/>
    </row>
    <row r="483" spans="7:11">
      <c r="G483" s="611"/>
      <c r="I483" s="611"/>
      <c r="K483" s="611"/>
    </row>
    <row r="484" spans="7:11">
      <c r="G484" s="611"/>
      <c r="I484" s="611"/>
      <c r="K484" s="611"/>
    </row>
    <row r="485" spans="7:11">
      <c r="G485" s="611"/>
      <c r="I485" s="611"/>
      <c r="K485" s="611"/>
    </row>
    <row r="486" spans="7:11">
      <c r="G486" s="611"/>
      <c r="I486" s="611"/>
      <c r="K486" s="611"/>
    </row>
    <row r="487" spans="7:11">
      <c r="G487" s="611"/>
      <c r="I487" s="611"/>
      <c r="K487" s="611"/>
    </row>
    <row r="488" spans="7:11">
      <c r="G488" s="611"/>
      <c r="I488" s="611"/>
      <c r="K488" s="611"/>
    </row>
    <row r="489" spans="7:11">
      <c r="G489" s="611"/>
      <c r="I489" s="611"/>
      <c r="K489" s="611"/>
    </row>
    <row r="490" spans="7:11">
      <c r="G490" s="611"/>
      <c r="I490" s="611"/>
      <c r="K490" s="611"/>
    </row>
    <row r="491" spans="7:11">
      <c r="G491" s="611"/>
      <c r="I491" s="611"/>
      <c r="K491" s="611"/>
    </row>
    <row r="492" spans="7:11">
      <c r="G492" s="611"/>
      <c r="I492" s="611"/>
      <c r="K492" s="611"/>
    </row>
    <row r="493" spans="7:11">
      <c r="G493" s="611"/>
      <c r="I493" s="611"/>
      <c r="K493" s="611"/>
    </row>
    <row r="494" spans="7:11">
      <c r="G494" s="611"/>
      <c r="I494" s="611"/>
      <c r="K494" s="611"/>
    </row>
    <row r="495" spans="7:11">
      <c r="G495" s="611"/>
      <c r="I495" s="611"/>
      <c r="K495" s="611"/>
    </row>
    <row r="496" spans="7:11">
      <c r="G496" s="611"/>
      <c r="I496" s="611"/>
      <c r="K496" s="611"/>
    </row>
    <row r="497" spans="7:11">
      <c r="G497" s="611"/>
      <c r="I497" s="611"/>
      <c r="K497" s="611"/>
    </row>
    <row r="498" spans="7:11">
      <c r="G498" s="611"/>
      <c r="I498" s="611"/>
      <c r="K498" s="611"/>
    </row>
    <row r="499" spans="7:11">
      <c r="G499" s="611"/>
      <c r="I499" s="611"/>
      <c r="K499" s="611"/>
    </row>
    <row r="500" spans="7:11">
      <c r="G500" s="611"/>
      <c r="I500" s="611"/>
      <c r="K500" s="611"/>
    </row>
    <row r="501" spans="7:11">
      <c r="G501" s="611"/>
      <c r="I501" s="611"/>
      <c r="K501" s="611"/>
    </row>
    <row r="502" spans="7:11">
      <c r="G502" s="611"/>
      <c r="I502" s="611"/>
      <c r="K502" s="611"/>
    </row>
    <row r="503" spans="7:11">
      <c r="G503" s="611"/>
      <c r="I503" s="611"/>
      <c r="K503" s="611"/>
    </row>
    <row r="504" spans="7:11">
      <c r="G504" s="611"/>
      <c r="I504" s="611"/>
      <c r="K504" s="611"/>
    </row>
    <row r="505" spans="7:11">
      <c r="G505" s="611"/>
      <c r="I505" s="611"/>
      <c r="K505" s="611"/>
    </row>
    <row r="506" spans="7:11">
      <c r="G506" s="611"/>
      <c r="I506" s="611"/>
      <c r="K506" s="611"/>
    </row>
    <row r="507" spans="7:11">
      <c r="G507" s="611"/>
      <c r="I507" s="611"/>
      <c r="K507" s="611"/>
    </row>
    <row r="508" spans="7:11">
      <c r="G508" s="611"/>
      <c r="I508" s="611"/>
      <c r="K508" s="611"/>
    </row>
    <row r="509" spans="7:11">
      <c r="G509" s="611"/>
      <c r="I509" s="611"/>
      <c r="K509" s="611"/>
    </row>
    <row r="510" spans="7:11">
      <c r="G510" s="611"/>
      <c r="I510" s="611"/>
      <c r="K510" s="611"/>
    </row>
    <row r="511" spans="7:11">
      <c r="G511" s="611"/>
      <c r="I511" s="611"/>
      <c r="K511" s="611"/>
    </row>
    <row r="512" spans="7:11">
      <c r="G512" s="611"/>
      <c r="I512" s="611"/>
      <c r="K512" s="611"/>
    </row>
    <row r="513" spans="7:11">
      <c r="G513" s="611"/>
      <c r="I513" s="611"/>
      <c r="K513" s="611"/>
    </row>
    <row r="514" spans="7:11">
      <c r="G514" s="611"/>
      <c r="I514" s="611"/>
      <c r="K514" s="611"/>
    </row>
    <row r="515" spans="7:11">
      <c r="G515" s="611"/>
      <c r="I515" s="611"/>
      <c r="K515" s="611"/>
    </row>
    <row r="516" spans="7:11">
      <c r="G516" s="611"/>
      <c r="I516" s="611"/>
      <c r="K516" s="611"/>
    </row>
    <row r="517" spans="7:11">
      <c r="G517" s="611"/>
      <c r="I517" s="611"/>
      <c r="K517" s="611"/>
    </row>
    <row r="518" spans="7:11">
      <c r="G518" s="611"/>
      <c r="I518" s="611"/>
      <c r="K518" s="611"/>
    </row>
    <row r="519" spans="7:11">
      <c r="G519" s="611"/>
      <c r="I519" s="611"/>
      <c r="K519" s="611"/>
    </row>
    <row r="520" spans="7:11">
      <c r="G520" s="611"/>
      <c r="I520" s="611"/>
      <c r="K520" s="611"/>
    </row>
    <row r="521" spans="7:11">
      <c r="G521" s="611"/>
      <c r="I521" s="611"/>
      <c r="K521" s="611"/>
    </row>
    <row r="522" spans="7:11">
      <c r="G522" s="611"/>
      <c r="I522" s="611"/>
      <c r="K522" s="611"/>
    </row>
    <row r="523" spans="7:11">
      <c r="G523" s="611"/>
      <c r="I523" s="611"/>
      <c r="K523" s="611"/>
    </row>
    <row r="524" spans="7:11">
      <c r="G524" s="611"/>
      <c r="I524" s="611"/>
      <c r="K524" s="611"/>
    </row>
    <row r="525" spans="7:11">
      <c r="G525" s="611"/>
      <c r="I525" s="611"/>
      <c r="K525" s="611"/>
    </row>
    <row r="526" spans="7:11">
      <c r="G526" s="611"/>
      <c r="I526" s="611"/>
      <c r="K526" s="611"/>
    </row>
    <row r="527" spans="7:11">
      <c r="G527" s="611"/>
      <c r="I527" s="611"/>
      <c r="K527" s="611"/>
    </row>
    <row r="528" spans="7:11">
      <c r="G528" s="611"/>
      <c r="I528" s="611"/>
      <c r="K528" s="611"/>
    </row>
    <row r="529" spans="7:11">
      <c r="G529" s="611"/>
      <c r="I529" s="611"/>
      <c r="K529" s="611"/>
    </row>
    <row r="530" spans="7:11">
      <c r="G530" s="611"/>
      <c r="I530" s="611"/>
      <c r="K530" s="611"/>
    </row>
    <row r="531" spans="7:11">
      <c r="G531" s="611"/>
      <c r="I531" s="611"/>
      <c r="K531" s="611"/>
    </row>
    <row r="532" spans="7:11">
      <c r="G532" s="611"/>
      <c r="I532" s="611"/>
      <c r="K532" s="611"/>
    </row>
    <row r="533" spans="7:11">
      <c r="G533" s="611"/>
      <c r="I533" s="611"/>
      <c r="K533" s="611"/>
    </row>
    <row r="534" spans="7:11">
      <c r="G534" s="611"/>
      <c r="I534" s="611"/>
      <c r="K534" s="611"/>
    </row>
    <row r="535" spans="7:11">
      <c r="G535" s="611"/>
      <c r="I535" s="611"/>
      <c r="K535" s="611"/>
    </row>
    <row r="536" spans="7:11">
      <c r="G536" s="611"/>
      <c r="I536" s="611"/>
      <c r="K536" s="611"/>
    </row>
    <row r="537" spans="7:11">
      <c r="G537" s="611"/>
      <c r="I537" s="611"/>
      <c r="K537" s="611"/>
    </row>
    <row r="538" spans="7:11">
      <c r="G538" s="611"/>
      <c r="I538" s="611"/>
      <c r="K538" s="611"/>
    </row>
    <row r="539" spans="7:11">
      <c r="G539" s="611"/>
      <c r="I539" s="611"/>
      <c r="K539" s="611"/>
    </row>
    <row r="540" spans="7:11">
      <c r="G540" s="611"/>
      <c r="I540" s="611"/>
      <c r="K540" s="611"/>
    </row>
    <row r="541" spans="7:11">
      <c r="G541" s="611"/>
      <c r="I541" s="611"/>
      <c r="K541" s="611"/>
    </row>
    <row r="542" spans="7:11">
      <c r="G542" s="611"/>
      <c r="I542" s="611"/>
      <c r="K542" s="611"/>
    </row>
    <row r="543" spans="7:11">
      <c r="G543" s="611"/>
      <c r="I543" s="611"/>
      <c r="K543" s="611"/>
    </row>
    <row r="544" spans="7:11">
      <c r="G544" s="611"/>
      <c r="I544" s="611"/>
      <c r="K544" s="611"/>
    </row>
    <row r="545" spans="7:11">
      <c r="G545" s="611"/>
      <c r="I545" s="611"/>
      <c r="K545" s="611"/>
    </row>
    <row r="546" spans="7:11">
      <c r="G546" s="611"/>
      <c r="I546" s="611"/>
      <c r="K546" s="611"/>
    </row>
    <row r="547" spans="7:11">
      <c r="G547" s="611"/>
      <c r="I547" s="611"/>
      <c r="K547" s="611"/>
    </row>
    <row r="548" spans="7:11">
      <c r="G548" s="611"/>
      <c r="I548" s="611"/>
      <c r="K548" s="611"/>
    </row>
    <row r="549" spans="7:11">
      <c r="G549" s="611"/>
      <c r="I549" s="611"/>
      <c r="K549" s="611"/>
    </row>
    <row r="550" spans="7:11">
      <c r="G550" s="611"/>
      <c r="I550" s="611"/>
      <c r="K550" s="611"/>
    </row>
    <row r="551" spans="7:11">
      <c r="G551" s="611"/>
      <c r="I551" s="611"/>
      <c r="K551" s="611"/>
    </row>
    <row r="552" spans="7:11">
      <c r="G552" s="611"/>
      <c r="I552" s="611"/>
      <c r="K552" s="611"/>
    </row>
    <row r="553" spans="7:11">
      <c r="G553" s="611"/>
      <c r="I553" s="611"/>
      <c r="K553" s="611"/>
    </row>
    <row r="554" spans="7:11">
      <c r="G554" s="611"/>
      <c r="I554" s="611"/>
      <c r="K554" s="611"/>
    </row>
    <row r="555" spans="7:11">
      <c r="G555" s="611"/>
      <c r="I555" s="611"/>
      <c r="K555" s="611"/>
    </row>
    <row r="556" spans="7:11">
      <c r="G556" s="611"/>
      <c r="I556" s="611"/>
      <c r="K556" s="611"/>
    </row>
    <row r="557" spans="7:11">
      <c r="G557" s="611"/>
      <c r="I557" s="611"/>
      <c r="K557" s="611"/>
    </row>
    <row r="558" spans="7:11">
      <c r="G558" s="611"/>
      <c r="I558" s="611"/>
      <c r="K558" s="611"/>
    </row>
    <row r="559" spans="7:11">
      <c r="G559" s="611"/>
      <c r="I559" s="611"/>
      <c r="K559" s="611"/>
    </row>
    <row r="560" spans="7:11">
      <c r="G560" s="611"/>
      <c r="I560" s="611"/>
      <c r="K560" s="611"/>
    </row>
    <row r="561" spans="7:11">
      <c r="G561" s="611"/>
      <c r="I561" s="611"/>
      <c r="K561" s="611"/>
    </row>
    <row r="562" spans="7:11">
      <c r="G562" s="611"/>
      <c r="I562" s="611"/>
      <c r="K562" s="611"/>
    </row>
    <row r="563" spans="7:11">
      <c r="G563" s="611"/>
      <c r="I563" s="611"/>
      <c r="K563" s="611"/>
    </row>
    <row r="564" spans="7:11">
      <c r="G564" s="611"/>
      <c r="I564" s="611"/>
      <c r="K564" s="611"/>
    </row>
    <row r="565" spans="7:11">
      <c r="G565" s="611"/>
      <c r="I565" s="611"/>
      <c r="K565" s="611"/>
    </row>
    <row r="566" spans="7:11">
      <c r="G566" s="611"/>
      <c r="I566" s="611"/>
      <c r="K566" s="611"/>
    </row>
    <row r="567" spans="7:11">
      <c r="G567" s="611"/>
      <c r="I567" s="611"/>
      <c r="K567" s="611"/>
    </row>
    <row r="568" spans="7:11">
      <c r="G568" s="611"/>
      <c r="I568" s="611"/>
      <c r="K568" s="611"/>
    </row>
    <row r="569" spans="7:11">
      <c r="G569" s="611"/>
      <c r="I569" s="611"/>
      <c r="K569" s="611"/>
    </row>
    <row r="570" spans="7:11">
      <c r="G570" s="611"/>
      <c r="I570" s="611"/>
      <c r="K570" s="611"/>
    </row>
    <row r="571" spans="7:11">
      <c r="G571" s="611"/>
      <c r="I571" s="611"/>
      <c r="K571" s="611"/>
    </row>
    <row r="572" spans="7:11">
      <c r="G572" s="611"/>
      <c r="I572" s="611"/>
      <c r="K572" s="611"/>
    </row>
    <row r="573" spans="7:11">
      <c r="G573" s="611"/>
      <c r="I573" s="611"/>
      <c r="K573" s="611"/>
    </row>
    <row r="574" spans="7:11">
      <c r="G574" s="611"/>
      <c r="I574" s="611"/>
      <c r="K574" s="611"/>
    </row>
    <row r="575" spans="7:11">
      <c r="G575" s="611"/>
      <c r="I575" s="611"/>
      <c r="K575" s="611"/>
    </row>
    <row r="576" spans="7:11">
      <c r="G576" s="611"/>
      <c r="I576" s="611"/>
      <c r="K576" s="611"/>
    </row>
    <row r="577" spans="7:11">
      <c r="G577" s="611"/>
      <c r="I577" s="611"/>
      <c r="K577" s="611"/>
    </row>
    <row r="578" spans="7:11">
      <c r="G578" s="611"/>
      <c r="I578" s="611"/>
      <c r="K578" s="611"/>
    </row>
    <row r="579" spans="7:11">
      <c r="G579" s="611"/>
      <c r="I579" s="611"/>
      <c r="K579" s="611"/>
    </row>
    <row r="580" spans="7:11">
      <c r="G580" s="611"/>
      <c r="I580" s="611"/>
      <c r="K580" s="611"/>
    </row>
    <row r="581" spans="7:11">
      <c r="G581" s="611"/>
      <c r="I581" s="611"/>
      <c r="K581" s="611"/>
    </row>
    <row r="582" spans="7:11">
      <c r="G582" s="611"/>
      <c r="I582" s="611"/>
      <c r="K582" s="611"/>
    </row>
    <row r="583" spans="7:11">
      <c r="G583" s="611"/>
      <c r="I583" s="611"/>
      <c r="K583" s="611"/>
    </row>
    <row r="584" spans="7:11">
      <c r="G584" s="611"/>
      <c r="I584" s="611"/>
      <c r="K584" s="611"/>
    </row>
    <row r="585" spans="7:11">
      <c r="G585" s="611"/>
      <c r="I585" s="611"/>
      <c r="K585" s="611"/>
    </row>
    <row r="586" spans="7:11">
      <c r="G586" s="611"/>
      <c r="I586" s="611"/>
      <c r="K586" s="611"/>
    </row>
    <row r="587" spans="7:11">
      <c r="G587" s="611"/>
      <c r="I587" s="611"/>
      <c r="K587" s="611"/>
    </row>
    <row r="588" spans="7:11">
      <c r="G588" s="611"/>
      <c r="I588" s="611"/>
      <c r="K588" s="611"/>
    </row>
    <row r="589" spans="7:11">
      <c r="G589" s="611"/>
      <c r="I589" s="611"/>
      <c r="K589" s="611"/>
    </row>
    <row r="590" spans="7:11">
      <c r="G590" s="611"/>
      <c r="I590" s="611"/>
      <c r="K590" s="611"/>
    </row>
    <row r="591" spans="7:11">
      <c r="G591" s="611"/>
      <c r="I591" s="611"/>
      <c r="K591" s="611"/>
    </row>
    <row r="592" spans="7:11">
      <c r="G592" s="611"/>
      <c r="I592" s="611"/>
      <c r="K592" s="611"/>
    </row>
    <row r="593" spans="7:11">
      <c r="G593" s="611"/>
      <c r="I593" s="611"/>
      <c r="K593" s="611"/>
    </row>
    <row r="594" spans="7:11">
      <c r="G594" s="611"/>
      <c r="I594" s="611"/>
      <c r="K594" s="611"/>
    </row>
    <row r="595" spans="7:11">
      <c r="G595" s="611"/>
      <c r="I595" s="611"/>
      <c r="K595" s="611"/>
    </row>
    <row r="596" spans="7:11">
      <c r="G596" s="611"/>
      <c r="I596" s="611"/>
      <c r="K596" s="611"/>
    </row>
    <row r="597" spans="7:11">
      <c r="G597" s="611"/>
      <c r="I597" s="611"/>
      <c r="K597" s="611"/>
    </row>
    <row r="598" spans="7:11">
      <c r="G598" s="611"/>
      <c r="I598" s="611"/>
      <c r="K598" s="611"/>
    </row>
    <row r="599" spans="7:11">
      <c r="G599" s="611"/>
      <c r="I599" s="611"/>
      <c r="K599" s="611"/>
    </row>
    <row r="600" spans="7:11">
      <c r="G600" s="611"/>
      <c r="I600" s="611"/>
      <c r="K600" s="611"/>
    </row>
    <row r="601" spans="7:11">
      <c r="G601" s="611"/>
      <c r="I601" s="611"/>
      <c r="K601" s="611"/>
    </row>
    <row r="602" spans="7:11">
      <c r="G602" s="611"/>
      <c r="I602" s="611"/>
      <c r="K602" s="611"/>
    </row>
    <row r="603" spans="7:11">
      <c r="G603" s="611"/>
      <c r="I603" s="611"/>
      <c r="K603" s="611"/>
    </row>
    <row r="604" spans="7:11">
      <c r="G604" s="611"/>
      <c r="I604" s="611"/>
      <c r="K604" s="611"/>
    </row>
    <row r="605" spans="7:11">
      <c r="G605" s="611"/>
      <c r="I605" s="611"/>
      <c r="K605" s="611"/>
    </row>
    <row r="606" spans="7:11">
      <c r="G606" s="611"/>
      <c r="I606" s="611"/>
      <c r="K606" s="611"/>
    </row>
    <row r="607" spans="7:11">
      <c r="G607" s="611"/>
      <c r="I607" s="611"/>
      <c r="K607" s="611"/>
    </row>
    <row r="608" spans="7:11">
      <c r="G608" s="611"/>
      <c r="I608" s="611"/>
      <c r="K608" s="611"/>
    </row>
    <row r="609" spans="7:11">
      <c r="G609" s="611"/>
      <c r="I609" s="611"/>
      <c r="K609" s="611"/>
    </row>
    <row r="610" spans="7:11">
      <c r="G610" s="611"/>
      <c r="I610" s="611"/>
      <c r="K610" s="611"/>
    </row>
    <row r="611" spans="7:11">
      <c r="G611" s="611"/>
      <c r="I611" s="611"/>
      <c r="K611" s="611"/>
    </row>
    <row r="612" spans="7:11">
      <c r="G612" s="611"/>
      <c r="I612" s="611"/>
      <c r="K612" s="611"/>
    </row>
    <row r="613" spans="7:11">
      <c r="G613" s="611"/>
      <c r="I613" s="611"/>
      <c r="K613" s="611"/>
    </row>
    <row r="614" spans="7:11">
      <c r="G614" s="611"/>
      <c r="I614" s="611"/>
      <c r="K614" s="611"/>
    </row>
    <row r="615" spans="7:11">
      <c r="G615" s="611"/>
      <c r="I615" s="611"/>
      <c r="K615" s="611"/>
    </row>
    <row r="616" spans="7:11">
      <c r="G616" s="611"/>
      <c r="I616" s="611"/>
      <c r="K616" s="611"/>
    </row>
    <row r="617" spans="7:11">
      <c r="G617" s="611"/>
      <c r="I617" s="611"/>
      <c r="K617" s="611"/>
    </row>
    <row r="618" spans="7:11">
      <c r="G618" s="611"/>
      <c r="I618" s="611"/>
      <c r="K618" s="611"/>
    </row>
    <row r="619" spans="7:11">
      <c r="G619" s="611"/>
      <c r="I619" s="611"/>
      <c r="K619" s="611"/>
    </row>
    <row r="620" spans="7:11">
      <c r="G620" s="611"/>
      <c r="I620" s="611"/>
      <c r="K620" s="611"/>
    </row>
    <row r="621" spans="7:11">
      <c r="G621" s="611"/>
      <c r="I621" s="611"/>
      <c r="K621" s="611"/>
    </row>
    <row r="622" spans="7:11">
      <c r="G622" s="611"/>
      <c r="I622" s="611"/>
      <c r="K622" s="611"/>
    </row>
    <row r="623" spans="7:11">
      <c r="G623" s="611"/>
      <c r="I623" s="611"/>
      <c r="K623" s="611"/>
    </row>
    <row r="624" spans="7:11">
      <c r="G624" s="611"/>
      <c r="I624" s="611"/>
      <c r="K624" s="611"/>
    </row>
    <row r="625" spans="7:11">
      <c r="G625" s="611"/>
      <c r="I625" s="611"/>
      <c r="K625" s="611"/>
    </row>
    <row r="626" spans="7:11">
      <c r="G626" s="611"/>
      <c r="I626" s="611"/>
      <c r="K626" s="611"/>
    </row>
    <row r="627" spans="7:11">
      <c r="G627" s="611"/>
      <c r="I627" s="611"/>
      <c r="K627" s="611"/>
    </row>
    <row r="628" spans="7:11">
      <c r="G628" s="611"/>
      <c r="I628" s="611"/>
      <c r="K628" s="611"/>
    </row>
    <row r="629" spans="7:11">
      <c r="G629" s="611"/>
      <c r="I629" s="611"/>
      <c r="K629" s="611"/>
    </row>
    <row r="630" spans="7:11">
      <c r="G630" s="611"/>
      <c r="I630" s="611"/>
      <c r="K630" s="611"/>
    </row>
    <row r="631" spans="7:11">
      <c r="G631" s="611"/>
      <c r="I631" s="611"/>
      <c r="K631" s="611"/>
    </row>
    <row r="632" spans="7:11">
      <c r="G632" s="611"/>
      <c r="I632" s="611"/>
      <c r="K632" s="611"/>
    </row>
    <row r="633" spans="7:11">
      <c r="G633" s="611"/>
      <c r="I633" s="611"/>
      <c r="K633" s="611"/>
    </row>
    <row r="634" spans="7:11">
      <c r="G634" s="611"/>
      <c r="I634" s="611"/>
      <c r="K634" s="611"/>
    </row>
    <row r="635" spans="7:11">
      <c r="G635" s="611"/>
      <c r="I635" s="611"/>
      <c r="K635" s="611"/>
    </row>
    <row r="636" spans="7:11">
      <c r="G636" s="611"/>
      <c r="I636" s="611"/>
      <c r="K636" s="611"/>
    </row>
    <row r="637" spans="7:11">
      <c r="G637" s="611"/>
      <c r="I637" s="611"/>
      <c r="K637" s="611"/>
    </row>
    <row r="638" spans="7:11">
      <c r="G638" s="611"/>
      <c r="I638" s="611"/>
      <c r="K638" s="611"/>
    </row>
    <row r="639" spans="7:11">
      <c r="G639" s="611"/>
      <c r="I639" s="611"/>
      <c r="K639" s="611"/>
    </row>
    <row r="640" spans="7:11">
      <c r="G640" s="611"/>
      <c r="I640" s="611"/>
      <c r="K640" s="611"/>
    </row>
    <row r="641" spans="7:11">
      <c r="G641" s="611"/>
      <c r="I641" s="611"/>
      <c r="K641" s="611"/>
    </row>
    <row r="642" spans="7:11">
      <c r="G642" s="611"/>
      <c r="I642" s="611"/>
      <c r="K642" s="611"/>
    </row>
    <row r="643" spans="7:11">
      <c r="G643" s="611"/>
      <c r="I643" s="611"/>
      <c r="K643" s="611"/>
    </row>
    <row r="644" spans="7:11">
      <c r="G644" s="611"/>
      <c r="I644" s="611"/>
      <c r="K644" s="611"/>
    </row>
    <row r="645" spans="7:11">
      <c r="G645" s="611"/>
      <c r="I645" s="611"/>
      <c r="K645" s="611"/>
    </row>
    <row r="646" spans="7:11">
      <c r="G646" s="611"/>
      <c r="I646" s="611"/>
      <c r="K646" s="611"/>
    </row>
    <row r="647" spans="7:11">
      <c r="G647" s="611"/>
      <c r="I647" s="611"/>
      <c r="K647" s="611"/>
    </row>
    <row r="648" spans="7:11">
      <c r="G648" s="611"/>
      <c r="I648" s="611"/>
      <c r="K648" s="611"/>
    </row>
    <row r="649" spans="7:11">
      <c r="G649" s="611"/>
      <c r="I649" s="611"/>
      <c r="K649" s="611"/>
    </row>
    <row r="650" spans="7:11">
      <c r="G650" s="611"/>
      <c r="I650" s="611"/>
      <c r="K650" s="611"/>
    </row>
    <row r="651" spans="7:11">
      <c r="G651" s="611"/>
      <c r="I651" s="611"/>
      <c r="K651" s="611"/>
    </row>
    <row r="652" spans="7:11">
      <c r="G652" s="611"/>
      <c r="I652" s="611"/>
      <c r="K652" s="611"/>
    </row>
    <row r="653" spans="7:11">
      <c r="G653" s="611"/>
      <c r="I653" s="611"/>
      <c r="K653" s="611"/>
    </row>
    <row r="654" spans="7:11">
      <c r="G654" s="611"/>
      <c r="I654" s="611"/>
      <c r="K654" s="611"/>
    </row>
    <row r="655" spans="7:11">
      <c r="G655" s="611"/>
      <c r="I655" s="611"/>
      <c r="K655" s="611"/>
    </row>
    <row r="656" spans="7:11">
      <c r="G656" s="611"/>
      <c r="I656" s="611"/>
      <c r="K656" s="611"/>
    </row>
    <row r="657" spans="7:11">
      <c r="G657" s="611"/>
      <c r="I657" s="611"/>
      <c r="K657" s="611"/>
    </row>
    <row r="658" spans="7:11">
      <c r="G658" s="611"/>
      <c r="I658" s="611"/>
      <c r="K658" s="611"/>
    </row>
    <row r="659" spans="7:11">
      <c r="G659" s="611"/>
      <c r="I659" s="611"/>
      <c r="K659" s="611"/>
    </row>
    <row r="660" spans="7:11">
      <c r="G660" s="611"/>
      <c r="I660" s="611"/>
      <c r="K660" s="611"/>
    </row>
    <row r="661" spans="7:11">
      <c r="G661" s="611"/>
      <c r="I661" s="611"/>
      <c r="K661" s="611"/>
    </row>
    <row r="662" spans="7:11">
      <c r="G662" s="611"/>
      <c r="I662" s="611"/>
      <c r="K662" s="611"/>
    </row>
    <row r="663" spans="7:11">
      <c r="G663" s="611"/>
      <c r="I663" s="611"/>
      <c r="K663" s="611"/>
    </row>
    <row r="664" spans="7:11">
      <c r="G664" s="611"/>
      <c r="I664" s="611"/>
      <c r="K664" s="611"/>
    </row>
    <row r="665" spans="7:11">
      <c r="G665" s="611"/>
      <c r="I665" s="611"/>
      <c r="K665" s="611"/>
    </row>
    <row r="666" spans="7:11">
      <c r="G666" s="611"/>
      <c r="I666" s="611"/>
      <c r="K666" s="611"/>
    </row>
    <row r="667" spans="7:11">
      <c r="G667" s="611"/>
      <c r="I667" s="611"/>
      <c r="K667" s="611"/>
    </row>
    <row r="668" spans="7:11">
      <c r="G668" s="611"/>
      <c r="I668" s="611"/>
      <c r="K668" s="611"/>
    </row>
    <row r="669" spans="7:11">
      <c r="G669" s="611"/>
      <c r="I669" s="611"/>
      <c r="K669" s="611"/>
    </row>
    <row r="670" spans="7:11">
      <c r="G670" s="611"/>
      <c r="I670" s="611"/>
      <c r="K670" s="611"/>
    </row>
    <row r="671" spans="7:11">
      <c r="G671" s="611"/>
      <c r="I671" s="611"/>
      <c r="K671" s="611"/>
    </row>
    <row r="672" spans="7:11">
      <c r="G672" s="611"/>
      <c r="I672" s="611"/>
      <c r="K672" s="611"/>
    </row>
    <row r="673" spans="7:11">
      <c r="G673" s="611"/>
      <c r="I673" s="611"/>
      <c r="K673" s="611"/>
    </row>
    <row r="674" spans="7:11">
      <c r="G674" s="611"/>
      <c r="I674" s="611"/>
      <c r="K674" s="611"/>
    </row>
    <row r="675" spans="7:11">
      <c r="G675" s="611"/>
      <c r="I675" s="611"/>
      <c r="K675" s="611"/>
    </row>
    <row r="676" spans="7:11">
      <c r="G676" s="611"/>
      <c r="I676" s="611"/>
      <c r="K676" s="611"/>
    </row>
    <row r="677" spans="7:11">
      <c r="G677" s="611"/>
      <c r="I677" s="611"/>
      <c r="K677" s="611"/>
    </row>
    <row r="678" spans="7:11">
      <c r="G678" s="611"/>
      <c r="I678" s="611"/>
      <c r="K678" s="611"/>
    </row>
    <row r="679" spans="7:11">
      <c r="G679" s="611"/>
      <c r="I679" s="611"/>
      <c r="K679" s="611"/>
    </row>
    <row r="680" spans="7:11">
      <c r="G680" s="611"/>
      <c r="I680" s="611"/>
      <c r="K680" s="611"/>
    </row>
    <row r="681" spans="7:11">
      <c r="G681" s="611"/>
      <c r="I681" s="611"/>
      <c r="K681" s="611"/>
    </row>
    <row r="682" spans="7:11">
      <c r="G682" s="611"/>
      <c r="I682" s="611"/>
      <c r="K682" s="611"/>
    </row>
    <row r="683" spans="7:11">
      <c r="G683" s="611"/>
      <c r="I683" s="611"/>
      <c r="K683" s="611"/>
    </row>
    <row r="684" spans="7:11">
      <c r="G684" s="611"/>
      <c r="I684" s="611"/>
      <c r="K684" s="611"/>
    </row>
    <row r="685" spans="7:11">
      <c r="G685" s="611"/>
      <c r="I685" s="611"/>
      <c r="K685" s="611"/>
    </row>
    <row r="686" spans="7:11">
      <c r="G686" s="611"/>
      <c r="I686" s="611"/>
      <c r="K686" s="611"/>
    </row>
    <row r="687" spans="7:11">
      <c r="G687" s="611"/>
      <c r="I687" s="611"/>
      <c r="K687" s="611"/>
    </row>
    <row r="688" spans="7:11">
      <c r="G688" s="611"/>
      <c r="I688" s="611"/>
      <c r="K688" s="611"/>
    </row>
    <row r="689" spans="7:11">
      <c r="G689" s="611"/>
      <c r="I689" s="611"/>
      <c r="K689" s="611"/>
    </row>
    <row r="690" spans="7:11">
      <c r="G690" s="611"/>
      <c r="I690" s="611"/>
      <c r="K690" s="611"/>
    </row>
    <row r="691" spans="7:11">
      <c r="G691" s="611"/>
      <c r="I691" s="611"/>
      <c r="K691" s="611"/>
    </row>
    <row r="692" spans="7:11">
      <c r="G692" s="611"/>
      <c r="I692" s="611"/>
      <c r="K692" s="611"/>
    </row>
    <row r="693" spans="7:11">
      <c r="G693" s="611"/>
      <c r="I693" s="611"/>
      <c r="K693" s="611"/>
    </row>
    <row r="694" spans="7:11">
      <c r="G694" s="611"/>
      <c r="I694" s="611"/>
      <c r="K694" s="611"/>
    </row>
    <row r="695" spans="7:11">
      <c r="G695" s="611"/>
      <c r="I695" s="611"/>
      <c r="K695" s="611"/>
    </row>
    <row r="696" spans="7:11">
      <c r="G696" s="611"/>
      <c r="I696" s="611"/>
      <c r="K696" s="611"/>
    </row>
    <row r="697" spans="7:11">
      <c r="G697" s="611"/>
      <c r="I697" s="611"/>
      <c r="K697" s="611"/>
    </row>
    <row r="698" spans="7:11">
      <c r="G698" s="611"/>
      <c r="I698" s="611"/>
      <c r="K698" s="611"/>
    </row>
    <row r="699" spans="7:11">
      <c r="G699" s="611"/>
      <c r="I699" s="611"/>
      <c r="K699" s="611"/>
    </row>
    <row r="700" spans="7:11">
      <c r="G700" s="611"/>
      <c r="I700" s="611"/>
      <c r="K700" s="611"/>
    </row>
    <row r="701" spans="7:11">
      <c r="G701" s="611"/>
      <c r="I701" s="611"/>
      <c r="K701" s="611"/>
    </row>
    <row r="702" spans="7:11">
      <c r="G702" s="611"/>
      <c r="I702" s="611"/>
      <c r="K702" s="611"/>
    </row>
    <row r="703" spans="7:11">
      <c r="G703" s="611"/>
      <c r="I703" s="611"/>
      <c r="K703" s="611"/>
    </row>
    <row r="704" spans="7:11">
      <c r="G704" s="611"/>
      <c r="I704" s="611"/>
      <c r="K704" s="611"/>
    </row>
    <row r="705" spans="7:11">
      <c r="G705" s="611"/>
      <c r="I705" s="611"/>
      <c r="K705" s="611"/>
    </row>
    <row r="706" spans="7:11">
      <c r="G706" s="611"/>
      <c r="I706" s="611"/>
      <c r="K706" s="611"/>
    </row>
    <row r="707" spans="7:11">
      <c r="G707" s="611"/>
      <c r="I707" s="611"/>
      <c r="K707" s="611"/>
    </row>
    <row r="708" spans="7:11">
      <c r="G708" s="611"/>
      <c r="I708" s="611"/>
      <c r="K708" s="611"/>
    </row>
    <row r="709" spans="7:11">
      <c r="G709" s="611"/>
      <c r="I709" s="611"/>
      <c r="K709" s="611"/>
    </row>
    <row r="710" spans="7:11">
      <c r="G710" s="611"/>
      <c r="I710" s="611"/>
      <c r="K710" s="611"/>
    </row>
    <row r="711" spans="7:11">
      <c r="G711" s="611"/>
      <c r="I711" s="611"/>
      <c r="K711" s="611"/>
    </row>
    <row r="712" spans="7:11">
      <c r="G712" s="611"/>
      <c r="I712" s="611"/>
      <c r="K712" s="611"/>
    </row>
    <row r="713" spans="7:11">
      <c r="G713" s="611"/>
      <c r="I713" s="611"/>
      <c r="K713" s="611"/>
    </row>
    <row r="714" spans="7:11">
      <c r="G714" s="611"/>
      <c r="I714" s="611"/>
      <c r="K714" s="611"/>
    </row>
    <row r="715" spans="7:11">
      <c r="G715" s="611"/>
      <c r="I715" s="611"/>
      <c r="K715" s="611"/>
    </row>
    <row r="716" spans="7:11">
      <c r="G716" s="611"/>
      <c r="I716" s="611"/>
      <c r="K716" s="611"/>
    </row>
    <row r="717" spans="7:11">
      <c r="G717" s="611"/>
      <c r="I717" s="611"/>
      <c r="K717" s="611"/>
    </row>
    <row r="718" spans="7:11">
      <c r="G718" s="611"/>
      <c r="I718" s="611"/>
      <c r="K718" s="611"/>
    </row>
    <row r="719" spans="7:11">
      <c r="G719" s="611"/>
      <c r="I719" s="611"/>
      <c r="K719" s="611"/>
    </row>
    <row r="720" spans="7:11">
      <c r="G720" s="611"/>
      <c r="I720" s="611"/>
      <c r="K720" s="611"/>
    </row>
    <row r="721" spans="7:11">
      <c r="G721" s="611"/>
      <c r="I721" s="611"/>
      <c r="K721" s="611"/>
    </row>
    <row r="722" spans="7:11">
      <c r="G722" s="611"/>
      <c r="I722" s="611"/>
      <c r="K722" s="611"/>
    </row>
    <row r="723" spans="7:11">
      <c r="G723" s="611"/>
      <c r="I723" s="611"/>
      <c r="K723" s="611"/>
    </row>
    <row r="724" spans="7:11">
      <c r="G724" s="611"/>
      <c r="I724" s="611"/>
      <c r="K724" s="611"/>
    </row>
    <row r="725" spans="7:11">
      <c r="G725" s="611"/>
      <c r="I725" s="611"/>
      <c r="K725" s="611"/>
    </row>
    <row r="726" spans="7:11">
      <c r="G726" s="611"/>
      <c r="I726" s="611"/>
      <c r="K726" s="611"/>
    </row>
    <row r="727" spans="7:11">
      <c r="G727" s="611"/>
      <c r="I727" s="611"/>
      <c r="K727" s="611"/>
    </row>
    <row r="728" spans="7:11">
      <c r="G728" s="611"/>
      <c r="I728" s="611"/>
      <c r="K728" s="611"/>
    </row>
    <row r="729" spans="7:11">
      <c r="G729" s="611"/>
      <c r="I729" s="611"/>
      <c r="K729" s="611"/>
    </row>
    <row r="730" spans="7:11">
      <c r="G730" s="611"/>
      <c r="I730" s="611"/>
      <c r="K730" s="611"/>
    </row>
    <row r="731" spans="7:11">
      <c r="G731" s="611"/>
      <c r="I731" s="611"/>
      <c r="K731" s="611"/>
    </row>
    <row r="732" spans="7:11">
      <c r="G732" s="611"/>
      <c r="I732" s="611"/>
      <c r="K732" s="611"/>
    </row>
    <row r="733" spans="7:11">
      <c r="G733" s="611"/>
      <c r="I733" s="611"/>
      <c r="K733" s="611"/>
    </row>
    <row r="734" spans="7:11">
      <c r="G734" s="611"/>
      <c r="I734" s="611"/>
      <c r="K734" s="611"/>
    </row>
    <row r="735" spans="7:11">
      <c r="G735" s="611"/>
      <c r="I735" s="611"/>
      <c r="K735" s="611"/>
    </row>
    <row r="736" spans="7:11">
      <c r="G736" s="611"/>
      <c r="I736" s="611"/>
      <c r="K736" s="611"/>
    </row>
    <row r="737" spans="7:11">
      <c r="G737" s="611"/>
      <c r="I737" s="611"/>
      <c r="K737" s="611"/>
    </row>
    <row r="738" spans="7:11">
      <c r="G738" s="611"/>
      <c r="I738" s="611"/>
      <c r="K738" s="611"/>
    </row>
    <row r="739" spans="7:11">
      <c r="G739" s="611"/>
      <c r="I739" s="611"/>
      <c r="K739" s="611"/>
    </row>
    <row r="740" spans="7:11">
      <c r="G740" s="611"/>
      <c r="I740" s="611"/>
      <c r="K740" s="611"/>
    </row>
    <row r="741" spans="7:11">
      <c r="G741" s="611"/>
      <c r="I741" s="611"/>
      <c r="K741" s="611"/>
    </row>
    <row r="742" spans="7:11">
      <c r="G742" s="611"/>
      <c r="I742" s="611"/>
      <c r="K742" s="611"/>
    </row>
    <row r="743" spans="7:11">
      <c r="G743" s="611"/>
      <c r="I743" s="611"/>
      <c r="K743" s="611"/>
    </row>
    <row r="744" spans="7:11">
      <c r="G744" s="611"/>
      <c r="I744" s="611"/>
      <c r="K744" s="611"/>
    </row>
    <row r="745" spans="7:11">
      <c r="G745" s="611"/>
      <c r="I745" s="611"/>
      <c r="K745" s="611"/>
    </row>
    <row r="746" spans="7:11">
      <c r="G746" s="611"/>
      <c r="I746" s="611"/>
      <c r="K746" s="611"/>
    </row>
    <row r="747" spans="7:11">
      <c r="G747" s="611"/>
      <c r="I747" s="611"/>
      <c r="K747" s="611"/>
    </row>
    <row r="748" spans="7:11">
      <c r="G748" s="611"/>
      <c r="I748" s="611"/>
      <c r="K748" s="611"/>
    </row>
    <row r="749" spans="7:11">
      <c r="G749" s="611"/>
      <c r="I749" s="611"/>
      <c r="K749" s="611"/>
    </row>
    <row r="750" spans="7:11">
      <c r="G750" s="611"/>
      <c r="I750" s="611"/>
      <c r="K750" s="611"/>
    </row>
    <row r="751" spans="7:11">
      <c r="G751" s="611"/>
      <c r="I751" s="611"/>
      <c r="K751" s="611"/>
    </row>
    <row r="752" spans="7:11">
      <c r="G752" s="611"/>
      <c r="I752" s="611"/>
      <c r="K752" s="611"/>
    </row>
    <row r="753" spans="7:11">
      <c r="G753" s="611"/>
      <c r="I753" s="611"/>
      <c r="K753" s="611"/>
    </row>
    <row r="754" spans="7:11">
      <c r="G754" s="611"/>
      <c r="I754" s="611"/>
      <c r="K754" s="611"/>
    </row>
    <row r="755" spans="7:11">
      <c r="G755" s="611"/>
      <c r="I755" s="611"/>
      <c r="K755" s="611"/>
    </row>
    <row r="756" spans="7:11">
      <c r="G756" s="611"/>
      <c r="I756" s="611"/>
      <c r="K756" s="611"/>
    </row>
    <row r="757" spans="7:11">
      <c r="G757" s="611"/>
      <c r="I757" s="611"/>
      <c r="K757" s="611"/>
    </row>
    <row r="758" spans="7:11">
      <c r="G758" s="611"/>
      <c r="I758" s="611"/>
      <c r="K758" s="611"/>
    </row>
    <row r="759" spans="7:11">
      <c r="G759" s="611"/>
      <c r="I759" s="611"/>
      <c r="K759" s="611"/>
    </row>
    <row r="760" spans="7:11">
      <c r="G760" s="611"/>
      <c r="I760" s="611"/>
      <c r="K760" s="611"/>
    </row>
    <row r="761" spans="7:11">
      <c r="G761" s="611"/>
      <c r="I761" s="611"/>
      <c r="K761" s="611"/>
    </row>
    <row r="762" spans="7:11">
      <c r="G762" s="611"/>
      <c r="I762" s="611"/>
      <c r="K762" s="611"/>
    </row>
    <row r="763" spans="7:11">
      <c r="G763" s="611"/>
      <c r="I763" s="611"/>
      <c r="K763" s="611"/>
    </row>
    <row r="764" spans="7:11">
      <c r="G764" s="611"/>
      <c r="I764" s="611"/>
      <c r="K764" s="611"/>
    </row>
    <row r="765" spans="7:11">
      <c r="G765" s="611"/>
      <c r="I765" s="611"/>
      <c r="K765" s="611"/>
    </row>
    <row r="766" spans="7:11">
      <c r="G766" s="611"/>
      <c r="I766" s="611"/>
      <c r="K766" s="611"/>
    </row>
    <row r="767" spans="7:11">
      <c r="G767" s="611"/>
      <c r="I767" s="611"/>
      <c r="K767" s="611"/>
    </row>
    <row r="768" spans="7:11">
      <c r="G768" s="611"/>
      <c r="I768" s="611"/>
      <c r="K768" s="611"/>
    </row>
    <row r="769" spans="7:11">
      <c r="G769" s="611"/>
      <c r="I769" s="611"/>
      <c r="K769" s="611"/>
    </row>
    <row r="770" spans="7:11">
      <c r="G770" s="611"/>
      <c r="I770" s="611"/>
      <c r="K770" s="611"/>
    </row>
    <row r="771" spans="7:11">
      <c r="G771" s="611"/>
      <c r="I771" s="611"/>
      <c r="K771" s="611"/>
    </row>
    <row r="772" spans="7:11">
      <c r="G772" s="611"/>
      <c r="I772" s="611"/>
      <c r="K772" s="611"/>
    </row>
    <row r="773" spans="7:11">
      <c r="G773" s="611"/>
      <c r="I773" s="611"/>
      <c r="K773" s="611"/>
    </row>
    <row r="774" spans="7:11">
      <c r="G774" s="611"/>
      <c r="I774" s="611"/>
      <c r="K774" s="611"/>
    </row>
    <row r="775" spans="7:11">
      <c r="G775" s="611"/>
      <c r="I775" s="611"/>
      <c r="K775" s="611"/>
    </row>
    <row r="776" spans="7:11">
      <c r="G776" s="611"/>
      <c r="I776" s="611"/>
      <c r="K776" s="611"/>
    </row>
    <row r="777" spans="7:11">
      <c r="G777" s="611"/>
      <c r="I777" s="611"/>
      <c r="K777" s="611"/>
    </row>
    <row r="778" spans="7:11">
      <c r="G778" s="611"/>
      <c r="I778" s="611"/>
      <c r="K778" s="611"/>
    </row>
    <row r="779" spans="7:11">
      <c r="G779" s="611"/>
      <c r="I779" s="611"/>
      <c r="K779" s="611"/>
    </row>
    <row r="780" spans="7:11">
      <c r="G780" s="611"/>
      <c r="I780" s="611"/>
      <c r="K780" s="611"/>
    </row>
    <row r="781" spans="7:11">
      <c r="G781" s="611"/>
      <c r="I781" s="611"/>
      <c r="K781" s="611"/>
    </row>
    <row r="782" spans="7:11">
      <c r="G782" s="611"/>
      <c r="I782" s="611"/>
      <c r="K782" s="611"/>
    </row>
    <row r="783" spans="7:11">
      <c r="G783" s="611"/>
      <c r="I783" s="611"/>
      <c r="K783" s="611"/>
    </row>
    <row r="784" spans="7:11">
      <c r="G784" s="611"/>
      <c r="I784" s="611"/>
      <c r="K784" s="611"/>
    </row>
    <row r="785" spans="7:11">
      <c r="G785" s="611"/>
      <c r="I785" s="611"/>
      <c r="K785" s="611"/>
    </row>
    <row r="786" spans="7:11">
      <c r="G786" s="611"/>
      <c r="I786" s="611"/>
      <c r="K786" s="611"/>
    </row>
    <row r="787" spans="7:11">
      <c r="G787" s="611"/>
      <c r="I787" s="611"/>
      <c r="K787" s="611"/>
    </row>
    <row r="788" spans="7:11">
      <c r="G788" s="611"/>
      <c r="I788" s="611"/>
      <c r="K788" s="611"/>
    </row>
    <row r="789" spans="7:11">
      <c r="G789" s="611"/>
      <c r="I789" s="611"/>
      <c r="K789" s="611"/>
    </row>
    <row r="790" spans="7:11">
      <c r="G790" s="611"/>
      <c r="I790" s="611"/>
      <c r="K790" s="611"/>
    </row>
    <row r="791" spans="7:11">
      <c r="G791" s="611"/>
      <c r="I791" s="611"/>
      <c r="K791" s="611"/>
    </row>
    <row r="792" spans="7:11">
      <c r="G792" s="611"/>
      <c r="I792" s="611"/>
      <c r="K792" s="611"/>
    </row>
    <row r="793" spans="7:11">
      <c r="G793" s="611"/>
      <c r="I793" s="611"/>
      <c r="K793" s="611"/>
    </row>
    <row r="794" spans="7:11">
      <c r="G794" s="611"/>
      <c r="I794" s="611"/>
      <c r="K794" s="611"/>
    </row>
    <row r="795" spans="7:11">
      <c r="G795" s="611"/>
      <c r="I795" s="611"/>
      <c r="K795" s="611"/>
    </row>
    <row r="796" spans="7:11">
      <c r="G796" s="611"/>
      <c r="I796" s="611"/>
      <c r="K796" s="611"/>
    </row>
    <row r="797" spans="7:11">
      <c r="G797" s="611"/>
      <c r="I797" s="611"/>
      <c r="K797" s="611"/>
    </row>
    <row r="798" spans="7:11">
      <c r="G798" s="611"/>
      <c r="I798" s="611"/>
      <c r="K798" s="611"/>
    </row>
    <row r="799" spans="7:11">
      <c r="G799" s="611"/>
      <c r="I799" s="611"/>
      <c r="K799" s="611"/>
    </row>
    <row r="800" spans="7:11">
      <c r="G800" s="611"/>
      <c r="I800" s="611"/>
      <c r="K800" s="611"/>
    </row>
    <row r="801" spans="7:11">
      <c r="G801" s="611"/>
      <c r="I801" s="611"/>
      <c r="K801" s="611"/>
    </row>
    <row r="802" spans="7:11">
      <c r="G802" s="611"/>
      <c r="I802" s="611"/>
      <c r="K802" s="611"/>
    </row>
    <row r="803" spans="7:11">
      <c r="G803" s="611"/>
      <c r="I803" s="611"/>
      <c r="K803" s="611"/>
    </row>
    <row r="804" spans="7:11">
      <c r="G804" s="611"/>
      <c r="I804" s="611"/>
      <c r="K804" s="611"/>
    </row>
    <row r="805" spans="7:11">
      <c r="G805" s="611"/>
      <c r="I805" s="611"/>
      <c r="K805" s="611"/>
    </row>
    <row r="806" spans="7:11">
      <c r="G806" s="611"/>
      <c r="I806" s="611"/>
      <c r="K806" s="611"/>
    </row>
    <row r="807" spans="7:11">
      <c r="G807" s="611"/>
      <c r="I807" s="611"/>
      <c r="K807" s="611"/>
    </row>
    <row r="808" spans="7:11">
      <c r="G808" s="611"/>
      <c r="I808" s="611"/>
      <c r="K808" s="611"/>
    </row>
    <row r="809" spans="7:11">
      <c r="G809" s="611"/>
      <c r="I809" s="611"/>
      <c r="K809" s="611"/>
    </row>
    <row r="810" spans="7:11">
      <c r="G810" s="611"/>
      <c r="I810" s="611"/>
      <c r="K810" s="611"/>
    </row>
    <row r="811" spans="7:11">
      <c r="G811" s="611"/>
      <c r="I811" s="611"/>
      <c r="K811" s="611"/>
    </row>
    <row r="812" spans="7:11">
      <c r="G812" s="611"/>
      <c r="I812" s="611"/>
      <c r="K812" s="611"/>
    </row>
    <row r="813" spans="7:11">
      <c r="G813" s="611"/>
      <c r="I813" s="611"/>
      <c r="K813" s="611"/>
    </row>
    <row r="814" spans="7:11">
      <c r="G814" s="611"/>
      <c r="I814" s="611"/>
      <c r="K814" s="611"/>
    </row>
    <row r="815" spans="7:11">
      <c r="G815" s="611"/>
      <c r="I815" s="611"/>
      <c r="K815" s="611"/>
    </row>
    <row r="816" spans="7:11">
      <c r="G816" s="611"/>
      <c r="I816" s="611"/>
      <c r="K816" s="611"/>
    </row>
    <row r="817" spans="7:11">
      <c r="G817" s="611"/>
      <c r="I817" s="611"/>
      <c r="K817" s="611"/>
    </row>
    <row r="818" spans="7:11">
      <c r="G818" s="611"/>
      <c r="I818" s="611"/>
      <c r="K818" s="611"/>
    </row>
    <row r="819" spans="7:11">
      <c r="G819" s="611"/>
      <c r="I819" s="611"/>
      <c r="K819" s="611"/>
    </row>
    <row r="820" spans="7:11">
      <c r="G820" s="611"/>
      <c r="I820" s="611"/>
      <c r="K820" s="611"/>
    </row>
    <row r="821" spans="7:11">
      <c r="G821" s="611"/>
      <c r="I821" s="611"/>
      <c r="K821" s="611"/>
    </row>
    <row r="822" spans="7:11">
      <c r="G822" s="611"/>
      <c r="I822" s="611"/>
      <c r="K822" s="611"/>
    </row>
    <row r="823" spans="7:11">
      <c r="G823" s="611"/>
      <c r="I823" s="611"/>
      <c r="K823" s="611"/>
    </row>
    <row r="824" spans="7:11">
      <c r="G824" s="611"/>
      <c r="I824" s="611"/>
      <c r="K824" s="611"/>
    </row>
    <row r="825" spans="7:11">
      <c r="G825" s="611"/>
      <c r="I825" s="611"/>
      <c r="K825" s="611"/>
    </row>
    <row r="826" spans="7:11">
      <c r="G826" s="611"/>
      <c r="I826" s="611"/>
      <c r="K826" s="611"/>
    </row>
    <row r="827" spans="7:11">
      <c r="G827" s="611"/>
      <c r="I827" s="611"/>
      <c r="K827" s="611"/>
    </row>
    <row r="828" spans="7:11">
      <c r="G828" s="611"/>
      <c r="I828" s="611"/>
      <c r="K828" s="611"/>
    </row>
    <row r="829" spans="7:11">
      <c r="G829" s="611"/>
      <c r="I829" s="611"/>
      <c r="K829" s="611"/>
    </row>
    <row r="830" spans="7:11">
      <c r="G830" s="611"/>
      <c r="I830" s="611"/>
      <c r="K830" s="611"/>
    </row>
    <row r="831" spans="7:11">
      <c r="G831" s="611"/>
      <c r="I831" s="611"/>
      <c r="K831" s="611"/>
    </row>
    <row r="832" spans="7:11">
      <c r="G832" s="611"/>
      <c r="I832" s="611"/>
      <c r="K832" s="611"/>
    </row>
    <row r="833" spans="7:11">
      <c r="G833" s="611"/>
      <c r="I833" s="611"/>
      <c r="K833" s="611"/>
    </row>
    <row r="834" spans="7:11">
      <c r="G834" s="611"/>
      <c r="I834" s="611"/>
      <c r="K834" s="611"/>
    </row>
    <row r="835" spans="7:11">
      <c r="G835" s="611"/>
      <c r="I835" s="611"/>
      <c r="K835" s="611"/>
    </row>
    <row r="836" spans="7:11">
      <c r="G836" s="611"/>
      <c r="I836" s="611"/>
      <c r="K836" s="611"/>
    </row>
    <row r="837" spans="7:11">
      <c r="G837" s="611"/>
      <c r="I837" s="611"/>
      <c r="K837" s="611"/>
    </row>
    <row r="838" spans="7:11">
      <c r="G838" s="611"/>
      <c r="I838" s="611"/>
      <c r="K838" s="611"/>
    </row>
    <row r="839" spans="7:11">
      <c r="G839" s="611"/>
      <c r="I839" s="611"/>
      <c r="K839" s="611"/>
    </row>
    <row r="840" spans="7:11">
      <c r="G840" s="611"/>
      <c r="I840" s="611"/>
      <c r="K840" s="611"/>
    </row>
    <row r="841" spans="7:11">
      <c r="G841" s="611"/>
      <c r="I841" s="611"/>
      <c r="K841" s="611"/>
    </row>
    <row r="842" spans="7:11">
      <c r="G842" s="611"/>
      <c r="I842" s="611"/>
      <c r="K842" s="611"/>
    </row>
    <row r="843" spans="7:11">
      <c r="G843" s="611"/>
      <c r="I843" s="611"/>
      <c r="K843" s="611"/>
    </row>
    <row r="844" spans="7:11">
      <c r="G844" s="611"/>
      <c r="I844" s="611"/>
      <c r="K844" s="611"/>
    </row>
    <row r="845" spans="7:11">
      <c r="G845" s="611"/>
      <c r="I845" s="611"/>
      <c r="K845" s="611"/>
    </row>
    <row r="846" spans="7:11">
      <c r="G846" s="611"/>
      <c r="I846" s="611"/>
      <c r="K846" s="611"/>
    </row>
    <row r="847" spans="7:11">
      <c r="G847" s="611"/>
      <c r="I847" s="611"/>
      <c r="K847" s="611"/>
    </row>
    <row r="848" spans="7:11">
      <c r="G848" s="611"/>
      <c r="I848" s="611"/>
      <c r="K848" s="611"/>
    </row>
    <row r="849" spans="7:11">
      <c r="G849" s="611"/>
      <c r="I849" s="611"/>
      <c r="K849" s="611"/>
    </row>
    <row r="850" spans="7:11">
      <c r="G850" s="611"/>
      <c r="I850" s="611"/>
      <c r="K850" s="611"/>
    </row>
    <row r="851" spans="7:11">
      <c r="G851" s="611"/>
      <c r="I851" s="611"/>
      <c r="K851" s="611"/>
    </row>
    <row r="852" spans="7:11">
      <c r="G852" s="611"/>
      <c r="I852" s="611"/>
      <c r="K852" s="611"/>
    </row>
    <row r="853" spans="7:11">
      <c r="G853" s="611"/>
      <c r="I853" s="611"/>
      <c r="K853" s="611"/>
    </row>
    <row r="854" spans="7:11">
      <c r="G854" s="611"/>
      <c r="I854" s="611"/>
      <c r="K854" s="611"/>
    </row>
    <row r="855" spans="7:11">
      <c r="G855" s="611"/>
      <c r="I855" s="611"/>
      <c r="K855" s="611"/>
    </row>
    <row r="856" spans="7:11">
      <c r="G856" s="611"/>
      <c r="I856" s="611"/>
      <c r="K856" s="611"/>
    </row>
    <row r="857" spans="7:11">
      <c r="G857" s="611"/>
      <c r="I857" s="611"/>
      <c r="K857" s="611"/>
    </row>
    <row r="858" spans="7:11">
      <c r="G858" s="611"/>
      <c r="I858" s="611"/>
      <c r="K858" s="611"/>
    </row>
    <row r="859" spans="7:11">
      <c r="G859" s="611"/>
      <c r="I859" s="611"/>
      <c r="K859" s="611"/>
    </row>
    <row r="860" spans="7:11">
      <c r="G860" s="611"/>
      <c r="I860" s="611"/>
      <c r="K860" s="611"/>
    </row>
    <row r="861" spans="7:11">
      <c r="G861" s="611"/>
      <c r="I861" s="611"/>
      <c r="K861" s="611"/>
    </row>
    <row r="862" spans="7:11">
      <c r="G862" s="611"/>
      <c r="I862" s="611"/>
      <c r="K862" s="611"/>
    </row>
    <row r="863" spans="7:11">
      <c r="G863" s="611"/>
      <c r="I863" s="611"/>
      <c r="K863" s="611"/>
    </row>
    <row r="864" spans="7:11">
      <c r="G864" s="611"/>
      <c r="I864" s="611"/>
      <c r="K864" s="611"/>
    </row>
    <row r="865" spans="7:11">
      <c r="G865" s="611"/>
      <c r="I865" s="611"/>
      <c r="K865" s="611"/>
    </row>
    <row r="866" spans="7:11">
      <c r="G866" s="611"/>
      <c r="I866" s="611"/>
      <c r="K866" s="611"/>
    </row>
    <row r="867" spans="7:11">
      <c r="G867" s="611"/>
      <c r="I867" s="611"/>
      <c r="K867" s="611"/>
    </row>
    <row r="868" spans="7:11">
      <c r="G868" s="611"/>
      <c r="I868" s="611"/>
      <c r="K868" s="611"/>
    </row>
    <row r="869" spans="7:11">
      <c r="G869" s="611"/>
      <c r="I869" s="611"/>
      <c r="K869" s="611"/>
    </row>
    <row r="870" spans="7:11">
      <c r="G870" s="611"/>
      <c r="I870" s="611"/>
      <c r="K870" s="611"/>
    </row>
    <row r="871" spans="7:11">
      <c r="G871" s="611"/>
      <c r="I871" s="611"/>
      <c r="K871" s="611"/>
    </row>
    <row r="872" spans="7:11">
      <c r="G872" s="611"/>
      <c r="I872" s="611"/>
      <c r="K872" s="611"/>
    </row>
    <row r="873" spans="7:11">
      <c r="G873" s="611"/>
      <c r="I873" s="611"/>
      <c r="K873" s="611"/>
    </row>
    <row r="874" spans="7:11">
      <c r="G874" s="611"/>
      <c r="I874" s="611"/>
      <c r="K874" s="611"/>
    </row>
    <row r="875" spans="7:11">
      <c r="G875" s="611"/>
      <c r="I875" s="611"/>
      <c r="K875" s="611"/>
    </row>
    <row r="876" spans="7:11">
      <c r="G876" s="611"/>
      <c r="I876" s="611"/>
      <c r="K876" s="611"/>
    </row>
    <row r="877" spans="7:11">
      <c r="G877" s="611"/>
      <c r="I877" s="611"/>
      <c r="K877" s="611"/>
    </row>
    <row r="878" spans="7:11">
      <c r="G878" s="611"/>
      <c r="I878" s="611"/>
      <c r="K878" s="611"/>
    </row>
    <row r="879" spans="7:11">
      <c r="G879" s="611"/>
      <c r="I879" s="611"/>
      <c r="K879" s="611"/>
    </row>
    <row r="880" spans="7:11">
      <c r="G880" s="611"/>
      <c r="I880" s="611"/>
      <c r="K880" s="611"/>
    </row>
    <row r="881" spans="7:11">
      <c r="G881" s="611"/>
      <c r="I881" s="611"/>
      <c r="K881" s="611"/>
    </row>
    <row r="882" spans="7:11">
      <c r="G882" s="611"/>
      <c r="I882" s="611"/>
      <c r="K882" s="611"/>
    </row>
    <row r="883" spans="7:11">
      <c r="G883" s="611"/>
      <c r="I883" s="611"/>
      <c r="K883" s="611"/>
    </row>
    <row r="884" spans="7:11">
      <c r="G884" s="611"/>
      <c r="I884" s="611"/>
      <c r="K884" s="611"/>
    </row>
    <row r="885" spans="7:11">
      <c r="G885" s="611"/>
      <c r="I885" s="611"/>
      <c r="K885" s="611"/>
    </row>
    <row r="886" spans="7:11">
      <c r="G886" s="611"/>
      <c r="I886" s="611"/>
      <c r="K886" s="611"/>
    </row>
    <row r="887" spans="7:11">
      <c r="G887" s="611"/>
      <c r="I887" s="611"/>
      <c r="K887" s="611"/>
    </row>
    <row r="888" spans="7:11">
      <c r="G888" s="611"/>
      <c r="I888" s="611"/>
      <c r="K888" s="611"/>
    </row>
    <row r="889" spans="7:11">
      <c r="G889" s="611"/>
      <c r="I889" s="611"/>
      <c r="K889" s="611"/>
    </row>
    <row r="890" spans="7:11">
      <c r="G890" s="611"/>
      <c r="I890" s="611"/>
      <c r="K890" s="611"/>
    </row>
    <row r="891" spans="7:11">
      <c r="G891" s="611"/>
      <c r="I891" s="611"/>
      <c r="K891" s="611"/>
    </row>
    <row r="892" spans="7:11">
      <c r="G892" s="611"/>
      <c r="I892" s="611"/>
      <c r="K892" s="611"/>
    </row>
    <row r="893" spans="7:11">
      <c r="G893" s="611"/>
      <c r="I893" s="611"/>
      <c r="K893" s="611"/>
    </row>
    <row r="894" spans="7:11">
      <c r="G894" s="611"/>
      <c r="I894" s="611"/>
      <c r="K894" s="611"/>
    </row>
    <row r="895" spans="7:11">
      <c r="G895" s="611"/>
      <c r="I895" s="611"/>
      <c r="K895" s="611"/>
    </row>
    <row r="896" spans="7:11">
      <c r="G896" s="611"/>
      <c r="I896" s="611"/>
      <c r="K896" s="611"/>
    </row>
    <row r="897" spans="7:11">
      <c r="G897" s="611"/>
      <c r="I897" s="611"/>
      <c r="K897" s="611"/>
    </row>
    <row r="898" spans="7:11">
      <c r="G898" s="611"/>
      <c r="I898" s="611"/>
      <c r="K898" s="611"/>
    </row>
    <row r="899" spans="7:11">
      <c r="G899" s="611"/>
      <c r="I899" s="611"/>
      <c r="K899" s="611"/>
    </row>
    <row r="900" spans="7:11">
      <c r="G900" s="611"/>
      <c r="I900" s="611"/>
      <c r="K900" s="611"/>
    </row>
    <row r="901" spans="7:11">
      <c r="G901" s="611"/>
      <c r="I901" s="611"/>
      <c r="K901" s="611"/>
    </row>
    <row r="902" spans="7:11">
      <c r="G902" s="611"/>
      <c r="I902" s="611"/>
      <c r="K902" s="611"/>
    </row>
    <row r="903" spans="7:11">
      <c r="G903" s="611"/>
      <c r="I903" s="611"/>
      <c r="K903" s="611"/>
    </row>
    <row r="904" spans="7:11">
      <c r="G904" s="611"/>
      <c r="I904" s="611"/>
      <c r="K904" s="611"/>
    </row>
    <row r="905" spans="7:11">
      <c r="G905" s="611"/>
      <c r="I905" s="611"/>
      <c r="K905" s="611"/>
    </row>
    <row r="906" spans="7:11">
      <c r="G906" s="611"/>
      <c r="I906" s="611"/>
      <c r="K906" s="611"/>
    </row>
    <row r="907" spans="7:11">
      <c r="G907" s="611"/>
      <c r="I907" s="611"/>
      <c r="K907" s="611"/>
    </row>
    <row r="908" spans="7:11">
      <c r="G908" s="611"/>
      <c r="I908" s="611"/>
      <c r="K908" s="611"/>
    </row>
    <row r="909" spans="7:11">
      <c r="G909" s="611"/>
      <c r="I909" s="611"/>
      <c r="K909" s="611"/>
    </row>
    <row r="910" spans="7:11">
      <c r="G910" s="611"/>
      <c r="I910" s="611"/>
      <c r="K910" s="611"/>
    </row>
    <row r="911" spans="7:11">
      <c r="G911" s="611"/>
      <c r="I911" s="611"/>
      <c r="K911" s="611"/>
    </row>
    <row r="912" spans="7:11">
      <c r="G912" s="611"/>
      <c r="I912" s="611"/>
      <c r="K912" s="611"/>
    </row>
    <row r="913" spans="7:11">
      <c r="G913" s="611"/>
      <c r="I913" s="611"/>
      <c r="K913" s="611"/>
    </row>
    <row r="914" spans="7:11">
      <c r="G914" s="611"/>
      <c r="I914" s="611"/>
      <c r="K914" s="611"/>
    </row>
    <row r="915" spans="7:11">
      <c r="G915" s="611"/>
      <c r="I915" s="611"/>
      <c r="K915" s="611"/>
    </row>
    <row r="916" spans="7:11">
      <c r="G916" s="611"/>
      <c r="I916" s="611"/>
      <c r="K916" s="611"/>
    </row>
    <row r="917" spans="7:11">
      <c r="G917" s="611"/>
      <c r="I917" s="611"/>
      <c r="K917" s="611"/>
    </row>
    <row r="918" spans="7:11">
      <c r="G918" s="611"/>
      <c r="I918" s="611"/>
      <c r="K918" s="611"/>
    </row>
    <row r="919" spans="7:11">
      <c r="G919" s="611"/>
      <c r="I919" s="611"/>
      <c r="K919" s="611"/>
    </row>
    <row r="920" spans="7:11">
      <c r="G920" s="611"/>
      <c r="I920" s="611"/>
      <c r="K920" s="611"/>
    </row>
    <row r="921" spans="7:11">
      <c r="G921" s="611"/>
      <c r="I921" s="611"/>
      <c r="K921" s="611"/>
    </row>
    <row r="922" spans="7:11">
      <c r="G922" s="611"/>
      <c r="I922" s="611"/>
      <c r="K922" s="611"/>
    </row>
    <row r="923" spans="7:11">
      <c r="G923" s="611"/>
      <c r="I923" s="611"/>
      <c r="K923" s="611"/>
    </row>
    <row r="924" spans="7:11">
      <c r="G924" s="611"/>
      <c r="I924" s="611"/>
      <c r="K924" s="611"/>
    </row>
    <row r="925" spans="7:11">
      <c r="G925" s="611"/>
      <c r="I925" s="611"/>
      <c r="K925" s="611"/>
    </row>
    <row r="926" spans="7:11">
      <c r="G926" s="611"/>
      <c r="I926" s="611"/>
      <c r="K926" s="611"/>
    </row>
    <row r="927" spans="7:11">
      <c r="G927" s="611"/>
      <c r="I927" s="611"/>
      <c r="K927" s="611"/>
    </row>
    <row r="928" spans="7:11">
      <c r="G928" s="611"/>
      <c r="I928" s="611"/>
      <c r="K928" s="611"/>
    </row>
    <row r="929" spans="7:11">
      <c r="G929" s="611"/>
      <c r="I929" s="611"/>
      <c r="K929" s="611"/>
    </row>
    <row r="930" spans="7:11">
      <c r="G930" s="611"/>
      <c r="I930" s="611"/>
      <c r="K930" s="611"/>
    </row>
    <row r="931" spans="7:11">
      <c r="G931" s="611"/>
      <c r="I931" s="611"/>
      <c r="K931" s="611"/>
    </row>
    <row r="932" spans="7:11">
      <c r="G932" s="611"/>
      <c r="I932" s="611"/>
      <c r="K932" s="611"/>
    </row>
    <row r="933" spans="7:11">
      <c r="G933" s="611"/>
      <c r="I933" s="611"/>
      <c r="K933" s="611"/>
    </row>
    <row r="934" spans="7:11">
      <c r="G934" s="611"/>
      <c r="I934" s="611"/>
      <c r="K934" s="611"/>
    </row>
    <row r="935" spans="7:11">
      <c r="G935" s="611"/>
      <c r="I935" s="611"/>
      <c r="K935" s="611"/>
    </row>
    <row r="936" spans="7:11">
      <c r="G936" s="611"/>
      <c r="I936" s="611"/>
      <c r="K936" s="611"/>
    </row>
    <row r="937" spans="7:11">
      <c r="G937" s="611"/>
      <c r="I937" s="611"/>
      <c r="K937" s="611"/>
    </row>
    <row r="938" spans="7:11">
      <c r="G938" s="611"/>
      <c r="I938" s="611"/>
      <c r="K938" s="611"/>
    </row>
    <row r="939" spans="7:11">
      <c r="G939" s="611"/>
      <c r="I939" s="611"/>
      <c r="K939" s="611"/>
    </row>
    <row r="940" spans="7:11">
      <c r="G940" s="611"/>
      <c r="I940" s="611"/>
      <c r="K940" s="611"/>
    </row>
    <row r="941" spans="7:11">
      <c r="G941" s="611"/>
      <c r="I941" s="611"/>
      <c r="K941" s="611"/>
    </row>
    <row r="942" spans="7:11">
      <c r="G942" s="611"/>
      <c r="I942" s="611"/>
      <c r="K942" s="611"/>
    </row>
    <row r="943" spans="7:11">
      <c r="G943" s="611"/>
      <c r="I943" s="611"/>
      <c r="K943" s="611"/>
    </row>
    <row r="944" spans="7:11">
      <c r="G944" s="611"/>
      <c r="I944" s="611"/>
      <c r="K944" s="611"/>
    </row>
    <row r="945" spans="7:11">
      <c r="G945" s="611"/>
      <c r="I945" s="611"/>
      <c r="K945" s="611"/>
    </row>
    <row r="946" spans="7:11">
      <c r="G946" s="611"/>
      <c r="I946" s="611"/>
      <c r="K946" s="611"/>
    </row>
    <row r="947" spans="7:11">
      <c r="G947" s="611"/>
      <c r="I947" s="611"/>
      <c r="K947" s="611"/>
    </row>
    <row r="948" spans="7:11">
      <c r="G948" s="611"/>
      <c r="I948" s="611"/>
      <c r="K948" s="611"/>
    </row>
    <row r="949" spans="7:11">
      <c r="G949" s="611"/>
      <c r="I949" s="611"/>
      <c r="K949" s="611"/>
    </row>
    <row r="950" spans="7:11">
      <c r="G950" s="611"/>
      <c r="I950" s="611"/>
      <c r="K950" s="611"/>
    </row>
    <row r="951" spans="7:11">
      <c r="G951" s="611"/>
      <c r="I951" s="611"/>
      <c r="K951" s="611"/>
    </row>
    <row r="952" spans="7:11">
      <c r="G952" s="611"/>
      <c r="I952" s="611"/>
      <c r="K952" s="611"/>
    </row>
    <row r="953" spans="7:11">
      <c r="G953" s="611"/>
      <c r="I953" s="611"/>
      <c r="K953" s="611"/>
    </row>
    <row r="954" spans="7:11">
      <c r="G954" s="611"/>
      <c r="I954" s="611"/>
      <c r="K954" s="611"/>
    </row>
    <row r="955" spans="7:11">
      <c r="G955" s="611"/>
      <c r="I955" s="611"/>
      <c r="K955" s="611"/>
    </row>
    <row r="956" spans="7:11">
      <c r="G956" s="611"/>
      <c r="I956" s="611"/>
      <c r="K956" s="611"/>
    </row>
    <row r="957" spans="7:11">
      <c r="G957" s="611"/>
      <c r="I957" s="611"/>
      <c r="K957" s="611"/>
    </row>
    <row r="958" spans="7:11">
      <c r="G958" s="611"/>
      <c r="I958" s="611"/>
      <c r="K958" s="611"/>
    </row>
    <row r="959" spans="7:11">
      <c r="G959" s="611"/>
      <c r="I959" s="611"/>
      <c r="K959" s="611"/>
    </row>
    <row r="960" spans="7:11">
      <c r="G960" s="611"/>
      <c r="I960" s="611"/>
      <c r="K960" s="611"/>
    </row>
    <row r="961" spans="7:11">
      <c r="G961" s="611"/>
      <c r="I961" s="611"/>
      <c r="K961" s="611"/>
    </row>
    <row r="962" spans="7:11">
      <c r="G962" s="611"/>
      <c r="I962" s="611"/>
      <c r="K962" s="611"/>
    </row>
    <row r="963" spans="7:11">
      <c r="G963" s="611"/>
      <c r="I963" s="611"/>
      <c r="K963" s="611"/>
    </row>
    <row r="964" spans="7:11">
      <c r="G964" s="611"/>
      <c r="I964" s="611"/>
      <c r="K964" s="611"/>
    </row>
    <row r="965" spans="7:11">
      <c r="G965" s="611"/>
      <c r="I965" s="611"/>
      <c r="K965" s="611"/>
    </row>
    <row r="966" spans="7:11">
      <c r="G966" s="611"/>
      <c r="I966" s="611"/>
      <c r="K966" s="611"/>
    </row>
    <row r="967" spans="7:11">
      <c r="G967" s="611"/>
      <c r="I967" s="611"/>
      <c r="K967" s="611"/>
    </row>
    <row r="968" spans="7:11">
      <c r="G968" s="611"/>
      <c r="I968" s="611"/>
      <c r="K968" s="611"/>
    </row>
    <row r="969" spans="7:11">
      <c r="G969" s="611"/>
      <c r="I969" s="611"/>
      <c r="K969" s="611"/>
    </row>
    <row r="970" spans="7:11">
      <c r="G970" s="611"/>
      <c r="I970" s="611"/>
      <c r="K970" s="611"/>
    </row>
    <row r="971" spans="7:11">
      <c r="G971" s="611"/>
      <c r="I971" s="611"/>
      <c r="K971" s="611"/>
    </row>
    <row r="972" spans="7:11">
      <c r="G972" s="611"/>
      <c r="I972" s="611"/>
      <c r="K972" s="611"/>
    </row>
    <row r="973" spans="7:11">
      <c r="G973" s="611"/>
      <c r="I973" s="611"/>
      <c r="K973" s="611"/>
    </row>
    <row r="974" spans="7:11">
      <c r="G974" s="611"/>
      <c r="I974" s="611"/>
      <c r="K974" s="611"/>
    </row>
    <row r="975" spans="7:11">
      <c r="G975" s="611"/>
      <c r="I975" s="611"/>
      <c r="K975" s="611"/>
    </row>
    <row r="976" spans="7:11">
      <c r="G976" s="611"/>
      <c r="I976" s="611"/>
      <c r="K976" s="611"/>
    </row>
    <row r="977" spans="7:11">
      <c r="G977" s="611"/>
      <c r="I977" s="611"/>
      <c r="K977" s="611"/>
    </row>
    <row r="978" spans="7:11">
      <c r="G978" s="611"/>
      <c r="I978" s="611"/>
      <c r="K978" s="611"/>
    </row>
    <row r="979" spans="7:11">
      <c r="G979" s="611"/>
      <c r="I979" s="611"/>
      <c r="K979" s="611"/>
    </row>
    <row r="980" spans="7:11">
      <c r="G980" s="611"/>
      <c r="I980" s="611"/>
      <c r="K980" s="611"/>
    </row>
    <row r="981" spans="7:11">
      <c r="G981" s="611"/>
      <c r="I981" s="611"/>
      <c r="K981" s="611"/>
    </row>
    <row r="982" spans="7:11">
      <c r="G982" s="611"/>
      <c r="I982" s="611"/>
      <c r="K982" s="611"/>
    </row>
    <row r="983" spans="7:11">
      <c r="G983" s="611"/>
      <c r="I983" s="611"/>
      <c r="K983" s="611"/>
    </row>
    <row r="984" spans="7:11">
      <c r="G984" s="611"/>
      <c r="I984" s="611"/>
      <c r="K984" s="611"/>
    </row>
    <row r="985" spans="7:11">
      <c r="G985" s="611"/>
      <c r="I985" s="611"/>
      <c r="K985" s="611"/>
    </row>
    <row r="986" spans="7:11">
      <c r="G986" s="611"/>
      <c r="I986" s="611"/>
      <c r="K986" s="611"/>
    </row>
    <row r="987" spans="7:11">
      <c r="G987" s="611"/>
      <c r="I987" s="611"/>
      <c r="K987" s="611"/>
    </row>
    <row r="988" spans="7:11">
      <c r="G988" s="611"/>
      <c r="I988" s="611"/>
      <c r="K988" s="611"/>
    </row>
    <row r="989" spans="7:11">
      <c r="G989" s="611"/>
      <c r="I989" s="611"/>
      <c r="K989" s="611"/>
    </row>
    <row r="990" spans="7:11">
      <c r="G990" s="611"/>
      <c r="I990" s="611"/>
      <c r="K990" s="611"/>
    </row>
    <row r="991" spans="7:11">
      <c r="G991" s="611"/>
      <c r="I991" s="611"/>
      <c r="K991" s="611"/>
    </row>
    <row r="992" spans="7:11">
      <c r="G992" s="611"/>
      <c r="I992" s="611"/>
      <c r="K992" s="611"/>
    </row>
    <row r="993" spans="7:11">
      <c r="G993" s="611"/>
      <c r="I993" s="611"/>
      <c r="K993" s="611"/>
    </row>
    <row r="994" spans="7:11">
      <c r="G994" s="611"/>
      <c r="I994" s="611"/>
      <c r="K994" s="611"/>
    </row>
    <row r="995" spans="7:11">
      <c r="G995" s="611"/>
      <c r="I995" s="611"/>
      <c r="K995" s="611"/>
    </row>
    <row r="996" spans="7:11">
      <c r="G996" s="611"/>
      <c r="I996" s="611"/>
      <c r="K996" s="611"/>
    </row>
    <row r="997" spans="7:11">
      <c r="G997" s="611"/>
      <c r="I997" s="611"/>
      <c r="K997" s="611"/>
    </row>
    <row r="998" spans="7:11">
      <c r="G998" s="611"/>
      <c r="I998" s="611"/>
      <c r="K998" s="611"/>
    </row>
    <row r="999" spans="7:11">
      <c r="G999" s="611"/>
      <c r="I999" s="611"/>
      <c r="K999" s="611"/>
    </row>
    <row r="1000" spans="7:11">
      <c r="G1000" s="611"/>
      <c r="I1000" s="611"/>
      <c r="K1000" s="611"/>
    </row>
    <row r="1001" spans="7:11">
      <c r="G1001" s="611"/>
      <c r="I1001" s="611"/>
      <c r="K1001" s="611"/>
    </row>
    <row r="1002" spans="7:11">
      <c r="G1002" s="611"/>
      <c r="I1002" s="611"/>
      <c r="K1002" s="611"/>
    </row>
    <row r="1003" spans="7:11">
      <c r="G1003" s="611"/>
      <c r="I1003" s="611"/>
      <c r="K1003" s="611"/>
    </row>
    <row r="1004" spans="7:11">
      <c r="G1004" s="611"/>
      <c r="I1004" s="611"/>
      <c r="K1004" s="611"/>
    </row>
    <row r="1005" spans="7:11">
      <c r="G1005" s="611"/>
      <c r="I1005" s="611"/>
      <c r="K1005" s="611"/>
    </row>
    <row r="1006" spans="7:11">
      <c r="G1006" s="611"/>
      <c r="I1006" s="611"/>
      <c r="K1006" s="611"/>
    </row>
    <row r="1007" spans="7:11">
      <c r="G1007" s="611"/>
      <c r="I1007" s="611"/>
      <c r="K1007" s="611"/>
    </row>
    <row r="1008" spans="7:11">
      <c r="G1008" s="611"/>
      <c r="I1008" s="611"/>
      <c r="K1008" s="611"/>
    </row>
    <row r="1009" spans="7:11">
      <c r="G1009" s="611"/>
      <c r="I1009" s="611"/>
      <c r="K1009" s="611"/>
    </row>
    <row r="1010" spans="7:11">
      <c r="G1010" s="611"/>
      <c r="I1010" s="611"/>
      <c r="K1010" s="611"/>
    </row>
    <row r="1011" spans="7:11">
      <c r="G1011" s="611"/>
      <c r="I1011" s="611"/>
      <c r="K1011" s="611"/>
    </row>
    <row r="1012" spans="7:11">
      <c r="G1012" s="611"/>
      <c r="I1012" s="611"/>
      <c r="K1012" s="611"/>
    </row>
    <row r="1013" spans="7:11">
      <c r="G1013" s="611"/>
      <c r="I1013" s="611"/>
      <c r="K1013" s="611"/>
    </row>
    <row r="1014" spans="7:11">
      <c r="G1014" s="611"/>
      <c r="I1014" s="611"/>
      <c r="K1014" s="611"/>
    </row>
    <row r="1015" spans="7:11">
      <c r="G1015" s="611"/>
      <c r="I1015" s="611"/>
      <c r="K1015" s="611"/>
    </row>
    <row r="1016" spans="7:11">
      <c r="G1016" s="611"/>
      <c r="I1016" s="611"/>
      <c r="K1016" s="611"/>
    </row>
    <row r="1017" spans="7:11">
      <c r="G1017" s="611"/>
      <c r="I1017" s="611"/>
      <c r="K1017" s="611"/>
    </row>
    <row r="1018" spans="7:11">
      <c r="G1018" s="611"/>
      <c r="I1018" s="611"/>
      <c r="K1018" s="611"/>
    </row>
    <row r="1019" spans="7:11">
      <c r="G1019" s="611"/>
      <c r="I1019" s="611"/>
      <c r="K1019" s="611"/>
    </row>
    <row r="1020" spans="7:11">
      <c r="G1020" s="611"/>
      <c r="I1020" s="611"/>
      <c r="K1020" s="611"/>
    </row>
    <row r="1021" spans="7:11">
      <c r="G1021" s="611"/>
      <c r="I1021" s="611"/>
      <c r="K1021" s="611"/>
    </row>
    <row r="1022" spans="7:11">
      <c r="G1022" s="611"/>
      <c r="I1022" s="611"/>
      <c r="K1022" s="611"/>
    </row>
    <row r="1023" spans="7:11">
      <c r="G1023" s="611"/>
      <c r="I1023" s="611"/>
      <c r="K1023" s="611"/>
    </row>
    <row r="1024" spans="7:11">
      <c r="G1024" s="611"/>
      <c r="I1024" s="611"/>
      <c r="K1024" s="611"/>
    </row>
    <row r="1025" spans="7:11">
      <c r="G1025" s="611"/>
      <c r="I1025" s="611"/>
      <c r="K1025" s="611"/>
    </row>
    <row r="1026" spans="7:11">
      <c r="G1026" s="611"/>
      <c r="I1026" s="611"/>
      <c r="K1026" s="611"/>
    </row>
    <row r="1027" spans="7:11">
      <c r="G1027" s="611"/>
      <c r="I1027" s="611"/>
      <c r="K1027" s="611"/>
    </row>
    <row r="1028" spans="7:11">
      <c r="G1028" s="611"/>
      <c r="I1028" s="611"/>
      <c r="K1028" s="611"/>
    </row>
    <row r="1029" spans="7:11">
      <c r="G1029" s="611"/>
      <c r="I1029" s="611"/>
      <c r="K1029" s="611"/>
    </row>
    <row r="1030" spans="7:11">
      <c r="G1030" s="611"/>
      <c r="I1030" s="611"/>
      <c r="K1030" s="611"/>
    </row>
    <row r="1031" spans="7:11">
      <c r="G1031" s="611"/>
      <c r="I1031" s="611"/>
      <c r="K1031" s="611"/>
    </row>
    <row r="1032" spans="7:11">
      <c r="G1032" s="611"/>
      <c r="I1032" s="611"/>
      <c r="K1032" s="611"/>
    </row>
    <row r="1033" spans="7:11">
      <c r="G1033" s="611"/>
      <c r="I1033" s="611"/>
      <c r="K1033" s="611"/>
    </row>
    <row r="1034" spans="7:11">
      <c r="G1034" s="611"/>
      <c r="I1034" s="611"/>
      <c r="K1034" s="611"/>
    </row>
    <row r="1035" spans="7:11">
      <c r="G1035" s="611"/>
      <c r="I1035" s="611"/>
      <c r="K1035" s="611"/>
    </row>
    <row r="1036" spans="7:11">
      <c r="G1036" s="611"/>
      <c r="I1036" s="611"/>
      <c r="K1036" s="611"/>
    </row>
    <row r="1037" spans="7:11">
      <c r="G1037" s="611"/>
      <c r="I1037" s="611"/>
      <c r="K1037" s="611"/>
    </row>
    <row r="1038" spans="7:11">
      <c r="G1038" s="611"/>
      <c r="I1038" s="611"/>
      <c r="K1038" s="611"/>
    </row>
    <row r="1039" spans="7:11">
      <c r="G1039" s="611"/>
      <c r="I1039" s="611"/>
      <c r="K1039" s="611"/>
    </row>
    <row r="1040" spans="7:11">
      <c r="G1040" s="611"/>
      <c r="I1040" s="611"/>
      <c r="K1040" s="611"/>
    </row>
    <row r="1041" spans="7:11">
      <c r="G1041" s="611"/>
      <c r="I1041" s="611"/>
      <c r="K1041" s="611"/>
    </row>
    <row r="1042" spans="7:11">
      <c r="G1042" s="611"/>
      <c r="I1042" s="611"/>
      <c r="K1042" s="611"/>
    </row>
    <row r="1043" spans="7:11">
      <c r="G1043" s="611"/>
      <c r="I1043" s="611"/>
      <c r="K1043" s="611"/>
    </row>
    <row r="1044" spans="7:11">
      <c r="G1044" s="611"/>
      <c r="I1044" s="611"/>
      <c r="K1044" s="611"/>
    </row>
    <row r="1045" spans="7:11">
      <c r="G1045" s="611"/>
      <c r="I1045" s="611"/>
      <c r="K1045" s="611"/>
    </row>
    <row r="1046" spans="7:11">
      <c r="G1046" s="611"/>
      <c r="I1046" s="611"/>
      <c r="K1046" s="611"/>
    </row>
    <row r="1047" spans="7:11">
      <c r="G1047" s="611"/>
      <c r="I1047" s="611"/>
      <c r="K1047" s="611"/>
    </row>
    <row r="1048" spans="7:11">
      <c r="G1048" s="611"/>
      <c r="I1048" s="611"/>
      <c r="K1048" s="611"/>
    </row>
    <row r="1049" spans="7:11">
      <c r="G1049" s="611"/>
      <c r="I1049" s="611"/>
      <c r="K1049" s="611"/>
    </row>
    <row r="1050" spans="7:11">
      <c r="G1050" s="611"/>
      <c r="I1050" s="611"/>
      <c r="K1050" s="611"/>
    </row>
    <row r="1051" spans="7:11">
      <c r="G1051" s="611"/>
      <c r="I1051" s="611"/>
      <c r="K1051" s="611"/>
    </row>
    <row r="1052" spans="7:11">
      <c r="G1052" s="611"/>
      <c r="I1052" s="611"/>
      <c r="K1052" s="611"/>
    </row>
    <row r="1053" spans="7:11">
      <c r="G1053" s="611"/>
      <c r="I1053" s="611"/>
      <c r="K1053" s="611"/>
    </row>
    <row r="1054" spans="7:11">
      <c r="G1054" s="611"/>
      <c r="I1054" s="611"/>
      <c r="K1054" s="611"/>
    </row>
    <row r="1055" spans="7:11">
      <c r="G1055" s="611"/>
      <c r="I1055" s="611"/>
      <c r="K1055" s="611"/>
    </row>
    <row r="1056" spans="7:11">
      <c r="G1056" s="611"/>
      <c r="I1056" s="611"/>
      <c r="K1056" s="611"/>
    </row>
    <row r="1057" spans="7:11">
      <c r="G1057" s="611"/>
      <c r="I1057" s="611"/>
      <c r="K1057" s="611"/>
    </row>
    <row r="1058" spans="7:11">
      <c r="G1058" s="611"/>
      <c r="I1058" s="611"/>
      <c r="K1058" s="611"/>
    </row>
    <row r="1059" spans="7:11">
      <c r="G1059" s="611"/>
      <c r="I1059" s="611"/>
      <c r="K1059" s="611"/>
    </row>
    <row r="1060" spans="7:11">
      <c r="G1060" s="611"/>
      <c r="I1060" s="611"/>
      <c r="K1060" s="611"/>
    </row>
    <row r="1061" spans="7:11">
      <c r="G1061" s="611"/>
      <c r="I1061" s="611"/>
      <c r="K1061" s="611"/>
    </row>
    <row r="1062" spans="7:11">
      <c r="G1062" s="611"/>
      <c r="I1062" s="611"/>
      <c r="K1062" s="611"/>
    </row>
    <row r="1063" spans="7:11">
      <c r="G1063" s="611"/>
      <c r="I1063" s="611"/>
      <c r="K1063" s="611"/>
    </row>
    <row r="1064" spans="7:11">
      <c r="G1064" s="611"/>
      <c r="I1064" s="611"/>
      <c r="K1064" s="611"/>
    </row>
    <row r="1065" spans="7:11">
      <c r="G1065" s="611"/>
      <c r="I1065" s="611"/>
      <c r="K1065" s="611"/>
    </row>
    <row r="1066" spans="7:11">
      <c r="G1066" s="611"/>
      <c r="I1066" s="611"/>
      <c r="K1066" s="611"/>
    </row>
    <row r="1067" spans="7:11">
      <c r="G1067" s="611"/>
      <c r="I1067" s="611"/>
      <c r="K1067" s="611"/>
    </row>
    <row r="1068" spans="7:11">
      <c r="G1068" s="611"/>
      <c r="I1068" s="611"/>
      <c r="K1068" s="611"/>
    </row>
    <row r="1069" spans="7:11">
      <c r="G1069" s="611"/>
      <c r="I1069" s="611"/>
      <c r="K1069" s="611"/>
    </row>
    <row r="1070" spans="7:11">
      <c r="G1070" s="611"/>
      <c r="I1070" s="611"/>
      <c r="K1070" s="611"/>
    </row>
    <row r="1071" spans="7:11">
      <c r="G1071" s="611"/>
      <c r="I1071" s="611"/>
      <c r="K1071" s="611"/>
    </row>
    <row r="1072" spans="7:11">
      <c r="G1072" s="611"/>
      <c r="I1072" s="611"/>
      <c r="K1072" s="611"/>
    </row>
    <row r="1073" spans="7:11">
      <c r="G1073" s="611"/>
      <c r="I1073" s="611"/>
      <c r="K1073" s="611"/>
    </row>
    <row r="1074" spans="7:11">
      <c r="G1074" s="611"/>
      <c r="I1074" s="611"/>
      <c r="K1074" s="611"/>
    </row>
    <row r="1075" spans="7:11">
      <c r="G1075" s="611"/>
      <c r="I1075" s="611"/>
      <c r="K1075" s="611"/>
    </row>
    <row r="1076" spans="7:11">
      <c r="G1076" s="611"/>
      <c r="I1076" s="611"/>
      <c r="K1076" s="611"/>
    </row>
    <row r="1077" spans="7:11">
      <c r="G1077" s="611"/>
      <c r="I1077" s="611"/>
      <c r="K1077" s="611"/>
    </row>
    <row r="1078" spans="7:11">
      <c r="G1078" s="611"/>
      <c r="I1078" s="611"/>
      <c r="K1078" s="611"/>
    </row>
    <row r="1079" spans="7:11">
      <c r="G1079" s="611"/>
      <c r="I1079" s="611"/>
      <c r="K1079" s="611"/>
    </row>
    <row r="1080" spans="7:11">
      <c r="G1080" s="611"/>
      <c r="I1080" s="611"/>
      <c r="K1080" s="611"/>
    </row>
    <row r="1081" spans="7:11">
      <c r="G1081" s="611"/>
      <c r="I1081" s="611"/>
      <c r="K1081" s="611"/>
    </row>
    <row r="1082" spans="7:11">
      <c r="G1082" s="611"/>
      <c r="I1082" s="611"/>
      <c r="K1082" s="611"/>
    </row>
    <row r="1083" spans="7:11">
      <c r="G1083" s="611"/>
      <c r="I1083" s="611"/>
      <c r="K1083" s="611"/>
    </row>
    <row r="1084" spans="7:11">
      <c r="G1084" s="611"/>
      <c r="I1084" s="611"/>
      <c r="K1084" s="611"/>
    </row>
    <row r="1085" spans="7:11">
      <c r="G1085" s="611"/>
      <c r="I1085" s="611"/>
      <c r="K1085" s="611"/>
    </row>
    <row r="1086" spans="7:11">
      <c r="G1086" s="611"/>
      <c r="I1086" s="611"/>
      <c r="K1086" s="611"/>
    </row>
    <row r="1087" spans="7:11">
      <c r="G1087" s="611"/>
      <c r="I1087" s="611"/>
      <c r="K1087" s="611"/>
    </row>
    <row r="1088" spans="7:11">
      <c r="G1088" s="611"/>
      <c r="I1088" s="611"/>
      <c r="K1088" s="611"/>
    </row>
    <row r="1089" spans="7:11">
      <c r="G1089" s="611"/>
      <c r="I1089" s="611"/>
      <c r="K1089" s="611"/>
    </row>
    <row r="1090" spans="7:11">
      <c r="G1090" s="611"/>
      <c r="I1090" s="611"/>
      <c r="K1090" s="611"/>
    </row>
    <row r="1091" spans="7:11">
      <c r="G1091" s="611"/>
      <c r="I1091" s="611"/>
      <c r="K1091" s="611"/>
    </row>
    <row r="1092" spans="7:11">
      <c r="G1092" s="611"/>
      <c r="I1092" s="611"/>
      <c r="K1092" s="611"/>
    </row>
    <row r="1093" spans="7:11">
      <c r="G1093" s="611"/>
      <c r="I1093" s="611"/>
      <c r="K1093" s="611"/>
    </row>
    <row r="1094" spans="7:11">
      <c r="G1094" s="611"/>
      <c r="I1094" s="611"/>
      <c r="K1094" s="611"/>
    </row>
    <row r="1095" spans="7:11">
      <c r="G1095" s="611"/>
      <c r="I1095" s="611"/>
      <c r="K1095" s="611"/>
    </row>
    <row r="1096" spans="7:11">
      <c r="G1096" s="611"/>
      <c r="I1096" s="611"/>
      <c r="K1096" s="611"/>
    </row>
    <row r="1097" spans="7:11">
      <c r="G1097" s="611"/>
      <c r="I1097" s="611"/>
      <c r="K1097" s="611"/>
    </row>
    <row r="1098" spans="7:11">
      <c r="G1098" s="611"/>
      <c r="I1098" s="611"/>
      <c r="K1098" s="611"/>
    </row>
    <row r="1099" spans="7:11">
      <c r="G1099" s="611"/>
      <c r="I1099" s="611"/>
      <c r="K1099" s="611"/>
    </row>
    <row r="1100" spans="7:11">
      <c r="G1100" s="611"/>
      <c r="I1100" s="611"/>
      <c r="K1100" s="611"/>
    </row>
    <row r="1101" spans="7:11">
      <c r="G1101" s="611"/>
      <c r="I1101" s="611"/>
      <c r="K1101" s="611"/>
    </row>
    <row r="1102" spans="7:11">
      <c r="G1102" s="611"/>
      <c r="I1102" s="611"/>
      <c r="K1102" s="611"/>
    </row>
    <row r="1103" spans="7:11">
      <c r="G1103" s="611"/>
      <c r="I1103" s="611"/>
      <c r="K1103" s="611"/>
    </row>
    <row r="1104" spans="7:11">
      <c r="G1104" s="611"/>
      <c r="I1104" s="611"/>
      <c r="K1104" s="611"/>
    </row>
    <row r="1105" spans="7:11">
      <c r="G1105" s="611"/>
      <c r="I1105" s="611"/>
      <c r="K1105" s="611"/>
    </row>
    <row r="1106" spans="7:11">
      <c r="G1106" s="611"/>
      <c r="I1106" s="611"/>
      <c r="K1106" s="611"/>
    </row>
    <row r="1107" spans="7:11">
      <c r="G1107" s="611"/>
      <c r="I1107" s="611"/>
      <c r="K1107" s="611"/>
    </row>
    <row r="1108" spans="7:11">
      <c r="G1108" s="611"/>
      <c r="I1108" s="611"/>
      <c r="K1108" s="611"/>
    </row>
    <row r="1109" spans="7:11">
      <c r="G1109" s="611"/>
      <c r="I1109" s="611"/>
      <c r="K1109" s="611"/>
    </row>
    <row r="1110" spans="7:11">
      <c r="G1110" s="611"/>
      <c r="I1110" s="611"/>
      <c r="K1110" s="611"/>
    </row>
    <row r="1111" spans="7:11">
      <c r="G1111" s="611"/>
      <c r="I1111" s="611"/>
      <c r="K1111" s="611"/>
    </row>
    <row r="1112" spans="7:11">
      <c r="G1112" s="611"/>
      <c r="I1112" s="611"/>
      <c r="K1112" s="611"/>
    </row>
    <row r="1113" spans="7:11">
      <c r="G1113" s="611"/>
      <c r="I1113" s="611"/>
      <c r="K1113" s="611"/>
    </row>
    <row r="1114" spans="7:11">
      <c r="G1114" s="611"/>
      <c r="I1114" s="611"/>
      <c r="K1114" s="611"/>
    </row>
    <row r="1115" spans="7:11">
      <c r="G1115" s="611"/>
      <c r="I1115" s="611"/>
      <c r="K1115" s="611"/>
    </row>
    <row r="1116" spans="7:11">
      <c r="G1116" s="611"/>
      <c r="I1116" s="611"/>
      <c r="K1116" s="611"/>
    </row>
    <row r="1117" spans="7:11">
      <c r="G1117" s="611"/>
      <c r="I1117" s="611"/>
      <c r="K1117" s="611"/>
    </row>
    <row r="1118" spans="7:11">
      <c r="G1118" s="611"/>
      <c r="I1118" s="611"/>
      <c r="K1118" s="611"/>
    </row>
    <row r="1119" spans="7:11">
      <c r="G1119" s="611"/>
      <c r="I1119" s="611"/>
      <c r="K1119" s="611"/>
    </row>
    <row r="1120" spans="7:11">
      <c r="G1120" s="611"/>
      <c r="I1120" s="611"/>
      <c r="K1120" s="611"/>
    </row>
    <row r="1121" spans="7:11">
      <c r="G1121" s="611"/>
      <c r="I1121" s="611"/>
      <c r="K1121" s="611"/>
    </row>
    <row r="1122" spans="7:11">
      <c r="G1122" s="611"/>
      <c r="I1122" s="611"/>
      <c r="K1122" s="611"/>
    </row>
    <row r="1123" spans="7:11">
      <c r="G1123" s="611"/>
      <c r="I1123" s="611"/>
      <c r="K1123" s="611"/>
    </row>
    <row r="1124" spans="7:11">
      <c r="G1124" s="611"/>
      <c r="I1124" s="611"/>
      <c r="K1124" s="611"/>
    </row>
    <row r="1125" spans="7:11">
      <c r="G1125" s="611"/>
      <c r="I1125" s="611"/>
      <c r="K1125" s="611"/>
    </row>
    <row r="1126" spans="7:11">
      <c r="G1126" s="611"/>
      <c r="I1126" s="611"/>
      <c r="K1126" s="611"/>
    </row>
    <row r="1127" spans="7:11">
      <c r="G1127" s="611"/>
      <c r="I1127" s="611"/>
      <c r="K1127" s="611"/>
    </row>
    <row r="1128" spans="7:11">
      <c r="G1128" s="611"/>
      <c r="I1128" s="611"/>
      <c r="K1128" s="611"/>
    </row>
    <row r="1129" spans="7:11">
      <c r="G1129" s="611"/>
      <c r="I1129" s="611"/>
      <c r="K1129" s="611"/>
    </row>
    <row r="1130" spans="7:11">
      <c r="G1130" s="611"/>
      <c r="I1130" s="611"/>
      <c r="K1130" s="611"/>
    </row>
    <row r="1131" spans="7:11">
      <c r="G1131" s="611"/>
      <c r="I1131" s="611"/>
      <c r="K1131" s="611"/>
    </row>
    <row r="1132" spans="7:11">
      <c r="G1132" s="611"/>
      <c r="I1132" s="611"/>
      <c r="K1132" s="611"/>
    </row>
    <row r="1133" spans="7:11">
      <c r="G1133" s="611"/>
      <c r="I1133" s="611"/>
      <c r="K1133" s="611"/>
    </row>
    <row r="1134" spans="7:11">
      <c r="G1134" s="611"/>
      <c r="I1134" s="611"/>
      <c r="K1134" s="611"/>
    </row>
    <row r="1135" spans="7:11">
      <c r="G1135" s="611"/>
      <c r="I1135" s="611"/>
      <c r="K1135" s="611"/>
    </row>
    <row r="1136" spans="7:11">
      <c r="G1136" s="611"/>
      <c r="I1136" s="611"/>
      <c r="K1136" s="611"/>
    </row>
    <row r="1137" spans="7:11">
      <c r="G1137" s="611"/>
      <c r="I1137" s="611"/>
      <c r="K1137" s="611"/>
    </row>
    <row r="1138" spans="7:11">
      <c r="G1138" s="611"/>
      <c r="I1138" s="611"/>
      <c r="K1138" s="611"/>
    </row>
    <row r="1139" spans="7:11">
      <c r="G1139" s="611"/>
      <c r="I1139" s="611"/>
      <c r="K1139" s="611"/>
    </row>
    <row r="1140" spans="7:11">
      <c r="G1140" s="611"/>
      <c r="I1140" s="611"/>
      <c r="K1140" s="611"/>
    </row>
    <row r="1141" spans="7:11">
      <c r="G1141" s="611"/>
      <c r="I1141" s="611"/>
      <c r="K1141" s="611"/>
    </row>
    <row r="1142" spans="7:11">
      <c r="G1142" s="611"/>
      <c r="I1142" s="611"/>
      <c r="K1142" s="611"/>
    </row>
    <row r="1143" spans="7:11">
      <c r="G1143" s="611"/>
      <c r="I1143" s="611"/>
      <c r="K1143" s="611"/>
    </row>
    <row r="1144" spans="7:11">
      <c r="G1144" s="611"/>
      <c r="I1144" s="611"/>
      <c r="K1144" s="611"/>
    </row>
    <row r="1145" spans="7:11">
      <c r="G1145" s="611"/>
      <c r="I1145" s="611"/>
      <c r="K1145" s="611"/>
    </row>
    <row r="1146" spans="7:11">
      <c r="G1146" s="611"/>
      <c r="I1146" s="611"/>
      <c r="K1146" s="611"/>
    </row>
    <row r="1147" spans="7:11">
      <c r="G1147" s="611"/>
      <c r="I1147" s="611"/>
      <c r="K1147" s="611"/>
    </row>
    <row r="1148" spans="7:11">
      <c r="G1148" s="611"/>
      <c r="I1148" s="611"/>
      <c r="K1148" s="611"/>
    </row>
    <row r="1149" spans="7:11">
      <c r="G1149" s="611"/>
      <c r="I1149" s="611"/>
      <c r="K1149" s="611"/>
    </row>
    <row r="1150" spans="7:11">
      <c r="G1150" s="611"/>
      <c r="I1150" s="611"/>
      <c r="K1150" s="611"/>
    </row>
    <row r="1151" spans="7:11">
      <c r="G1151" s="611"/>
      <c r="I1151" s="611"/>
      <c r="K1151" s="611"/>
    </row>
    <row r="1152" spans="7:11">
      <c r="G1152" s="611"/>
      <c r="I1152" s="611"/>
      <c r="K1152" s="611"/>
    </row>
    <row r="1153" spans="7:11">
      <c r="G1153" s="611"/>
      <c r="I1153" s="611"/>
      <c r="K1153" s="611"/>
    </row>
    <row r="1154" spans="7:11">
      <c r="G1154" s="611"/>
      <c r="I1154" s="611"/>
      <c r="K1154" s="611"/>
    </row>
    <row r="1155" spans="7:11">
      <c r="G1155" s="611"/>
      <c r="I1155" s="611"/>
      <c r="K1155" s="611"/>
    </row>
    <row r="1156" spans="7:11">
      <c r="G1156" s="611"/>
      <c r="I1156" s="611"/>
      <c r="K1156" s="611"/>
    </row>
    <row r="1157" spans="7:11">
      <c r="G1157" s="611"/>
      <c r="I1157" s="611"/>
      <c r="K1157" s="611"/>
    </row>
    <row r="1158" spans="7:11">
      <c r="G1158" s="611"/>
      <c r="I1158" s="611"/>
      <c r="K1158" s="611"/>
    </row>
    <row r="1159" spans="7:11">
      <c r="G1159" s="611"/>
      <c r="I1159" s="611"/>
      <c r="K1159" s="611"/>
    </row>
    <row r="1160" spans="7:11">
      <c r="G1160" s="611"/>
      <c r="I1160" s="611"/>
      <c r="K1160" s="611"/>
    </row>
    <row r="1161" spans="7:11">
      <c r="G1161" s="611"/>
      <c r="I1161" s="611"/>
      <c r="K1161" s="611"/>
    </row>
    <row r="1162" spans="7:11">
      <c r="G1162" s="611"/>
      <c r="I1162" s="611"/>
      <c r="K1162" s="611"/>
    </row>
    <row r="1163" spans="7:11">
      <c r="G1163" s="611"/>
      <c r="I1163" s="611"/>
      <c r="K1163" s="611"/>
    </row>
    <row r="1164" spans="7:11">
      <c r="G1164" s="611"/>
      <c r="I1164" s="611"/>
      <c r="K1164" s="611"/>
    </row>
    <row r="1165" spans="7:11">
      <c r="G1165" s="611"/>
      <c r="I1165" s="611"/>
      <c r="K1165" s="611"/>
    </row>
    <row r="1166" spans="7:11">
      <c r="G1166" s="611"/>
      <c r="I1166" s="611"/>
      <c r="K1166" s="611"/>
    </row>
    <row r="1167" spans="7:11">
      <c r="G1167" s="611"/>
      <c r="I1167" s="611"/>
      <c r="K1167" s="611"/>
    </row>
    <row r="1168" spans="7:11">
      <c r="G1168" s="611"/>
      <c r="I1168" s="611"/>
      <c r="K1168" s="611"/>
    </row>
    <row r="1169" spans="7:11">
      <c r="G1169" s="611"/>
      <c r="I1169" s="611"/>
      <c r="K1169" s="611"/>
    </row>
    <row r="1170" spans="7:11">
      <c r="G1170" s="611"/>
      <c r="I1170" s="611"/>
      <c r="K1170" s="611"/>
    </row>
    <row r="1171" spans="7:11">
      <c r="G1171" s="611"/>
      <c r="I1171" s="611"/>
      <c r="K1171" s="611"/>
    </row>
    <row r="1172" spans="7:11">
      <c r="G1172" s="611"/>
      <c r="I1172" s="611"/>
      <c r="K1172" s="611"/>
    </row>
    <row r="1173" spans="7:11">
      <c r="G1173" s="611"/>
      <c r="I1173" s="611"/>
      <c r="K1173" s="611"/>
    </row>
    <row r="1174" spans="7:11">
      <c r="G1174" s="611"/>
      <c r="I1174" s="611"/>
      <c r="K1174" s="611"/>
    </row>
    <row r="1175" spans="7:11">
      <c r="G1175" s="611"/>
      <c r="I1175" s="611"/>
      <c r="K1175" s="611"/>
    </row>
    <row r="1176" spans="7:11">
      <c r="G1176" s="611"/>
      <c r="I1176" s="611"/>
      <c r="K1176" s="611"/>
    </row>
    <row r="1177" spans="7:11">
      <c r="G1177" s="611"/>
      <c r="I1177" s="611"/>
      <c r="K1177" s="611"/>
    </row>
    <row r="1178" spans="7:11">
      <c r="G1178" s="611"/>
      <c r="I1178" s="611"/>
      <c r="K1178" s="611"/>
    </row>
    <row r="1179" spans="7:11">
      <c r="G1179" s="611"/>
      <c r="I1179" s="611"/>
      <c r="K1179" s="611"/>
    </row>
    <row r="1180" spans="7:11">
      <c r="G1180" s="611"/>
      <c r="I1180" s="611"/>
      <c r="K1180" s="611"/>
    </row>
    <row r="1181" spans="7:11">
      <c r="G1181" s="611"/>
      <c r="I1181" s="611"/>
      <c r="K1181" s="611"/>
    </row>
    <row r="1182" spans="7:11">
      <c r="G1182" s="611"/>
      <c r="I1182" s="611"/>
      <c r="K1182" s="611"/>
    </row>
    <row r="1183" spans="7:11">
      <c r="G1183" s="611"/>
      <c r="I1183" s="611"/>
      <c r="K1183" s="611"/>
    </row>
    <row r="1184" spans="7:11">
      <c r="G1184" s="611"/>
      <c r="I1184" s="611"/>
      <c r="K1184" s="611"/>
    </row>
    <row r="1185" spans="7:11">
      <c r="G1185" s="611"/>
      <c r="I1185" s="611"/>
      <c r="K1185" s="611"/>
    </row>
    <row r="1186" spans="7:11">
      <c r="G1186" s="611"/>
      <c r="I1186" s="611"/>
      <c r="K1186" s="611"/>
    </row>
    <row r="1187" spans="7:11">
      <c r="G1187" s="611"/>
      <c r="I1187" s="611"/>
      <c r="K1187" s="611"/>
    </row>
    <row r="1188" spans="7:11">
      <c r="G1188" s="611"/>
      <c r="I1188" s="611"/>
      <c r="K1188" s="611"/>
    </row>
    <row r="1189" spans="7:11">
      <c r="G1189" s="611"/>
      <c r="I1189" s="611"/>
      <c r="K1189" s="611"/>
    </row>
    <row r="1190" spans="7:11">
      <c r="G1190" s="611"/>
      <c r="I1190" s="611"/>
      <c r="K1190" s="611"/>
    </row>
    <row r="1191" spans="7:11">
      <c r="G1191" s="611"/>
      <c r="I1191" s="611"/>
      <c r="K1191" s="611"/>
    </row>
    <row r="1192" spans="7:11">
      <c r="G1192" s="611"/>
      <c r="I1192" s="611"/>
      <c r="K1192" s="611"/>
    </row>
    <row r="1193" spans="7:11">
      <c r="G1193" s="611"/>
      <c r="I1193" s="611"/>
      <c r="K1193" s="611"/>
    </row>
    <row r="1194" spans="7:11">
      <c r="G1194" s="611"/>
      <c r="I1194" s="611"/>
      <c r="K1194" s="611"/>
    </row>
    <row r="1195" spans="7:11">
      <c r="G1195" s="611"/>
      <c r="I1195" s="611"/>
      <c r="K1195" s="611"/>
    </row>
    <row r="1196" spans="7:11">
      <c r="G1196" s="611"/>
      <c r="I1196" s="611"/>
      <c r="K1196" s="611"/>
    </row>
    <row r="1197" spans="7:11">
      <c r="G1197" s="611"/>
      <c r="I1197" s="611"/>
      <c r="K1197" s="611"/>
    </row>
    <row r="1198" spans="7:11">
      <c r="G1198" s="611"/>
      <c r="I1198" s="611"/>
      <c r="K1198" s="611"/>
    </row>
    <row r="1199" spans="7:11">
      <c r="G1199" s="611"/>
      <c r="I1199" s="611"/>
      <c r="K1199" s="611"/>
    </row>
    <row r="1200" spans="7:11">
      <c r="G1200" s="611"/>
      <c r="I1200" s="611"/>
      <c r="K1200" s="611"/>
    </row>
    <row r="1201" spans="7:11">
      <c r="G1201" s="611"/>
      <c r="I1201" s="611"/>
      <c r="K1201" s="611"/>
    </row>
    <row r="1202" spans="7:11">
      <c r="G1202" s="611"/>
      <c r="I1202" s="611"/>
      <c r="K1202" s="611"/>
    </row>
    <row r="1203" spans="7:11">
      <c r="G1203" s="611"/>
      <c r="I1203" s="611"/>
      <c r="K1203" s="611"/>
    </row>
    <row r="1204" spans="7:11">
      <c r="G1204" s="611"/>
      <c r="I1204" s="611"/>
      <c r="K1204" s="611"/>
    </row>
    <row r="1205" spans="7:11">
      <c r="G1205" s="611"/>
      <c r="I1205" s="611"/>
      <c r="K1205" s="611"/>
    </row>
    <row r="1206" spans="7:11">
      <c r="G1206" s="611"/>
      <c r="I1206" s="611"/>
      <c r="K1206" s="611"/>
    </row>
    <row r="1207" spans="7:11">
      <c r="G1207" s="611"/>
      <c r="I1207" s="611"/>
      <c r="K1207" s="611"/>
    </row>
    <row r="1208" spans="7:11">
      <c r="G1208" s="611"/>
      <c r="I1208" s="611"/>
      <c r="K1208" s="611"/>
    </row>
    <row r="1209" spans="7:11">
      <c r="G1209" s="611"/>
      <c r="I1209" s="611"/>
      <c r="K1209" s="611"/>
    </row>
    <row r="1210" spans="7:11">
      <c r="G1210" s="611"/>
      <c r="I1210" s="611"/>
      <c r="K1210" s="611"/>
    </row>
    <row r="1211" spans="7:11">
      <c r="G1211" s="611"/>
      <c r="I1211" s="611"/>
      <c r="K1211" s="611"/>
    </row>
    <row r="1212" spans="7:11">
      <c r="G1212" s="611"/>
      <c r="I1212" s="611"/>
      <c r="K1212" s="611"/>
    </row>
    <row r="1213" spans="7:11">
      <c r="G1213" s="611"/>
      <c r="I1213" s="611"/>
      <c r="K1213" s="611"/>
    </row>
    <row r="1214" spans="7:11">
      <c r="G1214" s="611"/>
      <c r="I1214" s="611"/>
      <c r="K1214" s="611"/>
    </row>
    <row r="1215" spans="7:11">
      <c r="G1215" s="611"/>
      <c r="I1215" s="611"/>
      <c r="K1215" s="611"/>
    </row>
    <row r="1216" spans="7:11">
      <c r="G1216" s="611"/>
      <c r="I1216" s="611"/>
      <c r="K1216" s="611"/>
    </row>
    <row r="1217" spans="7:11">
      <c r="G1217" s="611"/>
      <c r="I1217" s="611"/>
      <c r="K1217" s="611"/>
    </row>
    <row r="1218" spans="7:11">
      <c r="G1218" s="611"/>
      <c r="I1218" s="611"/>
      <c r="K1218" s="611"/>
    </row>
    <row r="1219" spans="7:11">
      <c r="G1219" s="611"/>
      <c r="I1219" s="611"/>
      <c r="K1219" s="611"/>
    </row>
    <row r="1220" spans="7:11">
      <c r="G1220" s="611"/>
      <c r="I1220" s="611"/>
      <c r="K1220" s="611"/>
    </row>
    <row r="1221" spans="7:11">
      <c r="G1221" s="611"/>
      <c r="I1221" s="611"/>
      <c r="K1221" s="611"/>
    </row>
    <row r="1222" spans="7:11">
      <c r="G1222" s="611"/>
      <c r="I1222" s="611"/>
      <c r="K1222" s="611"/>
    </row>
    <row r="1223" spans="7:11">
      <c r="G1223" s="611"/>
      <c r="I1223" s="611"/>
      <c r="K1223" s="611"/>
    </row>
    <row r="1224" spans="7:11">
      <c r="G1224" s="611"/>
      <c r="I1224" s="611"/>
      <c r="K1224" s="611"/>
    </row>
    <row r="1225" spans="7:11">
      <c r="G1225" s="611"/>
      <c r="I1225" s="611"/>
      <c r="K1225" s="611"/>
    </row>
    <row r="1226" spans="7:11">
      <c r="G1226" s="611"/>
      <c r="I1226" s="611"/>
      <c r="K1226" s="611"/>
    </row>
    <row r="1227" spans="7:11">
      <c r="G1227" s="611"/>
      <c r="I1227" s="611"/>
      <c r="K1227" s="611"/>
    </row>
    <row r="1228" spans="7:11">
      <c r="G1228" s="611"/>
      <c r="I1228" s="611"/>
      <c r="K1228" s="611"/>
    </row>
    <row r="1229" spans="7:11">
      <c r="G1229" s="611"/>
      <c r="I1229" s="611"/>
      <c r="K1229" s="611"/>
    </row>
    <row r="1230" spans="7:11">
      <c r="G1230" s="611"/>
      <c r="I1230" s="611"/>
      <c r="K1230" s="611"/>
    </row>
    <row r="1231" spans="7:11">
      <c r="G1231" s="611"/>
      <c r="I1231" s="611"/>
      <c r="K1231" s="611"/>
    </row>
    <row r="1232" spans="7:11">
      <c r="G1232" s="611"/>
      <c r="I1232" s="611"/>
      <c r="K1232" s="611"/>
    </row>
    <row r="1233" spans="7:11">
      <c r="G1233" s="611"/>
      <c r="I1233" s="611"/>
      <c r="K1233" s="611"/>
    </row>
    <row r="1234" spans="7:11">
      <c r="G1234" s="611"/>
      <c r="I1234" s="611"/>
      <c r="K1234" s="611"/>
    </row>
    <row r="1235" spans="7:11">
      <c r="G1235" s="611"/>
      <c r="I1235" s="611"/>
      <c r="K1235" s="611"/>
    </row>
    <row r="1236" spans="7:11">
      <c r="G1236" s="611"/>
      <c r="I1236" s="611"/>
      <c r="K1236" s="611"/>
    </row>
    <row r="1237" spans="7:11">
      <c r="G1237" s="611"/>
      <c r="I1237" s="611"/>
      <c r="K1237" s="611"/>
    </row>
    <row r="1238" spans="7:11">
      <c r="G1238" s="611"/>
      <c r="I1238" s="611"/>
      <c r="K1238" s="611"/>
    </row>
    <row r="1239" spans="7:11">
      <c r="G1239" s="611"/>
      <c r="I1239" s="611"/>
      <c r="K1239" s="611"/>
    </row>
    <row r="1240" spans="7:11">
      <c r="G1240" s="611"/>
      <c r="I1240" s="611"/>
      <c r="K1240" s="611"/>
    </row>
    <row r="1241" spans="7:11">
      <c r="G1241" s="611"/>
      <c r="I1241" s="611"/>
      <c r="K1241" s="611"/>
    </row>
    <row r="1242" spans="7:11">
      <c r="G1242" s="611"/>
      <c r="I1242" s="611"/>
      <c r="K1242" s="611"/>
    </row>
    <row r="1243" spans="7:11">
      <c r="G1243" s="611"/>
      <c r="I1243" s="611"/>
      <c r="K1243" s="611"/>
    </row>
    <row r="1244" spans="7:11">
      <c r="G1244" s="611"/>
      <c r="I1244" s="611"/>
      <c r="K1244" s="611"/>
    </row>
    <row r="1245" spans="7:11">
      <c r="G1245" s="611"/>
      <c r="I1245" s="611"/>
      <c r="K1245" s="611"/>
    </row>
    <row r="1246" spans="7:11">
      <c r="G1246" s="611"/>
      <c r="I1246" s="611"/>
      <c r="K1246" s="611"/>
    </row>
    <row r="1247" spans="7:11">
      <c r="G1247" s="611"/>
      <c r="I1247" s="611"/>
      <c r="K1247" s="611"/>
    </row>
    <row r="1248" spans="7:11">
      <c r="G1248" s="611"/>
      <c r="I1248" s="611"/>
      <c r="K1248" s="611"/>
    </row>
    <row r="1249" spans="7:11">
      <c r="G1249" s="611"/>
      <c r="I1249" s="611"/>
      <c r="K1249" s="611"/>
    </row>
    <row r="1250" spans="7:11">
      <c r="G1250" s="611"/>
      <c r="I1250" s="611"/>
      <c r="K1250" s="611"/>
    </row>
    <row r="1251" spans="7:11">
      <c r="G1251" s="611"/>
      <c r="I1251" s="611"/>
      <c r="K1251" s="611"/>
    </row>
    <row r="1252" spans="7:11">
      <c r="G1252" s="611"/>
      <c r="I1252" s="611"/>
      <c r="K1252" s="611"/>
    </row>
    <row r="1253" spans="7:11">
      <c r="G1253" s="611"/>
      <c r="I1253" s="611"/>
      <c r="K1253" s="611"/>
    </row>
    <row r="1254" spans="7:11">
      <c r="G1254" s="611"/>
      <c r="I1254" s="611"/>
      <c r="K1254" s="611"/>
    </row>
    <row r="1255" spans="7:11">
      <c r="G1255" s="611"/>
      <c r="I1255" s="611"/>
      <c r="K1255" s="611"/>
    </row>
    <row r="1256" spans="7:11">
      <c r="G1256" s="611"/>
      <c r="I1256" s="611"/>
      <c r="K1256" s="611"/>
    </row>
    <row r="1257" spans="7:11">
      <c r="G1257" s="611"/>
      <c r="I1257" s="611"/>
      <c r="K1257" s="611"/>
    </row>
    <row r="1258" spans="7:11">
      <c r="G1258" s="611"/>
      <c r="I1258" s="611"/>
      <c r="K1258" s="611"/>
    </row>
    <row r="1259" spans="7:11">
      <c r="G1259" s="611"/>
      <c r="I1259" s="611"/>
      <c r="K1259" s="611"/>
    </row>
    <row r="1260" spans="7:11">
      <c r="G1260" s="611"/>
      <c r="I1260" s="611"/>
      <c r="K1260" s="611"/>
    </row>
    <row r="1261" spans="7:11">
      <c r="G1261" s="611"/>
      <c r="I1261" s="611"/>
      <c r="K1261" s="611"/>
    </row>
    <row r="1262" spans="7:11">
      <c r="G1262" s="611"/>
      <c r="I1262" s="611"/>
      <c r="K1262" s="611"/>
    </row>
    <row r="1263" spans="7:11">
      <c r="G1263" s="611"/>
      <c r="I1263" s="611"/>
      <c r="K1263" s="611"/>
    </row>
    <row r="1264" spans="7:11">
      <c r="G1264" s="611"/>
      <c r="I1264" s="611"/>
      <c r="K1264" s="611"/>
    </row>
    <row r="1265" spans="7:11">
      <c r="G1265" s="611"/>
      <c r="I1265" s="611"/>
      <c r="K1265" s="611"/>
    </row>
    <row r="1266" spans="7:11">
      <c r="G1266" s="611"/>
      <c r="I1266" s="611"/>
      <c r="K1266" s="611"/>
    </row>
    <row r="1267" spans="7:11">
      <c r="G1267" s="611"/>
      <c r="I1267" s="611"/>
      <c r="K1267" s="611"/>
    </row>
    <row r="1268" spans="7:11">
      <c r="G1268" s="611"/>
      <c r="I1268" s="611"/>
      <c r="K1268" s="611"/>
    </row>
    <row r="1269" spans="7:11">
      <c r="G1269" s="611"/>
      <c r="I1269" s="611"/>
      <c r="K1269" s="611"/>
    </row>
    <row r="1270" spans="7:11">
      <c r="G1270" s="611"/>
      <c r="I1270" s="611"/>
      <c r="K1270" s="611"/>
    </row>
    <row r="1271" spans="7:11">
      <c r="G1271" s="611"/>
      <c r="I1271" s="611"/>
      <c r="K1271" s="611"/>
    </row>
    <row r="1272" spans="7:11">
      <c r="G1272" s="611"/>
      <c r="I1272" s="611"/>
      <c r="K1272" s="611"/>
    </row>
    <row r="1273" spans="7:11">
      <c r="G1273" s="611"/>
      <c r="I1273" s="611"/>
      <c r="K1273" s="611"/>
    </row>
    <row r="1274" spans="7:11">
      <c r="G1274" s="611"/>
      <c r="I1274" s="611"/>
      <c r="K1274" s="611"/>
    </row>
    <row r="1275" spans="7:11">
      <c r="G1275" s="611"/>
      <c r="I1275" s="611"/>
      <c r="K1275" s="611"/>
    </row>
    <row r="1276" spans="7:11">
      <c r="G1276" s="611"/>
      <c r="I1276" s="611"/>
      <c r="K1276" s="611"/>
    </row>
    <row r="1277" spans="7:11">
      <c r="G1277" s="611"/>
      <c r="I1277" s="611"/>
      <c r="K1277" s="611"/>
    </row>
    <row r="1278" spans="7:11">
      <c r="G1278" s="611"/>
      <c r="I1278" s="611"/>
      <c r="K1278" s="611"/>
    </row>
    <row r="1279" spans="7:11">
      <c r="G1279" s="611"/>
      <c r="I1279" s="611"/>
      <c r="K1279" s="611"/>
    </row>
    <row r="1280" spans="7:11">
      <c r="G1280" s="611"/>
      <c r="I1280" s="611"/>
      <c r="K1280" s="611"/>
    </row>
    <row r="1281" spans="7:11">
      <c r="G1281" s="611"/>
      <c r="I1281" s="611"/>
      <c r="K1281" s="611"/>
    </row>
    <row r="1282" spans="7:11">
      <c r="G1282" s="611"/>
      <c r="I1282" s="611"/>
      <c r="K1282" s="611"/>
    </row>
    <row r="1283" spans="7:11">
      <c r="G1283" s="611"/>
      <c r="I1283" s="611"/>
      <c r="K1283" s="611"/>
    </row>
    <row r="1284" spans="7:11">
      <c r="G1284" s="611"/>
      <c r="I1284" s="611"/>
      <c r="K1284" s="611"/>
    </row>
    <row r="1285" spans="7:11">
      <c r="G1285" s="611"/>
      <c r="I1285" s="611"/>
      <c r="K1285" s="611"/>
    </row>
    <row r="1286" spans="7:11">
      <c r="G1286" s="611"/>
      <c r="I1286" s="611"/>
      <c r="K1286" s="611"/>
    </row>
    <row r="1287" spans="7:11">
      <c r="G1287" s="611"/>
      <c r="I1287" s="611"/>
      <c r="K1287" s="611"/>
    </row>
    <row r="1288" spans="7:11">
      <c r="G1288" s="611"/>
      <c r="I1288" s="611"/>
      <c r="K1288" s="611"/>
    </row>
    <row r="1289" spans="7:11">
      <c r="G1289" s="611"/>
      <c r="I1289" s="611"/>
      <c r="K1289" s="611"/>
    </row>
    <row r="1290" spans="7:11">
      <c r="G1290" s="611"/>
      <c r="I1290" s="611"/>
      <c r="K1290" s="611"/>
    </row>
    <row r="1291" spans="7:11">
      <c r="G1291" s="611"/>
      <c r="I1291" s="611"/>
      <c r="K1291" s="611"/>
    </row>
    <row r="1292" spans="7:11">
      <c r="G1292" s="611"/>
      <c r="I1292" s="611"/>
      <c r="K1292" s="611"/>
    </row>
    <row r="1293" spans="7:11">
      <c r="G1293" s="611"/>
      <c r="I1293" s="611"/>
      <c r="K1293" s="611"/>
    </row>
    <row r="1294" spans="7:11">
      <c r="G1294" s="611"/>
      <c r="I1294" s="611"/>
      <c r="K1294" s="611"/>
    </row>
    <row r="1295" spans="7:11">
      <c r="G1295" s="611"/>
      <c r="I1295" s="611"/>
      <c r="K1295" s="611"/>
    </row>
    <row r="1296" spans="7:11">
      <c r="G1296" s="611"/>
      <c r="I1296" s="611"/>
      <c r="K1296" s="611"/>
    </row>
    <row r="1297" spans="7:11">
      <c r="G1297" s="611"/>
      <c r="I1297" s="611"/>
      <c r="K1297" s="611"/>
    </row>
    <row r="1298" spans="7:11">
      <c r="G1298" s="611"/>
      <c r="I1298" s="611"/>
      <c r="K1298" s="611"/>
    </row>
    <row r="1299" spans="7:11">
      <c r="G1299" s="611"/>
      <c r="I1299" s="611"/>
      <c r="K1299" s="611"/>
    </row>
    <row r="1300" spans="7:11">
      <c r="G1300" s="611"/>
      <c r="I1300" s="611"/>
      <c r="K1300" s="611"/>
    </row>
    <row r="1301" spans="7:11">
      <c r="G1301" s="611"/>
      <c r="I1301" s="611"/>
      <c r="K1301" s="611"/>
    </row>
    <row r="1302" spans="7:11">
      <c r="G1302" s="611"/>
      <c r="I1302" s="611"/>
      <c r="K1302" s="611"/>
    </row>
    <row r="1303" spans="7:11">
      <c r="G1303" s="611"/>
      <c r="I1303" s="611"/>
      <c r="K1303" s="611"/>
    </row>
    <row r="1304" spans="7:11">
      <c r="G1304" s="611"/>
      <c r="I1304" s="611"/>
      <c r="K1304" s="611"/>
    </row>
    <row r="1305" spans="7:11">
      <c r="G1305" s="611"/>
      <c r="I1305" s="611"/>
      <c r="K1305" s="611"/>
    </row>
    <row r="1306" spans="7:11">
      <c r="G1306" s="611"/>
      <c r="I1306" s="611"/>
      <c r="K1306" s="611"/>
    </row>
    <row r="1307" spans="7:11">
      <c r="G1307" s="611"/>
      <c r="I1307" s="611"/>
      <c r="K1307" s="611"/>
    </row>
    <row r="1308" spans="7:11">
      <c r="G1308" s="611"/>
      <c r="I1308" s="611"/>
      <c r="K1308" s="611"/>
    </row>
    <row r="1309" spans="7:11">
      <c r="G1309" s="611"/>
      <c r="I1309" s="611"/>
      <c r="K1309" s="611"/>
    </row>
    <row r="1310" spans="7:11">
      <c r="G1310" s="611"/>
      <c r="I1310" s="611"/>
      <c r="K1310" s="611"/>
    </row>
    <row r="1311" spans="7:11">
      <c r="G1311" s="611"/>
      <c r="I1311" s="611"/>
      <c r="K1311" s="611"/>
    </row>
    <row r="1312" spans="7:11">
      <c r="G1312" s="611"/>
      <c r="I1312" s="611"/>
      <c r="K1312" s="611"/>
    </row>
    <row r="1313" spans="7:11">
      <c r="G1313" s="611"/>
      <c r="I1313" s="611"/>
      <c r="K1313" s="611"/>
    </row>
    <row r="1314" spans="7:11">
      <c r="G1314" s="611"/>
      <c r="I1314" s="611"/>
      <c r="K1314" s="611"/>
    </row>
    <row r="1315" spans="7:11">
      <c r="G1315" s="611"/>
      <c r="I1315" s="611"/>
      <c r="K1315" s="611"/>
    </row>
    <row r="1316" spans="7:11">
      <c r="G1316" s="611"/>
      <c r="I1316" s="611"/>
      <c r="K1316" s="611"/>
    </row>
    <row r="1317" spans="7:11">
      <c r="G1317" s="611"/>
      <c r="I1317" s="611"/>
      <c r="K1317" s="611"/>
    </row>
    <row r="1318" spans="7:11">
      <c r="G1318" s="611"/>
      <c r="I1318" s="611"/>
      <c r="K1318" s="611"/>
    </row>
    <row r="1319" spans="7:11">
      <c r="G1319" s="611"/>
      <c r="I1319" s="611"/>
      <c r="K1319" s="611"/>
    </row>
    <row r="1320" spans="7:11">
      <c r="G1320" s="611"/>
      <c r="I1320" s="611"/>
      <c r="K1320" s="611"/>
    </row>
    <row r="1321" spans="7:11">
      <c r="G1321" s="611"/>
      <c r="I1321" s="611"/>
      <c r="K1321" s="611"/>
    </row>
  </sheetData>
  <sheetProtection sheet="1" objects="1" scenarios="1"/>
  <customSheetViews>
    <customSheetView guid="{D1431318-1DB8-4C45-813B-5A8065DFC797}" showPageBreaks="1" showGridLines="0" zeroValues="0" printArea="1" view="pageBreakPreview">
      <selection activeCell="I42" sqref="I42"/>
      <rowBreaks count="1" manualBreakCount="1">
        <brk id="72" max="7" man="1"/>
      </rowBreaks>
      <pageMargins left="0" right="0" top="0" bottom="0" header="0" footer="0"/>
      <printOptions horizontalCentered="1"/>
      <pageSetup scale="61" fitToHeight="2" orientation="portrait" blackAndWhite="1" r:id="rId1"/>
      <headerFooter alignWithMargins="0"/>
    </customSheetView>
  </customSheetViews>
  <mergeCells count="124">
    <mergeCell ref="M51:N51"/>
    <mergeCell ref="O51:P51"/>
    <mergeCell ref="Q51:R51"/>
    <mergeCell ref="S51:U51"/>
    <mergeCell ref="I52:U52"/>
    <mergeCell ref="K49:L49"/>
    <mergeCell ref="I36:U36"/>
    <mergeCell ref="I37:U37"/>
    <mergeCell ref="I40:J40"/>
    <mergeCell ref="S42:T42"/>
    <mergeCell ref="M42:N42"/>
    <mergeCell ref="I42:J42"/>
    <mergeCell ref="O46:P47"/>
    <mergeCell ref="Q46:R47"/>
    <mergeCell ref="O48:P48"/>
    <mergeCell ref="Q48:R48"/>
    <mergeCell ref="S46:U47"/>
    <mergeCell ref="S48:U48"/>
    <mergeCell ref="R40:U40"/>
    <mergeCell ref="S84:T84"/>
    <mergeCell ref="G84:O84"/>
    <mergeCell ref="N65:O65"/>
    <mergeCell ref="S65:U65"/>
    <mergeCell ref="N25:U25"/>
    <mergeCell ref="I25:J25"/>
    <mergeCell ref="D27:H30"/>
    <mergeCell ref="I32:U32"/>
    <mergeCell ref="N67:O67"/>
    <mergeCell ref="S67:U67"/>
    <mergeCell ref="G63:U63"/>
    <mergeCell ref="S80:U80"/>
    <mergeCell ref="B82:U82"/>
    <mergeCell ref="S69:T69"/>
    <mergeCell ref="N69:O69"/>
    <mergeCell ref="N71:O71"/>
    <mergeCell ref="S71:U71"/>
    <mergeCell ref="N73:O73"/>
    <mergeCell ref="S73:U73"/>
    <mergeCell ref="M48:N48"/>
    <mergeCell ref="M49:N49"/>
    <mergeCell ref="O49:P49"/>
    <mergeCell ref="K51:L51"/>
    <mergeCell ref="P69:R69"/>
    <mergeCell ref="S3:U3"/>
    <mergeCell ref="S5:U5"/>
    <mergeCell ref="S7:U7"/>
    <mergeCell ref="S30:U30"/>
    <mergeCell ref="J29:K29"/>
    <mergeCell ref="J27:K27"/>
    <mergeCell ref="J28:K28"/>
    <mergeCell ref="Q7:R7"/>
    <mergeCell ref="B15:U15"/>
    <mergeCell ref="G13:K13"/>
    <mergeCell ref="T21:U21"/>
    <mergeCell ref="J30:K30"/>
    <mergeCell ref="T23:U23"/>
    <mergeCell ref="N21:O21"/>
    <mergeCell ref="M19:U19"/>
    <mergeCell ref="Q9:R9"/>
    <mergeCell ref="S9:U9"/>
    <mergeCell ref="G9:P9"/>
    <mergeCell ref="U1:V1"/>
    <mergeCell ref="G5:P5"/>
    <mergeCell ref="G7:P7"/>
    <mergeCell ref="G11:U11"/>
    <mergeCell ref="Q49:R49"/>
    <mergeCell ref="D50:H50"/>
    <mergeCell ref="I50:J50"/>
    <mergeCell ref="K50:L50"/>
    <mergeCell ref="M50:N50"/>
    <mergeCell ref="O50:P50"/>
    <mergeCell ref="Q50:R50"/>
    <mergeCell ref="D49:H49"/>
    <mergeCell ref="I49:J49"/>
    <mergeCell ref="S49:U49"/>
    <mergeCell ref="I34:U34"/>
    <mergeCell ref="G3:O3"/>
    <mergeCell ref="P3:R3"/>
    <mergeCell ref="I21:J21"/>
    <mergeCell ref="N23:O23"/>
    <mergeCell ref="I23:J23"/>
    <mergeCell ref="Q5:R5"/>
    <mergeCell ref="Q13:R13"/>
    <mergeCell ref="T13:U13"/>
    <mergeCell ref="M13:O13"/>
    <mergeCell ref="C112:U113"/>
    <mergeCell ref="C46:C47"/>
    <mergeCell ref="D46:H47"/>
    <mergeCell ref="I46:J47"/>
    <mergeCell ref="K46:L47"/>
    <mergeCell ref="M46:N47"/>
    <mergeCell ref="D48:H48"/>
    <mergeCell ref="I48:J48"/>
    <mergeCell ref="K48:L48"/>
    <mergeCell ref="S77:U77"/>
    <mergeCell ref="N75:O75"/>
    <mergeCell ref="S75:U75"/>
    <mergeCell ref="S55:U55"/>
    <mergeCell ref="S57:U57"/>
    <mergeCell ref="S59:U59"/>
    <mergeCell ref="N55:O55"/>
    <mergeCell ref="N57:O57"/>
    <mergeCell ref="N59:O59"/>
    <mergeCell ref="N61:O61"/>
    <mergeCell ref="F69:J69"/>
    <mergeCell ref="D52:H52"/>
    <mergeCell ref="S50:U50"/>
    <mergeCell ref="D51:H51"/>
    <mergeCell ref="I51:J51"/>
    <mergeCell ref="I110:U110"/>
    <mergeCell ref="B100:U100"/>
    <mergeCell ref="I106:U106"/>
    <mergeCell ref="I108:U108"/>
    <mergeCell ref="L92:M92"/>
    <mergeCell ref="G86:T86"/>
    <mergeCell ref="G88:T88"/>
    <mergeCell ref="G90:T90"/>
    <mergeCell ref="L96:U96"/>
    <mergeCell ref="L98:U98"/>
    <mergeCell ref="B94:D98"/>
    <mergeCell ref="I102:U102"/>
    <mergeCell ref="I104:U104"/>
    <mergeCell ref="S92:T92"/>
    <mergeCell ref="L94:U94"/>
  </mergeCells>
  <dataValidations count="3">
    <dataValidation type="list" allowBlank="1" showInputMessage="1" sqref="N71 N57 N65 N59 N55 N61:N62" xr:uid="{00000000-0002-0000-0200-000000000000}">
      <formula1>YN</formula1>
    </dataValidation>
    <dataValidation type="list" allowBlank="1" showInputMessage="1" sqref="M19" xr:uid="{00000000-0002-0000-0200-000001000000}">
      <formula1>OtherEstabType</formula1>
    </dataValidation>
    <dataValidation allowBlank="1" showInputMessage="1" sqref="O48" xr:uid="{00000000-0002-0000-0200-000002000000}"/>
  </dataValidations>
  <printOptions horizontalCentered="1"/>
  <pageMargins left="0.25" right="0.25" top="1" bottom="0.25" header="0.3" footer="0.3"/>
  <pageSetup scale="99" fitToHeight="2" orientation="portrait" blackAndWhite="1" r:id="rId2"/>
  <headerFooter>
    <oddHeader>&amp;L&amp;G&amp;C&amp;"Trebuchet MS,Regular"&amp;14Preliminary
Evaluation Worksheet&amp;R&amp;G</oddHeader>
    <firstHeader>&amp;L&amp;G&amp;C&amp;"Trebuchet MS,Regular"&amp;14OSTP Preliminary
Evaluation Worksheet&amp;R&amp;G</firstHeader>
    <firstFooter xml:space="preserve">&amp;C
</firstFooter>
  </headerFooter>
  <rowBreaks count="1" manualBreakCount="1">
    <brk id="53" max="21" man="1"/>
  </rowBreaks>
  <ignoredErrors>
    <ignoredError sqref="S65 S67 S71 S73 S75 N73 N75 F69 N67 N69" unlockedFormula="1"/>
  </ignoredError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543246" r:id="rId6" name="Check Box 2702">
              <controlPr defaultSize="0" autoFill="0" autoLine="0" autoPict="0">
                <anchor moveWithCells="1" sizeWithCells="1">
                  <from>
                    <xdr:col>5</xdr:col>
                    <xdr:colOff>295275</xdr:colOff>
                    <xdr:row>17</xdr:row>
                    <xdr:rowOff>28575</xdr:rowOff>
                  </from>
                  <to>
                    <xdr:col>9</xdr:col>
                    <xdr:colOff>0</xdr:colOff>
                    <xdr:row>17</xdr:row>
                    <xdr:rowOff>219075</xdr:rowOff>
                  </to>
                </anchor>
              </controlPr>
            </control>
          </mc:Choice>
        </mc:AlternateContent>
        <mc:AlternateContent xmlns:mc="http://schemas.openxmlformats.org/markup-compatibility/2006">
          <mc:Choice Requires="x14">
            <control shapeId="2543247" r:id="rId7" name="Check Box 2703">
              <controlPr defaultSize="0" autoFill="0" autoLine="0" autoPict="0">
                <anchor moveWithCells="1" sizeWithCells="1">
                  <from>
                    <xdr:col>10</xdr:col>
                    <xdr:colOff>76200</xdr:colOff>
                    <xdr:row>17</xdr:row>
                    <xdr:rowOff>9525</xdr:rowOff>
                  </from>
                  <to>
                    <xdr:col>12</xdr:col>
                    <xdr:colOff>180975</xdr:colOff>
                    <xdr:row>17</xdr:row>
                    <xdr:rowOff>219075</xdr:rowOff>
                  </to>
                </anchor>
              </controlPr>
            </control>
          </mc:Choice>
        </mc:AlternateContent>
        <mc:AlternateContent xmlns:mc="http://schemas.openxmlformats.org/markup-compatibility/2006">
          <mc:Choice Requires="x14">
            <control shapeId="2543251" r:id="rId8" name="Check Box 2707">
              <controlPr defaultSize="0" autoFill="0" autoLine="0" autoPict="0">
                <anchor moveWithCells="1" sizeWithCells="1">
                  <from>
                    <xdr:col>5</xdr:col>
                    <xdr:colOff>38100</xdr:colOff>
                    <xdr:row>18</xdr:row>
                    <xdr:rowOff>28575</xdr:rowOff>
                  </from>
                  <to>
                    <xdr:col>7</xdr:col>
                    <xdr:colOff>38100</xdr:colOff>
                    <xdr:row>19</xdr:row>
                    <xdr:rowOff>0</xdr:rowOff>
                  </to>
                </anchor>
              </controlPr>
            </control>
          </mc:Choice>
        </mc:AlternateContent>
        <mc:AlternateContent xmlns:mc="http://schemas.openxmlformats.org/markup-compatibility/2006">
          <mc:Choice Requires="x14">
            <control shapeId="2543252" r:id="rId9" name="Check Box 2708">
              <controlPr defaultSize="0" autoFill="0" autoLine="0" autoPict="0">
                <anchor moveWithCells="1" sizeWithCells="1">
                  <from>
                    <xdr:col>7</xdr:col>
                    <xdr:colOff>228600</xdr:colOff>
                    <xdr:row>18</xdr:row>
                    <xdr:rowOff>9525</xdr:rowOff>
                  </from>
                  <to>
                    <xdr:col>11</xdr:col>
                    <xdr:colOff>142875</xdr:colOff>
                    <xdr:row>19</xdr:row>
                    <xdr:rowOff>9525</xdr:rowOff>
                  </to>
                </anchor>
              </controlPr>
            </control>
          </mc:Choice>
        </mc:AlternateContent>
        <mc:AlternateContent xmlns:mc="http://schemas.openxmlformats.org/markup-compatibility/2006">
          <mc:Choice Requires="x14">
            <control shapeId="2543258" r:id="rId10" name="Check Box 2714">
              <controlPr defaultSize="0" autoFill="0" autoLine="0" autoPict="0">
                <anchor moveWithCells="1" sizeWithCells="1">
                  <from>
                    <xdr:col>7</xdr:col>
                    <xdr:colOff>304800</xdr:colOff>
                    <xdr:row>25</xdr:row>
                    <xdr:rowOff>66675</xdr:rowOff>
                  </from>
                  <to>
                    <xdr:col>12</xdr:col>
                    <xdr:colOff>114300</xdr:colOff>
                    <xdr:row>27</xdr:row>
                    <xdr:rowOff>0</xdr:rowOff>
                  </to>
                </anchor>
              </controlPr>
            </control>
          </mc:Choice>
        </mc:AlternateContent>
        <mc:AlternateContent xmlns:mc="http://schemas.openxmlformats.org/markup-compatibility/2006">
          <mc:Choice Requires="x14">
            <control shapeId="2543260" r:id="rId11" name="Check Box 2716">
              <controlPr defaultSize="0" autoFill="0" autoLine="0" autoPict="0">
                <anchor moveWithCells="1" sizeWithCells="1">
                  <from>
                    <xdr:col>7</xdr:col>
                    <xdr:colOff>304800</xdr:colOff>
                    <xdr:row>28</xdr:row>
                    <xdr:rowOff>9525</xdr:rowOff>
                  </from>
                  <to>
                    <xdr:col>12</xdr:col>
                    <xdr:colOff>114300</xdr:colOff>
                    <xdr:row>29</xdr:row>
                    <xdr:rowOff>0</xdr:rowOff>
                  </to>
                </anchor>
              </controlPr>
            </control>
          </mc:Choice>
        </mc:AlternateContent>
        <mc:AlternateContent xmlns:mc="http://schemas.openxmlformats.org/markup-compatibility/2006">
          <mc:Choice Requires="x14">
            <control shapeId="2543261" r:id="rId12" name="Check Box 2717">
              <controlPr defaultSize="0" autoFill="0" autoLine="0" autoPict="0">
                <anchor moveWithCells="1" sizeWithCells="1">
                  <from>
                    <xdr:col>16</xdr:col>
                    <xdr:colOff>123825</xdr:colOff>
                    <xdr:row>27</xdr:row>
                    <xdr:rowOff>190500</xdr:rowOff>
                  </from>
                  <to>
                    <xdr:col>20</xdr:col>
                    <xdr:colOff>142875</xdr:colOff>
                    <xdr:row>29</xdr:row>
                    <xdr:rowOff>0</xdr:rowOff>
                  </to>
                </anchor>
              </controlPr>
            </control>
          </mc:Choice>
        </mc:AlternateContent>
        <mc:AlternateContent xmlns:mc="http://schemas.openxmlformats.org/markup-compatibility/2006">
          <mc:Choice Requires="x14">
            <control shapeId="2543262" r:id="rId13" name="Check Box 2718">
              <controlPr defaultSize="0" autoFill="0" autoLine="0" autoPict="0">
                <anchor moveWithCells="1" sizeWithCells="1">
                  <from>
                    <xdr:col>12</xdr:col>
                    <xdr:colOff>180975</xdr:colOff>
                    <xdr:row>27</xdr:row>
                    <xdr:rowOff>0</xdr:rowOff>
                  </from>
                  <to>
                    <xdr:col>15</xdr:col>
                    <xdr:colOff>104775</xdr:colOff>
                    <xdr:row>27</xdr:row>
                    <xdr:rowOff>190500</xdr:rowOff>
                  </to>
                </anchor>
              </controlPr>
            </control>
          </mc:Choice>
        </mc:AlternateContent>
        <mc:AlternateContent xmlns:mc="http://schemas.openxmlformats.org/markup-compatibility/2006">
          <mc:Choice Requires="x14">
            <control shapeId="2543263" r:id="rId14" name="Check Box 2719">
              <controlPr defaultSize="0" autoFill="0" autoLine="0" autoPict="0">
                <anchor moveWithCells="1" sizeWithCells="1">
                  <from>
                    <xdr:col>16</xdr:col>
                    <xdr:colOff>123825</xdr:colOff>
                    <xdr:row>26</xdr:row>
                    <xdr:rowOff>190500</xdr:rowOff>
                  </from>
                  <to>
                    <xdr:col>19</xdr:col>
                    <xdr:colOff>66675</xdr:colOff>
                    <xdr:row>27</xdr:row>
                    <xdr:rowOff>190500</xdr:rowOff>
                  </to>
                </anchor>
              </controlPr>
            </control>
          </mc:Choice>
        </mc:AlternateContent>
        <mc:AlternateContent xmlns:mc="http://schemas.openxmlformats.org/markup-compatibility/2006">
          <mc:Choice Requires="x14">
            <control shapeId="2543264" r:id="rId15" name="Check Box 2720">
              <controlPr defaultSize="0" autoFill="0" autoLine="0" autoPict="0">
                <anchor moveWithCells="1" sizeWithCells="1">
                  <from>
                    <xdr:col>12</xdr:col>
                    <xdr:colOff>180975</xdr:colOff>
                    <xdr:row>29</xdr:row>
                    <xdr:rowOff>0</xdr:rowOff>
                  </from>
                  <to>
                    <xdr:col>15</xdr:col>
                    <xdr:colOff>180975</xdr:colOff>
                    <xdr:row>29</xdr:row>
                    <xdr:rowOff>190500</xdr:rowOff>
                  </to>
                </anchor>
              </controlPr>
            </control>
          </mc:Choice>
        </mc:AlternateContent>
        <mc:AlternateContent xmlns:mc="http://schemas.openxmlformats.org/markup-compatibility/2006">
          <mc:Choice Requires="x14">
            <control shapeId="2543265" r:id="rId16" name="Check Box 2721">
              <controlPr defaultSize="0" autoFill="0" autoLine="0" autoPict="0">
                <anchor moveWithCells="1" sizeWithCells="1">
                  <from>
                    <xdr:col>16</xdr:col>
                    <xdr:colOff>123825</xdr:colOff>
                    <xdr:row>26</xdr:row>
                    <xdr:rowOff>0</xdr:rowOff>
                  </from>
                  <to>
                    <xdr:col>18</xdr:col>
                    <xdr:colOff>200025</xdr:colOff>
                    <xdr:row>26</xdr:row>
                    <xdr:rowOff>180975</xdr:rowOff>
                  </to>
                </anchor>
              </controlPr>
            </control>
          </mc:Choice>
        </mc:AlternateContent>
        <mc:AlternateContent xmlns:mc="http://schemas.openxmlformats.org/markup-compatibility/2006">
          <mc:Choice Requires="x14">
            <control shapeId="2543266" r:id="rId17" name="Check Box 2722">
              <controlPr defaultSize="0" autoFill="0" autoLine="0" autoPict="0">
                <anchor moveWithCells="1" sizeWithCells="1">
                  <from>
                    <xdr:col>12</xdr:col>
                    <xdr:colOff>180975</xdr:colOff>
                    <xdr:row>28</xdr:row>
                    <xdr:rowOff>9525</xdr:rowOff>
                  </from>
                  <to>
                    <xdr:col>14</xdr:col>
                    <xdr:colOff>152400</xdr:colOff>
                    <xdr:row>28</xdr:row>
                    <xdr:rowOff>190500</xdr:rowOff>
                  </to>
                </anchor>
              </controlPr>
            </control>
          </mc:Choice>
        </mc:AlternateContent>
        <mc:AlternateContent xmlns:mc="http://schemas.openxmlformats.org/markup-compatibility/2006">
          <mc:Choice Requires="x14">
            <control shapeId="2543300" r:id="rId18" name="Check Box 2756">
              <controlPr defaultSize="0" autoFill="0" autoLine="0" autoPict="0">
                <anchor moveWithCells="1" sizeWithCells="1">
                  <from>
                    <xdr:col>9</xdr:col>
                    <xdr:colOff>257175</xdr:colOff>
                    <xdr:row>75</xdr:row>
                    <xdr:rowOff>47625</xdr:rowOff>
                  </from>
                  <to>
                    <xdr:col>11</xdr:col>
                    <xdr:colOff>114300</xdr:colOff>
                    <xdr:row>77</xdr:row>
                    <xdr:rowOff>28575</xdr:rowOff>
                  </to>
                </anchor>
              </controlPr>
            </control>
          </mc:Choice>
        </mc:AlternateContent>
        <mc:AlternateContent xmlns:mc="http://schemas.openxmlformats.org/markup-compatibility/2006">
          <mc:Choice Requires="x14">
            <control shapeId="2543301" r:id="rId19" name="Check Box 2757">
              <controlPr defaultSize="0" autoFill="0" autoLine="0" autoPict="0">
                <anchor moveWithCells="1" sizeWithCells="1">
                  <from>
                    <xdr:col>14</xdr:col>
                    <xdr:colOff>219075</xdr:colOff>
                    <xdr:row>75</xdr:row>
                    <xdr:rowOff>38100</xdr:rowOff>
                  </from>
                  <to>
                    <xdr:col>16</xdr:col>
                    <xdr:colOff>0</xdr:colOff>
                    <xdr:row>77</xdr:row>
                    <xdr:rowOff>38100</xdr:rowOff>
                  </to>
                </anchor>
              </controlPr>
            </control>
          </mc:Choice>
        </mc:AlternateContent>
        <mc:AlternateContent xmlns:mc="http://schemas.openxmlformats.org/markup-compatibility/2006">
          <mc:Choice Requires="x14">
            <control shapeId="2543305" r:id="rId20" name="Check Box 2761">
              <controlPr defaultSize="0" autoFill="0" autoLine="0" autoPict="0">
                <anchor moveWithCells="1" sizeWithCells="1">
                  <from>
                    <xdr:col>12</xdr:col>
                    <xdr:colOff>0</xdr:colOff>
                    <xdr:row>78</xdr:row>
                    <xdr:rowOff>219075</xdr:rowOff>
                  </from>
                  <to>
                    <xdr:col>14</xdr:col>
                    <xdr:colOff>9525</xdr:colOff>
                    <xdr:row>80</xdr:row>
                    <xdr:rowOff>28575</xdr:rowOff>
                  </to>
                </anchor>
              </controlPr>
            </control>
          </mc:Choice>
        </mc:AlternateContent>
        <mc:AlternateContent xmlns:mc="http://schemas.openxmlformats.org/markup-compatibility/2006">
          <mc:Choice Requires="x14">
            <control shapeId="2543306" r:id="rId21" name="Check Box 2762">
              <controlPr defaultSize="0" autoFill="0" autoLine="0" autoPict="0">
                <anchor moveWithCells="1" sizeWithCells="1">
                  <from>
                    <xdr:col>16</xdr:col>
                    <xdr:colOff>161925</xdr:colOff>
                    <xdr:row>79</xdr:row>
                    <xdr:rowOff>28575</xdr:rowOff>
                  </from>
                  <to>
                    <xdr:col>18</xdr:col>
                    <xdr:colOff>85725</xdr:colOff>
                    <xdr:row>79</xdr:row>
                    <xdr:rowOff>200025</xdr:rowOff>
                  </to>
                </anchor>
              </controlPr>
            </control>
          </mc:Choice>
        </mc:AlternateContent>
        <mc:AlternateContent xmlns:mc="http://schemas.openxmlformats.org/markup-compatibility/2006">
          <mc:Choice Requires="x14">
            <control shapeId="2543307" r:id="rId22" name="Check Box 2763">
              <controlPr defaultSize="0" autoFill="0" autoLine="0" autoPict="0">
                <anchor moveWithCells="1" sizeWithCells="1">
                  <from>
                    <xdr:col>14</xdr:col>
                    <xdr:colOff>228600</xdr:colOff>
                    <xdr:row>79</xdr:row>
                    <xdr:rowOff>9525</xdr:rowOff>
                  </from>
                  <to>
                    <xdr:col>16</xdr:col>
                    <xdr:colOff>66675</xdr:colOff>
                    <xdr:row>80</xdr:row>
                    <xdr:rowOff>0</xdr:rowOff>
                  </to>
                </anchor>
              </controlPr>
            </control>
          </mc:Choice>
        </mc:AlternateContent>
        <mc:AlternateContent xmlns:mc="http://schemas.openxmlformats.org/markup-compatibility/2006">
          <mc:Choice Requires="x14">
            <control shapeId="2543308" r:id="rId23" name="Check Box 2764">
              <controlPr defaultSize="0" autoFill="0" autoLine="0" autoPict="0">
                <anchor moveWithCells="1" sizeWithCells="1">
                  <from>
                    <xdr:col>12</xdr:col>
                    <xdr:colOff>0</xdr:colOff>
                    <xdr:row>78</xdr:row>
                    <xdr:rowOff>0</xdr:rowOff>
                  </from>
                  <to>
                    <xdr:col>14</xdr:col>
                    <xdr:colOff>0</xdr:colOff>
                    <xdr:row>78</xdr:row>
                    <xdr:rowOff>219075</xdr:rowOff>
                  </to>
                </anchor>
              </controlPr>
            </control>
          </mc:Choice>
        </mc:AlternateContent>
        <mc:AlternateContent xmlns:mc="http://schemas.openxmlformats.org/markup-compatibility/2006">
          <mc:Choice Requires="x14">
            <control shapeId="2543309" r:id="rId24" name="Check Box 2765">
              <controlPr defaultSize="0" autoFill="0" autoLine="0" autoPict="0">
                <anchor moveWithCells="1" sizeWithCells="1">
                  <from>
                    <xdr:col>9</xdr:col>
                    <xdr:colOff>257175</xdr:colOff>
                    <xdr:row>78</xdr:row>
                    <xdr:rowOff>9525</xdr:rowOff>
                  </from>
                  <to>
                    <xdr:col>11</xdr:col>
                    <xdr:colOff>114300</xdr:colOff>
                    <xdr:row>78</xdr:row>
                    <xdr:rowOff>219075</xdr:rowOff>
                  </to>
                </anchor>
              </controlPr>
            </control>
          </mc:Choice>
        </mc:AlternateContent>
        <mc:AlternateContent xmlns:mc="http://schemas.openxmlformats.org/markup-compatibility/2006">
          <mc:Choice Requires="x14">
            <control shapeId="2543310" r:id="rId25" name="Check Box 2766">
              <controlPr defaultSize="0" autoFill="0" autoLine="0" autoPict="0">
                <anchor moveWithCells="1" sizeWithCells="1">
                  <from>
                    <xdr:col>14</xdr:col>
                    <xdr:colOff>219075</xdr:colOff>
                    <xdr:row>78</xdr:row>
                    <xdr:rowOff>9525</xdr:rowOff>
                  </from>
                  <to>
                    <xdr:col>16</xdr:col>
                    <xdr:colOff>219075</xdr:colOff>
                    <xdr:row>78</xdr:row>
                    <xdr:rowOff>219075</xdr:rowOff>
                  </to>
                </anchor>
              </controlPr>
            </control>
          </mc:Choice>
        </mc:AlternateContent>
        <mc:AlternateContent xmlns:mc="http://schemas.openxmlformats.org/markup-compatibility/2006">
          <mc:Choice Requires="x14">
            <control shapeId="2543331" r:id="rId26" name="Check Box 2787">
              <controlPr defaultSize="0" autoFill="0" autoLine="0" autoPict="0">
                <anchor moveWithCells="1" sizeWithCells="1">
                  <from>
                    <xdr:col>17</xdr:col>
                    <xdr:colOff>114300</xdr:colOff>
                    <xdr:row>17</xdr:row>
                    <xdr:rowOff>0</xdr:rowOff>
                  </from>
                  <to>
                    <xdr:col>19</xdr:col>
                    <xdr:colOff>161925</xdr:colOff>
                    <xdr:row>17</xdr:row>
                    <xdr:rowOff>219075</xdr:rowOff>
                  </to>
                </anchor>
              </controlPr>
            </control>
          </mc:Choice>
        </mc:AlternateContent>
        <mc:AlternateContent xmlns:mc="http://schemas.openxmlformats.org/markup-compatibility/2006">
          <mc:Choice Requires="x14">
            <control shapeId="2543334" r:id="rId27" name="Check Box 2790">
              <controlPr defaultSize="0" autoFill="0" autoLine="0" autoPict="0">
                <anchor moveWithCells="1" sizeWithCells="1">
                  <from>
                    <xdr:col>7</xdr:col>
                    <xdr:colOff>304800</xdr:colOff>
                    <xdr:row>29</xdr:row>
                    <xdr:rowOff>0</xdr:rowOff>
                  </from>
                  <to>
                    <xdr:col>12</xdr:col>
                    <xdr:colOff>85725</xdr:colOff>
                    <xdr:row>29</xdr:row>
                    <xdr:rowOff>190500</xdr:rowOff>
                  </to>
                </anchor>
              </controlPr>
            </control>
          </mc:Choice>
        </mc:AlternateContent>
        <mc:AlternateContent xmlns:mc="http://schemas.openxmlformats.org/markup-compatibility/2006">
          <mc:Choice Requires="x14">
            <control shapeId="2543335" r:id="rId28" name="Check Box 2791">
              <controlPr defaultSize="0" autoFill="0" autoLine="0" autoPict="0">
                <anchor moveWithCells="1" sizeWithCells="1">
                  <from>
                    <xdr:col>7</xdr:col>
                    <xdr:colOff>304800</xdr:colOff>
                    <xdr:row>27</xdr:row>
                    <xdr:rowOff>0</xdr:rowOff>
                  </from>
                  <to>
                    <xdr:col>12</xdr:col>
                    <xdr:colOff>114300</xdr:colOff>
                    <xdr:row>28</xdr:row>
                    <xdr:rowOff>0</xdr:rowOff>
                  </to>
                </anchor>
              </controlPr>
            </control>
          </mc:Choice>
        </mc:AlternateContent>
        <mc:AlternateContent xmlns:mc="http://schemas.openxmlformats.org/markup-compatibility/2006">
          <mc:Choice Requires="x14">
            <control shapeId="2543338" r:id="rId29" name="Check Box 2794">
              <controlPr defaultSize="0" autoFill="0" autoLine="0" autoPict="0">
                <anchor moveWithCells="1" sizeWithCells="1">
                  <from>
                    <xdr:col>16</xdr:col>
                    <xdr:colOff>123825</xdr:colOff>
                    <xdr:row>29</xdr:row>
                    <xdr:rowOff>0</xdr:rowOff>
                  </from>
                  <to>
                    <xdr:col>18</xdr:col>
                    <xdr:colOff>28575</xdr:colOff>
                    <xdr:row>29</xdr:row>
                    <xdr:rowOff>190500</xdr:rowOff>
                  </to>
                </anchor>
              </controlPr>
            </control>
          </mc:Choice>
        </mc:AlternateContent>
        <mc:AlternateContent xmlns:mc="http://schemas.openxmlformats.org/markup-compatibility/2006">
          <mc:Choice Requires="x14">
            <control shapeId="2543339" r:id="rId30" name="Check Box 2795">
              <controlPr defaultSize="0" autoFill="0" autoLine="0" autoPict="0">
                <anchor moveWithCells="1" sizeWithCells="1">
                  <from>
                    <xdr:col>12</xdr:col>
                    <xdr:colOff>180975</xdr:colOff>
                    <xdr:row>26</xdr:row>
                    <xdr:rowOff>0</xdr:rowOff>
                  </from>
                  <to>
                    <xdr:col>15</xdr:col>
                    <xdr:colOff>180975</xdr:colOff>
                    <xdr:row>27</xdr:row>
                    <xdr:rowOff>9525</xdr:rowOff>
                  </to>
                </anchor>
              </controlPr>
            </control>
          </mc:Choice>
        </mc:AlternateContent>
        <mc:AlternateContent xmlns:mc="http://schemas.openxmlformats.org/markup-compatibility/2006">
          <mc:Choice Requires="x14">
            <control shapeId="2543349" r:id="rId31" name="Check Box 2805">
              <controlPr defaultSize="0" autoFill="0" autoLine="0" autoPict="0">
                <anchor moveWithCells="1" sizeWithCells="1">
                  <from>
                    <xdr:col>9</xdr:col>
                    <xdr:colOff>257175</xdr:colOff>
                    <xdr:row>79</xdr:row>
                    <xdr:rowOff>38100</xdr:rowOff>
                  </from>
                  <to>
                    <xdr:col>11</xdr:col>
                    <xdr:colOff>257175</xdr:colOff>
                    <xdr:row>79</xdr:row>
                    <xdr:rowOff>200025</xdr:rowOff>
                  </to>
                </anchor>
              </controlPr>
            </control>
          </mc:Choice>
        </mc:AlternateContent>
        <mc:AlternateContent xmlns:mc="http://schemas.openxmlformats.org/markup-compatibility/2006">
          <mc:Choice Requires="x14">
            <control shapeId="2543351" r:id="rId32" name="Check Box 2807">
              <controlPr defaultSize="0" autoFill="0" autoLine="0" autoPict="0">
                <anchor moveWithCells="1" sizeWithCells="1">
                  <from>
                    <xdr:col>7</xdr:col>
                    <xdr:colOff>219075</xdr:colOff>
                    <xdr:row>75</xdr:row>
                    <xdr:rowOff>47625</xdr:rowOff>
                  </from>
                  <to>
                    <xdr:col>9</xdr:col>
                    <xdr:colOff>142875</xdr:colOff>
                    <xdr:row>77</xdr:row>
                    <xdr:rowOff>28575</xdr:rowOff>
                  </to>
                </anchor>
              </controlPr>
            </control>
          </mc:Choice>
        </mc:AlternateContent>
        <mc:AlternateContent xmlns:mc="http://schemas.openxmlformats.org/markup-compatibility/2006">
          <mc:Choice Requires="x14">
            <control shapeId="2543352" r:id="rId33" name="Check Box 2808">
              <controlPr defaultSize="0" autoFill="0" autoLine="0" autoPict="0">
                <anchor moveWithCells="1" sizeWithCells="1">
                  <from>
                    <xdr:col>12</xdr:col>
                    <xdr:colOff>0</xdr:colOff>
                    <xdr:row>75</xdr:row>
                    <xdr:rowOff>47625</xdr:rowOff>
                  </from>
                  <to>
                    <xdr:col>14</xdr:col>
                    <xdr:colOff>104775</xdr:colOff>
                    <xdr:row>77</xdr:row>
                    <xdr:rowOff>28575</xdr:rowOff>
                  </to>
                </anchor>
              </controlPr>
            </control>
          </mc:Choice>
        </mc:AlternateContent>
        <mc:AlternateContent xmlns:mc="http://schemas.openxmlformats.org/markup-compatibility/2006">
          <mc:Choice Requires="x14">
            <control shapeId="2543359" r:id="rId34" name="Check Box 2815">
              <controlPr defaultSize="0" autoFill="0" autoLine="0" autoPict="0">
                <anchor moveWithCells="1" sizeWithCells="1">
                  <from>
                    <xdr:col>16</xdr:col>
                    <xdr:colOff>161925</xdr:colOff>
                    <xdr:row>76</xdr:row>
                    <xdr:rowOff>0</xdr:rowOff>
                  </from>
                  <to>
                    <xdr:col>17</xdr:col>
                    <xdr:colOff>152400</xdr:colOff>
                    <xdr:row>77</xdr:row>
                    <xdr:rowOff>0</xdr:rowOff>
                  </to>
                </anchor>
              </controlPr>
            </control>
          </mc:Choice>
        </mc:AlternateContent>
        <mc:AlternateContent xmlns:mc="http://schemas.openxmlformats.org/markup-compatibility/2006">
          <mc:Choice Requires="x14">
            <control shapeId="2543364" r:id="rId35" name="Check Box 2820">
              <controlPr defaultSize="0" autoFill="0" autoLine="0" autoPict="0">
                <anchor moveWithCells="1" sizeWithCells="1">
                  <from>
                    <xdr:col>13</xdr:col>
                    <xdr:colOff>314325</xdr:colOff>
                    <xdr:row>17</xdr:row>
                    <xdr:rowOff>0</xdr:rowOff>
                  </from>
                  <to>
                    <xdr:col>16</xdr:col>
                    <xdr:colOff>28575</xdr:colOff>
                    <xdr:row>17</xdr:row>
                    <xdr:rowOff>219075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xr:uid="{00000000-0002-0000-0200-000003000000}">
          <x14:formula1>
            <xm:f>'Drop-Down Lists'!$S$2:$S$10</xm:f>
          </x14:formula1>
          <xm:sqref>G88</xm:sqref>
        </x14:dataValidation>
        <x14:dataValidation type="list" errorStyle="warning" allowBlank="1" showInputMessage="1" error="Use Ratings from Web Soil Survey" xr:uid="{00000000-0002-0000-0200-000007000000}">
          <x14:formula1>
            <xm:f>'Drop-Down Lists'!$BJ$2:$BJ$6</xm:f>
          </x14:formula1>
          <xm:sqref>L98:U98 L94:U94 L96:U96</xm:sqref>
        </x14:dataValidation>
        <x14:dataValidation type="list" errorStyle="information" allowBlank="1" showInputMessage="1" errorTitle="Shoreland Classification" error="Check Classification" xr:uid="{00000000-0002-0000-0200-000008000000}">
          <x14:formula1>
            <xm:f>'Drop-Down Lists'!$BK$2:$BK$12</xm:f>
          </x14:formula1>
          <xm:sqref>F69:J69</xm:sqref>
        </x14:dataValidation>
        <x14:dataValidation type="list" allowBlank="1" xr:uid="{00000000-0002-0000-0200-000004000000}">
          <x14:formula1>
            <xm:f>'Drop-Down Lists'!$N$2:$N$10</xm:f>
          </x14:formula1>
          <xm:sqref>G90</xm:sqref>
        </x14:dataValidation>
        <x14:dataValidation type="list" allowBlank="1" showInputMessage="1" xr:uid="{00000000-0002-0000-0200-000005000000}">
          <x14:formula1>
            <xm:f>'Drop-Down Lists'!$B$2:$B$4</xm:f>
          </x14:formula1>
          <xm:sqref>I25</xm:sqref>
        </x14:dataValidation>
        <x14:dataValidation type="list" allowBlank="1" showInputMessage="1" promptTitle="Waste Type" prompt="If Other Establishment  -  At-Risk or HSW_x000a_Enter Concentrations anticipated_x000a_" xr:uid="{AF61DB97-2B38-4D6A-8942-07D29261ECA5}">
          <x14:formula1>
            <xm:f>'Drop-Down Lists'!$BL$41:$BL$44</xm:f>
          </x14:formula1>
          <xm:sqref>R40:U40</xm:sqref>
        </x14:dataValidation>
        <x14:dataValidation type="list" allowBlank="1" xr:uid="{50DD1A2F-3535-4125-8A69-B00DB7572D7F}">
          <x14:formula1>
            <xm:f>'Drop-Down Lists'!$CG$2:$CG$4</xm:f>
          </x14:formula1>
          <xm:sqref>G63:U63</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
    <tabColor rgb="FF339966"/>
  </sheetPr>
  <dimension ref="A1:AV90"/>
  <sheetViews>
    <sheetView showGridLines="0" showZeros="0" showWhiteSpace="0" view="pageBreakPreview" zoomScaleNormal="100" zoomScaleSheetLayoutView="100" workbookViewId="0">
      <selection activeCell="N4" sqref="N4:R4"/>
    </sheetView>
  </sheetViews>
  <sheetFormatPr defaultColWidth="6.42578125" defaultRowHeight="35.1" customHeight="1"/>
  <cols>
    <col min="1" max="1" width="3.42578125" style="8" customWidth="1"/>
    <col min="2" max="4" width="7.42578125" style="8" customWidth="1"/>
    <col min="5" max="6" width="6.7109375" style="8" customWidth="1"/>
    <col min="7" max="16" width="7.42578125" style="8" customWidth="1"/>
    <col min="17" max="20" width="7.42578125" style="4" customWidth="1"/>
    <col min="21" max="34" width="6.42578125" style="8" customWidth="1"/>
    <col min="35" max="16384" width="6.42578125" style="8"/>
  </cols>
  <sheetData>
    <row r="1" spans="1:47" ht="54.95" customHeight="1" thickBot="1">
      <c r="A1" s="3176" t="s">
        <v>1831</v>
      </c>
      <c r="B1" s="3176"/>
      <c r="C1" s="3176"/>
      <c r="D1" s="3176"/>
      <c r="E1" s="3176"/>
      <c r="F1" s="3176"/>
      <c r="G1" s="3176"/>
      <c r="H1" s="3176"/>
      <c r="I1" s="3176"/>
      <c r="J1" s="3176"/>
      <c r="K1" s="3176"/>
      <c r="L1" s="3176"/>
      <c r="M1" s="3176"/>
      <c r="N1" s="3176"/>
      <c r="O1" s="3176"/>
      <c r="P1" s="3176"/>
      <c r="Q1" s="3176"/>
      <c r="R1" s="3176"/>
      <c r="S1" s="3176"/>
      <c r="T1" s="3176"/>
      <c r="V1" s="723"/>
      <c r="W1" s="876" t="s">
        <v>1832</v>
      </c>
      <c r="X1" s="723"/>
      <c r="Y1" s="723"/>
      <c r="Z1" s="723"/>
      <c r="AA1" s="723"/>
      <c r="AB1" s="723"/>
      <c r="AC1" s="723"/>
      <c r="AD1" s="719"/>
      <c r="AE1" s="719"/>
      <c r="AF1" s="720"/>
      <c r="AG1" s="720"/>
      <c r="AH1" s="723"/>
      <c r="AI1" s="723"/>
      <c r="AJ1" s="723"/>
      <c r="AK1" s="723"/>
      <c r="AL1" s="723"/>
      <c r="AM1" s="723"/>
      <c r="AN1" s="723"/>
      <c r="AO1" s="724"/>
    </row>
    <row r="2" spans="1:47" ht="24" customHeight="1">
      <c r="A2" s="856"/>
      <c r="B2" s="3589" t="s">
        <v>1833</v>
      </c>
      <c r="C2" s="3589"/>
      <c r="D2" s="3589"/>
      <c r="E2" s="3589"/>
      <c r="F2" s="3589"/>
      <c r="G2" s="3589"/>
      <c r="H2" s="3589"/>
      <c r="I2" s="3589"/>
      <c r="J2" s="3589"/>
      <c r="K2" s="3589"/>
      <c r="L2" s="3588" t="s">
        <v>1164</v>
      </c>
      <c r="M2" s="3588"/>
      <c r="N2" s="3590" t="str">
        <f>IF(ISBLANK('Design Details &amp; Summary'!S3)," ",'Design Details &amp; Summary'!S3)</f>
        <v xml:space="preserve"> </v>
      </c>
      <c r="O2" s="3590"/>
      <c r="P2" s="1127"/>
      <c r="Q2" s="1127"/>
      <c r="R2" s="1127"/>
      <c r="S2" s="1127"/>
      <c r="T2" s="857" t="str">
        <f>'Drop-Down Lists'!A2</f>
        <v>v 05.01.2026</v>
      </c>
      <c r="V2" s="722"/>
      <c r="W2" s="723" t="s">
        <v>1834</v>
      </c>
      <c r="AH2" s="16"/>
      <c r="AI2" s="16"/>
      <c r="AJ2" s="16"/>
      <c r="AK2" s="16"/>
      <c r="AL2" s="16"/>
      <c r="AM2" s="16"/>
      <c r="AN2" s="16"/>
      <c r="AO2" s="16"/>
      <c r="AT2" s="17"/>
      <c r="AU2" s="17"/>
    </row>
    <row r="3" spans="1:47" ht="6" customHeight="1">
      <c r="A3" s="858"/>
      <c r="B3" s="91"/>
      <c r="C3" s="91"/>
      <c r="D3" s="91"/>
      <c r="E3" s="91"/>
      <c r="F3" s="91"/>
      <c r="G3" s="91"/>
      <c r="H3" s="91"/>
      <c r="I3" s="91" t="s">
        <v>1835</v>
      </c>
      <c r="J3" s="91"/>
      <c r="K3" s="91"/>
      <c r="L3" s="91"/>
      <c r="M3" s="91"/>
      <c r="N3" s="91"/>
      <c r="O3" s="91"/>
      <c r="P3" s="91"/>
      <c r="Q3" s="91"/>
      <c r="R3" s="91"/>
      <c r="S3" s="91"/>
      <c r="T3" s="859"/>
      <c r="AL3" s="4"/>
      <c r="AM3" s="4"/>
      <c r="AN3" s="4"/>
      <c r="AO3" s="4"/>
      <c r="AT3" s="17"/>
      <c r="AU3" s="17"/>
    </row>
    <row r="4" spans="1:47" ht="24" customHeight="1">
      <c r="A4" s="860" t="s">
        <v>475</v>
      </c>
      <c r="B4" s="527" t="s">
        <v>1011</v>
      </c>
      <c r="C4" s="528" t="s">
        <v>1165</v>
      </c>
      <c r="D4" s="520"/>
      <c r="E4" s="520"/>
      <c r="F4" s="520"/>
      <c r="G4" s="520"/>
      <c r="I4" s="2999" t="str">
        <f>IF(ISBLANK('Design Details &amp; Summary'!I11),"",'Design Details &amp; Summary'!I11)</f>
        <v/>
      </c>
      <c r="J4" s="3036"/>
      <c r="K4" s="520" t="s">
        <v>583</v>
      </c>
      <c r="L4" s="8" t="s">
        <v>1836</v>
      </c>
      <c r="M4" s="16"/>
      <c r="N4" s="3591"/>
      <c r="O4" s="3592"/>
      <c r="P4" s="3592"/>
      <c r="Q4" s="3592"/>
      <c r="R4" s="3593"/>
      <c r="S4" s="16"/>
      <c r="T4" s="862"/>
      <c r="V4" s="4" t="s">
        <v>1011</v>
      </c>
      <c r="W4" s="8" t="s">
        <v>1837</v>
      </c>
      <c r="AL4" s="4"/>
      <c r="AM4" s="4"/>
      <c r="AN4" s="4"/>
      <c r="AO4" s="4"/>
      <c r="AT4" s="17"/>
      <c r="AU4" s="17"/>
    </row>
    <row r="5" spans="1:47" ht="6" customHeight="1">
      <c r="A5" s="861"/>
      <c r="B5" s="16"/>
      <c r="C5" s="16"/>
      <c r="D5" s="16"/>
      <c r="E5" s="16"/>
      <c r="F5" s="16"/>
      <c r="G5" s="16"/>
      <c r="H5" s="16"/>
      <c r="L5" s="16"/>
      <c r="M5" s="16"/>
      <c r="N5" s="16"/>
      <c r="O5" s="16"/>
      <c r="P5" s="16"/>
      <c r="Q5" s="16"/>
      <c r="R5" s="16"/>
      <c r="S5" s="16"/>
      <c r="T5" s="862"/>
      <c r="AL5" s="4"/>
      <c r="AM5" s="4"/>
      <c r="AN5" s="4"/>
      <c r="AO5" s="4"/>
      <c r="AT5" s="17"/>
      <c r="AU5" s="17"/>
    </row>
    <row r="6" spans="1:47" ht="24" customHeight="1">
      <c r="A6" s="861"/>
      <c r="B6" s="4" t="s">
        <v>1019</v>
      </c>
      <c r="C6" s="8" t="s">
        <v>1838</v>
      </c>
      <c r="I6" s="2940"/>
      <c r="J6" s="2941"/>
      <c r="K6" s="8" t="s">
        <v>1031</v>
      </c>
      <c r="L6" s="8" t="s">
        <v>1839</v>
      </c>
      <c r="Q6" s="8"/>
      <c r="R6" s="2940"/>
      <c r="S6" s="2941"/>
      <c r="T6" s="1014" t="s">
        <v>1031</v>
      </c>
      <c r="W6" s="3581"/>
      <c r="X6" s="3582"/>
      <c r="Y6" s="8" t="s">
        <v>609</v>
      </c>
      <c r="Z6" s="58" t="s">
        <v>1343</v>
      </c>
      <c r="AA6" s="3581"/>
      <c r="AB6" s="3582"/>
      <c r="AC6" s="4" t="s">
        <v>609</v>
      </c>
      <c r="AD6" s="58" t="s">
        <v>1240</v>
      </c>
      <c r="AE6" s="3577" t="str">
        <f>IF(ISBLANK(W6), " ", (W6*AA6))</f>
        <v xml:space="preserve"> </v>
      </c>
      <c r="AF6" s="3578"/>
      <c r="AG6" s="8" t="s">
        <v>801</v>
      </c>
      <c r="AL6" s="4"/>
      <c r="AM6" s="4"/>
      <c r="AN6" s="4"/>
      <c r="AO6" s="4"/>
      <c r="AT6" s="17"/>
      <c r="AU6" s="17"/>
    </row>
    <row r="7" spans="1:47" ht="6" customHeight="1">
      <c r="A7" s="861"/>
      <c r="B7" s="4"/>
      <c r="I7" s="60"/>
      <c r="J7" s="60"/>
      <c r="Q7" s="8"/>
      <c r="R7" s="60"/>
      <c r="S7" s="60"/>
      <c r="T7" s="518"/>
      <c r="AL7" s="4"/>
      <c r="AM7" s="4"/>
      <c r="AN7" s="4"/>
      <c r="AO7" s="4"/>
      <c r="AT7" s="17"/>
      <c r="AU7" s="17"/>
    </row>
    <row r="8" spans="1:47" ht="6" customHeight="1">
      <c r="A8" s="858"/>
      <c r="B8" s="91"/>
      <c r="C8" s="91"/>
      <c r="D8" s="91"/>
      <c r="E8" s="91"/>
      <c r="F8" s="91"/>
      <c r="G8" s="91"/>
      <c r="H8" s="91"/>
      <c r="I8" s="41"/>
      <c r="J8" s="41"/>
      <c r="K8" s="41"/>
      <c r="L8" s="91"/>
      <c r="M8" s="91"/>
      <c r="N8" s="91"/>
      <c r="O8" s="91"/>
      <c r="P8" s="91"/>
      <c r="Q8" s="91"/>
      <c r="R8" s="91"/>
      <c r="S8" s="91"/>
      <c r="T8" s="859"/>
      <c r="AL8" s="4"/>
      <c r="AM8" s="4"/>
      <c r="AN8" s="4"/>
      <c r="AO8" s="4"/>
      <c r="AT8" s="17"/>
      <c r="AU8" s="17"/>
    </row>
    <row r="9" spans="1:47" ht="24" customHeight="1">
      <c r="A9" s="860" t="s">
        <v>481</v>
      </c>
      <c r="B9" s="4" t="s">
        <v>1011</v>
      </c>
      <c r="C9" s="8" t="s">
        <v>1840</v>
      </c>
      <c r="D9" s="27"/>
      <c r="E9" s="4"/>
      <c r="F9" s="2940"/>
      <c r="G9" s="3597"/>
      <c r="H9" s="3597"/>
      <c r="I9" s="3597"/>
      <c r="J9" s="2941"/>
      <c r="K9" s="4" t="s">
        <v>1019</v>
      </c>
      <c r="L9" s="8" t="s">
        <v>1841</v>
      </c>
      <c r="M9" s="27"/>
      <c r="N9" s="2872"/>
      <c r="O9" s="2873"/>
      <c r="P9" s="2873"/>
      <c r="Q9" s="2873"/>
      <c r="R9" s="2874"/>
      <c r="T9" s="863"/>
      <c r="V9" s="4" t="s">
        <v>1019</v>
      </c>
      <c r="W9" s="8" t="s">
        <v>1842</v>
      </c>
      <c r="AK9" s="473"/>
      <c r="AL9" s="473"/>
      <c r="AM9" s="473"/>
      <c r="AN9" s="473"/>
      <c r="AO9" s="4"/>
      <c r="AT9" s="17"/>
      <c r="AU9" s="17"/>
    </row>
    <row r="10" spans="1:47" ht="6" customHeight="1">
      <c r="A10" s="864"/>
      <c r="B10" s="4"/>
      <c r="D10" s="27"/>
      <c r="E10" s="4"/>
      <c r="F10" s="32"/>
      <c r="G10" s="32"/>
      <c r="H10" s="54"/>
      <c r="J10" s="4"/>
      <c r="K10" s="32"/>
      <c r="L10" s="32"/>
      <c r="M10" s="4"/>
      <c r="N10" s="552"/>
      <c r="O10" s="552"/>
      <c r="P10" s="353"/>
      <c r="Q10" s="353"/>
      <c r="R10" s="353"/>
      <c r="S10" s="353"/>
      <c r="T10" s="865"/>
      <c r="AK10" s="473"/>
      <c r="AL10" s="473"/>
      <c r="AM10" s="473"/>
      <c r="AN10" s="473"/>
      <c r="AO10" s="4"/>
      <c r="AT10" s="17"/>
      <c r="AU10" s="17"/>
    </row>
    <row r="11" spans="1:47" ht="24" customHeight="1">
      <c r="A11" s="864"/>
      <c r="B11" s="4" t="s">
        <v>1168</v>
      </c>
      <c r="C11" s="8" t="s">
        <v>1843</v>
      </c>
      <c r="I11" s="2940"/>
      <c r="J11" s="3461"/>
      <c r="K11" s="8" t="s">
        <v>1002</v>
      </c>
      <c r="N11" s="3598" t="s">
        <v>1844</v>
      </c>
      <c r="O11" s="3598"/>
      <c r="P11" s="3598"/>
      <c r="Q11" s="3598"/>
      <c r="R11" s="3598"/>
      <c r="S11" s="3598"/>
      <c r="T11" s="3599"/>
      <c r="X11" s="58" t="s">
        <v>1845</v>
      </c>
      <c r="Z11" s="3579"/>
      <c r="AA11" s="3580"/>
      <c r="AB11" s="335">
        <v>2</v>
      </c>
      <c r="AC11" s="8" t="s">
        <v>609</v>
      </c>
      <c r="AD11" s="58" t="s">
        <v>1240</v>
      </c>
      <c r="AE11" s="3174" t="str">
        <f>IF(ISBLANK(Z11)," ",PI()*Z11*Z11)</f>
        <v xml:space="preserve"> </v>
      </c>
      <c r="AF11" s="3175"/>
      <c r="AG11" s="8" t="s">
        <v>801</v>
      </c>
      <c r="AT11" s="17"/>
      <c r="AU11" s="17"/>
    </row>
    <row r="12" spans="1:47" ht="6" customHeight="1">
      <c r="A12" s="864"/>
      <c r="B12" s="4"/>
      <c r="I12" s="94"/>
      <c r="J12" s="94"/>
      <c r="K12" s="94"/>
      <c r="N12" s="3598"/>
      <c r="O12" s="3598"/>
      <c r="P12" s="3598"/>
      <c r="Q12" s="3598"/>
      <c r="R12" s="3598"/>
      <c r="S12" s="3598"/>
      <c r="T12" s="3599"/>
      <c r="V12" s="722"/>
      <c r="AK12" s="4"/>
      <c r="AL12" s="4"/>
      <c r="AM12" s="4"/>
      <c r="AN12" s="4"/>
      <c r="AO12" s="4"/>
      <c r="AT12" s="17"/>
    </row>
    <row r="13" spans="1:47" ht="24" customHeight="1">
      <c r="A13" s="864"/>
      <c r="B13" s="4" t="s">
        <v>1172</v>
      </c>
      <c r="C13" s="8" t="s">
        <v>1846</v>
      </c>
      <c r="H13" s="94"/>
      <c r="I13" s="3172"/>
      <c r="J13" s="3563"/>
      <c r="K13" s="8" t="s">
        <v>762</v>
      </c>
      <c r="N13" s="3598"/>
      <c r="O13" s="3598"/>
      <c r="P13" s="3598"/>
      <c r="Q13" s="3598"/>
      <c r="R13" s="3598"/>
      <c r="S13" s="3598"/>
      <c r="T13" s="3599"/>
      <c r="V13" s="4" t="s">
        <v>1168</v>
      </c>
      <c r="W13" s="2946" t="s">
        <v>1847</v>
      </c>
      <c r="X13" s="2946"/>
      <c r="Y13" s="2946"/>
      <c r="Z13" s="2946"/>
      <c r="AA13" s="2946"/>
      <c r="AB13" s="2946"/>
      <c r="AC13" s="2946"/>
      <c r="AD13" s="2946"/>
      <c r="AE13" s="2946"/>
      <c r="AF13" s="2946"/>
      <c r="AG13" s="2946"/>
      <c r="AH13" s="2946"/>
      <c r="AI13" s="2946"/>
      <c r="AJ13" s="2946"/>
      <c r="AK13" s="2946"/>
      <c r="AN13" s="24"/>
      <c r="AT13" s="17"/>
    </row>
    <row r="14" spans="1:47" ht="6" customHeight="1">
      <c r="A14" s="517"/>
      <c r="N14" s="3598"/>
      <c r="O14" s="3598"/>
      <c r="P14" s="3598"/>
      <c r="Q14" s="3598"/>
      <c r="R14" s="3598"/>
      <c r="S14" s="3598"/>
      <c r="T14" s="3599"/>
      <c r="V14" s="4"/>
      <c r="W14" s="2946"/>
      <c r="X14" s="2946"/>
      <c r="Y14" s="2946"/>
      <c r="Z14" s="2946"/>
      <c r="AA14" s="2946"/>
      <c r="AB14" s="2946"/>
      <c r="AC14" s="2946"/>
      <c r="AD14" s="2946"/>
      <c r="AE14" s="2946"/>
      <c r="AF14" s="2946"/>
      <c r="AG14" s="2946"/>
      <c r="AH14" s="2946"/>
      <c r="AI14" s="2946"/>
      <c r="AJ14" s="2946"/>
      <c r="AK14" s="2946"/>
      <c r="AL14" s="4"/>
      <c r="AM14" s="4"/>
      <c r="AN14" s="4"/>
      <c r="AO14" s="4"/>
      <c r="AT14" s="17"/>
    </row>
    <row r="15" spans="1:47" ht="24" customHeight="1">
      <c r="A15" s="864"/>
      <c r="B15" s="4" t="s">
        <v>1177</v>
      </c>
      <c r="C15" s="8" t="s">
        <v>1848</v>
      </c>
      <c r="H15" s="94"/>
      <c r="I15" s="3172"/>
      <c r="J15" s="3563"/>
      <c r="K15" s="8" t="s">
        <v>1849</v>
      </c>
      <c r="N15" s="3598"/>
      <c r="O15" s="3598"/>
      <c r="P15" s="3598"/>
      <c r="Q15" s="3598"/>
      <c r="R15" s="3598"/>
      <c r="S15" s="3598"/>
      <c r="T15" s="3599"/>
      <c r="V15" s="4"/>
      <c r="W15" s="3579"/>
      <c r="X15" s="3580"/>
      <c r="Y15" s="4" t="s">
        <v>801</v>
      </c>
      <c r="Z15" s="58" t="s">
        <v>1850</v>
      </c>
      <c r="AA15" s="3" t="s">
        <v>1851</v>
      </c>
      <c r="AB15" s="57"/>
      <c r="AC15" s="43"/>
      <c r="AD15" s="43"/>
      <c r="AE15" s="58" t="s">
        <v>1240</v>
      </c>
      <c r="AF15" s="3174" t="str">
        <f>IF(ISBLANK(W15)," ",W15*7.5/12)</f>
        <v xml:space="preserve"> </v>
      </c>
      <c r="AG15" s="3175"/>
      <c r="AH15" s="8" t="s">
        <v>1849</v>
      </c>
      <c r="AK15" s="4"/>
      <c r="AL15" s="4"/>
      <c r="AM15" s="4"/>
      <c r="AN15" s="4"/>
      <c r="AO15" s="4"/>
      <c r="AT15" s="17"/>
    </row>
    <row r="16" spans="1:47" ht="6" customHeight="1">
      <c r="A16" s="866"/>
      <c r="B16" s="61"/>
      <c r="C16" s="61"/>
      <c r="D16" s="61"/>
      <c r="E16" s="61"/>
      <c r="F16" s="61"/>
      <c r="G16" s="61"/>
      <c r="H16" s="61"/>
      <c r="I16" s="61"/>
      <c r="J16" s="61"/>
      <c r="K16" s="61"/>
      <c r="L16" s="61"/>
      <c r="M16" s="61"/>
      <c r="N16" s="61"/>
      <c r="O16" s="61"/>
      <c r="P16" s="61"/>
      <c r="Q16" s="38"/>
      <c r="R16" s="38"/>
      <c r="S16" s="38"/>
      <c r="T16" s="867"/>
      <c r="V16" s="4"/>
      <c r="W16" s="4"/>
      <c r="AT16" s="17"/>
    </row>
    <row r="17" spans="1:46" ht="24" customHeight="1">
      <c r="A17" s="3594" t="s">
        <v>1852</v>
      </c>
      <c r="B17" s="3595"/>
      <c r="C17" s="3595"/>
      <c r="D17" s="3595"/>
      <c r="E17" s="3595"/>
      <c r="F17" s="3595"/>
      <c r="G17" s="3595"/>
      <c r="H17" s="3595"/>
      <c r="I17" s="3595"/>
      <c r="J17" s="3595"/>
      <c r="K17" s="3595"/>
      <c r="L17" s="3595"/>
      <c r="M17" s="3595"/>
      <c r="N17" s="3595"/>
      <c r="O17" s="3595"/>
      <c r="P17" s="3595"/>
      <c r="Q17" s="3595"/>
      <c r="R17" s="3595"/>
      <c r="S17" s="3595"/>
      <c r="T17" s="3596"/>
      <c r="V17" s="4" t="s">
        <v>1172</v>
      </c>
      <c r="W17" s="8" t="s">
        <v>1853</v>
      </c>
      <c r="AA17" s="32"/>
      <c r="AB17" s="32"/>
      <c r="AC17" s="54"/>
      <c r="AE17" s="4"/>
      <c r="AF17" s="32"/>
      <c r="AG17" s="32"/>
      <c r="AH17" s="4"/>
      <c r="AL17" s="4"/>
      <c r="AM17" s="4"/>
      <c r="AN17" s="4"/>
      <c r="AO17" s="4"/>
      <c r="AT17" s="17"/>
    </row>
    <row r="18" spans="1:46" ht="18" customHeight="1">
      <c r="A18" s="868" t="s">
        <v>487</v>
      </c>
      <c r="B18" s="2946" t="s">
        <v>1854</v>
      </c>
      <c r="C18" s="2946"/>
      <c r="D18" s="2946"/>
      <c r="E18" s="2946"/>
      <c r="F18" s="2946"/>
      <c r="G18" s="2946"/>
      <c r="H18" s="2946"/>
      <c r="I18" s="2946"/>
      <c r="J18" s="2946"/>
      <c r="K18" s="2946"/>
      <c r="L18" s="2946"/>
      <c r="M18" s="2946"/>
      <c r="N18" s="2946"/>
      <c r="O18" s="2946"/>
      <c r="P18" s="2946"/>
      <c r="Q18" s="2946"/>
      <c r="R18" s="2946"/>
      <c r="S18" s="2946"/>
      <c r="T18" s="518"/>
      <c r="V18" s="9"/>
      <c r="W18" s="7" t="s">
        <v>1855</v>
      </c>
      <c r="AF18" s="3573"/>
      <c r="AG18" s="3574"/>
      <c r="AH18" s="8" t="s">
        <v>629</v>
      </c>
      <c r="AT18" s="17"/>
    </row>
    <row r="19" spans="1:46" ht="18" customHeight="1">
      <c r="A19" s="864"/>
      <c r="B19" s="2946"/>
      <c r="C19" s="2946"/>
      <c r="D19" s="2946"/>
      <c r="E19" s="2946"/>
      <c r="F19" s="2946"/>
      <c r="G19" s="2946"/>
      <c r="H19" s="2946"/>
      <c r="I19" s="2946"/>
      <c r="J19" s="2946"/>
      <c r="K19" s="2946"/>
      <c r="L19" s="2946"/>
      <c r="M19" s="2946"/>
      <c r="N19" s="2946"/>
      <c r="O19" s="2946"/>
      <c r="P19" s="2946"/>
      <c r="Q19" s="2946"/>
      <c r="R19" s="2946"/>
      <c r="S19" s="2946"/>
      <c r="T19" s="518"/>
      <c r="W19" s="7" t="s">
        <v>1856</v>
      </c>
      <c r="AD19" s="4"/>
      <c r="AE19" s="4"/>
      <c r="AH19" s="3"/>
      <c r="AI19" s="3"/>
      <c r="AJ19" s="3"/>
      <c r="AT19" s="17"/>
    </row>
    <row r="20" spans="1:46" ht="18" customHeight="1">
      <c r="A20" s="864"/>
      <c r="B20" s="8" t="s">
        <v>1857</v>
      </c>
      <c r="Q20" s="8"/>
      <c r="R20" s="8"/>
      <c r="S20" s="8"/>
      <c r="T20" s="518"/>
      <c r="W20" s="3480" t="str">
        <f>IF(ISBLANK(AF18)," ",(AF18))</f>
        <v xml:space="preserve"> </v>
      </c>
      <c r="X20" s="3481"/>
      <c r="Y20" s="4" t="s">
        <v>629</v>
      </c>
      <c r="Z20" s="58" t="s">
        <v>1343</v>
      </c>
      <c r="AA20" s="3174">
        <f>IF(ISBLANK(AF15),"",MAX(I15,AF15))</f>
        <v>0</v>
      </c>
      <c r="AB20" s="3175"/>
      <c r="AC20" s="8" t="s">
        <v>1858</v>
      </c>
      <c r="AF20" s="3174" t="str">
        <f>IF(ISBLANK(AF18)," ",(W20*AA20))</f>
        <v xml:space="preserve"> </v>
      </c>
      <c r="AG20" s="3175"/>
      <c r="AH20" s="8" t="s">
        <v>1002</v>
      </c>
      <c r="AT20" s="17"/>
    </row>
    <row r="21" spans="1:46" ht="24" customHeight="1">
      <c r="A21" s="517"/>
      <c r="B21" s="24" t="s">
        <v>1237</v>
      </c>
      <c r="C21" s="2938"/>
      <c r="D21" s="2939"/>
      <c r="E21" s="58" t="s">
        <v>1859</v>
      </c>
      <c r="F21" s="8" t="s">
        <v>1860</v>
      </c>
      <c r="H21" s="3174" t="str">
        <f>IF(ISBLANK(C21), " ", MAX(I15,AF15))</f>
        <v xml:space="preserve"> </v>
      </c>
      <c r="I21" s="3175"/>
      <c r="J21" s="8" t="s">
        <v>1861</v>
      </c>
      <c r="M21" s="58" t="s">
        <v>1240</v>
      </c>
      <c r="N21" s="3165" t="str">
        <f>IF(ISBLANK(C21)," ",((C21+2)*H21))</f>
        <v xml:space="preserve"> </v>
      </c>
      <c r="O21" s="3166"/>
      <c r="P21" s="8" t="s">
        <v>1002</v>
      </c>
      <c r="Q21" s="8"/>
      <c r="R21" s="8"/>
      <c r="S21" s="8"/>
      <c r="T21" s="518"/>
      <c r="V21" s="9"/>
      <c r="AT21" s="17"/>
    </row>
    <row r="22" spans="1:46" ht="18" customHeight="1">
      <c r="A22" s="868" t="s">
        <v>493</v>
      </c>
      <c r="B22" s="2946" t="s">
        <v>1862</v>
      </c>
      <c r="C22" s="2946"/>
      <c r="D22" s="2946"/>
      <c r="E22" s="2946"/>
      <c r="F22" s="2946"/>
      <c r="G22" s="2946"/>
      <c r="H22" s="2946"/>
      <c r="I22" s="2946"/>
      <c r="J22" s="2946"/>
      <c r="K22" s="2946"/>
      <c r="L22" s="2946"/>
      <c r="M22" s="2946"/>
      <c r="T22" s="863"/>
      <c r="V22" s="9"/>
      <c r="AT22" s="17"/>
    </row>
    <row r="23" spans="1:46" ht="24" customHeight="1">
      <c r="A23" s="864"/>
      <c r="B23" s="7" t="s">
        <v>1863</v>
      </c>
      <c r="C23" s="2272"/>
      <c r="D23" s="2272"/>
      <c r="E23" s="2272"/>
      <c r="F23" s="2272"/>
      <c r="G23" s="2272"/>
      <c r="H23" s="2272"/>
      <c r="I23" s="2272"/>
      <c r="J23" s="2272"/>
      <c r="K23" s="3174" t="str">
        <f>IF(ISBLANK(C21)," ",MAX('Pres. Dist. STA'!G95,'Non-Level  STA'!K189))</f>
        <v xml:space="preserve"> </v>
      </c>
      <c r="L23" s="3175"/>
      <c r="M23" s="16" t="s">
        <v>1864</v>
      </c>
      <c r="Q23" s="2923" t="str">
        <f>IF(ISBLANK(C21)," ",(K23/H21))</f>
        <v xml:space="preserve"> </v>
      </c>
      <c r="R23" s="2924"/>
      <c r="S23" s="8" t="s">
        <v>1865</v>
      </c>
      <c r="T23" s="518"/>
      <c r="V23" s="1868"/>
      <c r="AB23" s="94"/>
      <c r="AC23" s="3575"/>
      <c r="AD23" s="3576"/>
      <c r="AT23" s="17"/>
    </row>
    <row r="24" spans="1:46" ht="18" customHeight="1">
      <c r="A24" s="868" t="s">
        <v>498</v>
      </c>
      <c r="B24" s="8" t="s">
        <v>1866</v>
      </c>
      <c r="K24" s="640"/>
      <c r="L24" s="640"/>
      <c r="Q24" s="1536"/>
      <c r="R24" s="1536"/>
      <c r="S24" s="8"/>
      <c r="T24" s="518"/>
      <c r="V24" s="9"/>
      <c r="W24" s="4"/>
      <c r="AT24" s="17"/>
    </row>
    <row r="25" spans="1:46" ht="24" customHeight="1">
      <c r="A25" s="868"/>
      <c r="B25" s="8" t="s">
        <v>582</v>
      </c>
      <c r="E25" s="3418" t="str">
        <f>IF(ISBLANK('Design Details &amp; Summary'!I11)," ",'Design Details &amp; Summary'!I11)</f>
        <v/>
      </c>
      <c r="F25" s="3419"/>
      <c r="G25" s="4" t="s">
        <v>583</v>
      </c>
      <c r="H25" s="58" t="s">
        <v>1343</v>
      </c>
      <c r="I25" s="8">
        <v>0.25</v>
      </c>
      <c r="J25" s="359" t="s">
        <v>1240</v>
      </c>
      <c r="K25" s="3174" t="str">
        <f>IF(ISBLANK(C21)," ",(E25*0.25))</f>
        <v xml:space="preserve"> </v>
      </c>
      <c r="L25" s="3175"/>
      <c r="M25" s="16" t="s">
        <v>1867</v>
      </c>
      <c r="Q25" s="2923" t="str">
        <f>IF(ISBLANK(C21)," ",(K25/H21))</f>
        <v xml:space="preserve"> </v>
      </c>
      <c r="R25" s="2924"/>
      <c r="S25" s="8" t="s">
        <v>1865</v>
      </c>
      <c r="T25" s="863"/>
      <c r="V25" s="4"/>
      <c r="W25" s="4"/>
      <c r="AT25" s="17"/>
    </row>
    <row r="26" spans="1:46" ht="6" customHeight="1">
      <c r="A26" s="868"/>
      <c r="B26" s="26"/>
      <c r="C26" s="26"/>
      <c r="D26" s="26"/>
      <c r="E26" s="26"/>
      <c r="F26" s="26"/>
      <c r="G26" s="26"/>
      <c r="H26" s="26"/>
      <c r="I26" s="26"/>
      <c r="J26" s="26"/>
      <c r="K26" s="26"/>
      <c r="L26" s="26"/>
      <c r="M26" s="26"/>
      <c r="N26" s="26"/>
      <c r="O26" s="26"/>
      <c r="P26" s="26"/>
      <c r="Q26" s="8"/>
      <c r="R26" s="8"/>
      <c r="S26" s="8"/>
      <c r="T26" s="518"/>
      <c r="V26" s="4"/>
      <c r="W26" s="4"/>
      <c r="X26" s="10"/>
      <c r="Y26" s="10"/>
      <c r="Z26" s="10"/>
      <c r="AA26" s="10"/>
      <c r="AB26" s="10"/>
      <c r="AC26" s="10"/>
      <c r="AD26" s="10"/>
      <c r="AE26" s="10"/>
      <c r="AF26" s="10"/>
      <c r="AT26" s="17"/>
    </row>
    <row r="27" spans="1:46" ht="6" customHeight="1">
      <c r="A27" s="1015"/>
      <c r="B27" s="41"/>
      <c r="C27" s="41"/>
      <c r="D27" s="41"/>
      <c r="E27" s="713"/>
      <c r="F27" s="41"/>
      <c r="G27" s="41"/>
      <c r="H27" s="41"/>
      <c r="I27" s="41"/>
      <c r="J27" s="41"/>
      <c r="K27" s="41"/>
      <c r="L27" s="41"/>
      <c r="M27" s="41"/>
      <c r="N27" s="41"/>
      <c r="O27" s="714"/>
      <c r="P27" s="41"/>
      <c r="Q27" s="41"/>
      <c r="R27" s="41"/>
      <c r="S27" s="41"/>
      <c r="T27" s="871"/>
      <c r="AT27" s="17"/>
    </row>
    <row r="28" spans="1:46" ht="24" customHeight="1">
      <c r="A28" s="868" t="s">
        <v>504</v>
      </c>
      <c r="B28" s="3443" t="s">
        <v>1868</v>
      </c>
      <c r="C28" s="3443"/>
      <c r="D28" s="3443"/>
      <c r="E28" s="3443"/>
      <c r="F28" s="3443"/>
      <c r="G28" s="3443"/>
      <c r="H28" s="3443"/>
      <c r="I28" s="3443"/>
      <c r="J28" s="3443"/>
      <c r="K28" s="3196"/>
      <c r="L28" s="3197"/>
      <c r="M28" s="8" t="s">
        <v>1002</v>
      </c>
      <c r="Q28" s="3536"/>
      <c r="R28" s="3536"/>
      <c r="S28" s="8"/>
      <c r="T28" s="518"/>
      <c r="AT28" s="17"/>
    </row>
    <row r="29" spans="1:46" ht="18" customHeight="1">
      <c r="A29" s="868" t="s">
        <v>510</v>
      </c>
      <c r="B29" s="8" t="s">
        <v>1869</v>
      </c>
      <c r="Q29" s="8"/>
      <c r="R29" s="8"/>
      <c r="S29" s="8"/>
      <c r="T29" s="863"/>
      <c r="AT29" s="17"/>
    </row>
    <row r="30" spans="1:46" ht="24" customHeight="1">
      <c r="A30" s="868"/>
      <c r="C30" s="3418" t="str">
        <f>IF(ISBLANK(E25)," ",E25)</f>
        <v/>
      </c>
      <c r="D30" s="3419"/>
      <c r="E30" s="3584" t="s">
        <v>1210</v>
      </c>
      <c r="F30" s="3585"/>
      <c r="G30" s="3431" t="str">
        <f>IF(ISBLANK(K28)," ",K28)</f>
        <v xml:space="preserve"> </v>
      </c>
      <c r="H30" s="3432"/>
      <c r="I30" s="3584" t="s">
        <v>1870</v>
      </c>
      <c r="J30" s="3603"/>
      <c r="K30" s="3604" t="str">
        <f>IF(ISBLANK(C21)," ",C30/G30)</f>
        <v xml:space="preserve"> </v>
      </c>
      <c r="L30" s="3605"/>
      <c r="M30" s="7" t="s">
        <v>1871</v>
      </c>
      <c r="O30" s="30"/>
      <c r="P30" s="30"/>
      <c r="Q30" s="33"/>
      <c r="R30" s="33"/>
      <c r="S30" s="93"/>
      <c r="T30" s="863"/>
      <c r="AT30" s="17"/>
    </row>
    <row r="31" spans="1:46" ht="13.5" customHeight="1">
      <c r="A31" s="868"/>
      <c r="C31" s="4"/>
      <c r="D31" s="4"/>
      <c r="E31" s="359"/>
      <c r="F31" s="359"/>
      <c r="G31" s="4"/>
      <c r="H31" s="4"/>
      <c r="I31" s="359"/>
      <c r="J31" s="2277" t="s">
        <v>1872</v>
      </c>
      <c r="K31" s="2278"/>
      <c r="L31" s="2278"/>
      <c r="M31" s="7"/>
      <c r="O31" s="30"/>
      <c r="P31" s="30"/>
      <c r="Q31" s="33"/>
      <c r="R31" s="33"/>
      <c r="S31" s="93"/>
      <c r="T31" s="863"/>
      <c r="AT31" s="17"/>
    </row>
    <row r="32" spans="1:46" ht="20.100000000000001" customHeight="1">
      <c r="A32" s="868" t="s">
        <v>515</v>
      </c>
      <c r="B32" s="8" t="s">
        <v>1873</v>
      </c>
      <c r="I32" s="30"/>
      <c r="J32" s="9"/>
      <c r="K32" s="30"/>
      <c r="L32" s="4"/>
      <c r="M32" s="33"/>
      <c r="N32" s="7"/>
      <c r="Q32" s="8"/>
      <c r="R32" s="8"/>
      <c r="S32" s="8"/>
      <c r="T32" s="518"/>
      <c r="AT32" s="17"/>
    </row>
    <row r="33" spans="1:46" ht="24" customHeight="1">
      <c r="A33" s="868"/>
      <c r="B33" s="8" t="s">
        <v>1011</v>
      </c>
      <c r="C33" s="7" t="s">
        <v>1874</v>
      </c>
      <c r="J33" s="3480" t="str">
        <f>IF(ISBLANK(K28),"",('Pump-Basic STA'!F28))</f>
        <v/>
      </c>
      <c r="K33" s="3481"/>
      <c r="L33" s="8" t="s">
        <v>762</v>
      </c>
      <c r="Q33" s="8"/>
      <c r="R33" s="8"/>
      <c r="S33" s="8"/>
      <c r="T33" s="518"/>
      <c r="AT33" s="17"/>
    </row>
    <row r="34" spans="1:46" ht="6" customHeight="1">
      <c r="A34" s="868"/>
      <c r="C34" s="7"/>
      <c r="H34" s="30"/>
      <c r="I34" s="30"/>
      <c r="J34" s="16"/>
      <c r="Q34" s="30"/>
      <c r="R34" s="30"/>
      <c r="S34" s="16"/>
      <c r="T34" s="518"/>
      <c r="AT34" s="17"/>
    </row>
    <row r="35" spans="1:46" ht="24" customHeight="1">
      <c r="A35" s="868"/>
      <c r="B35" s="8" t="s">
        <v>1019</v>
      </c>
      <c r="C35" s="8" t="s">
        <v>1875</v>
      </c>
      <c r="J35" s="3165" t="str">
        <f>IF(ISBLANK(K28),"",'Pump-Basic STA'!F30)</f>
        <v/>
      </c>
      <c r="K35" s="3481"/>
      <c r="L35" s="8" t="s">
        <v>903</v>
      </c>
      <c r="Q35" s="30"/>
      <c r="R35" s="30"/>
      <c r="S35" s="16"/>
      <c r="T35" s="518"/>
      <c r="AT35" s="17"/>
    </row>
    <row r="36" spans="1:46" ht="6" customHeight="1">
      <c r="A36" s="868"/>
      <c r="C36" s="345"/>
      <c r="D36" s="345"/>
      <c r="E36" s="58"/>
      <c r="F36" s="345"/>
      <c r="G36" s="345"/>
      <c r="H36" s="359"/>
      <c r="J36" s="368"/>
      <c r="K36" s="2266"/>
      <c r="N36" s="7"/>
      <c r="Q36" s="8"/>
      <c r="R36" s="8"/>
      <c r="S36" s="8"/>
      <c r="T36" s="518"/>
      <c r="AT36" s="17"/>
    </row>
    <row r="37" spans="1:46" ht="24" customHeight="1">
      <c r="A37" s="868"/>
      <c r="B37" s="8" t="s">
        <v>1168</v>
      </c>
      <c r="C37" s="7" t="s">
        <v>1876</v>
      </c>
      <c r="H37" s="359"/>
      <c r="I37" s="345"/>
      <c r="J37" s="3601" t="str">
        <f>IF(ISBLANK(C21)," ",IF(J33=1,"0.045",IF(J33=1.25,"0.078",IF(J33=1.5,"0.110",IF(J33=2,"0.170",IF(J33=3,"0.380"))))))</f>
        <v xml:space="preserve"> </v>
      </c>
      <c r="K37" s="3602"/>
      <c r="L37" s="8" t="s">
        <v>1696</v>
      </c>
      <c r="M37" s="33"/>
      <c r="N37" s="7"/>
      <c r="Q37" s="8"/>
      <c r="R37" s="8"/>
      <c r="S37" s="8"/>
      <c r="T37" s="518"/>
      <c r="AT37" s="17"/>
    </row>
    <row r="38" spans="1:46" ht="18" customHeight="1">
      <c r="A38" s="868"/>
      <c r="B38" s="8" t="s">
        <v>1172</v>
      </c>
      <c r="C38" s="7" t="s">
        <v>1877</v>
      </c>
      <c r="I38" s="30"/>
      <c r="J38" s="9"/>
      <c r="K38" s="9"/>
      <c r="L38" s="4"/>
      <c r="M38" s="33"/>
      <c r="N38" s="7"/>
      <c r="Q38" s="8"/>
      <c r="R38" s="8"/>
      <c r="S38" s="8"/>
      <c r="T38" s="518"/>
      <c r="AH38" s="14"/>
      <c r="AI38" s="14"/>
      <c r="AK38" s="6"/>
      <c r="AL38" s="6"/>
      <c r="AT38" s="17"/>
    </row>
    <row r="39" spans="1:46" ht="24" customHeight="1">
      <c r="A39" s="868"/>
      <c r="C39" s="3480" t="str">
        <f>IF(ISBLANK(J33),"",J35)</f>
        <v/>
      </c>
      <c r="D39" s="3481"/>
      <c r="E39" s="58" t="s">
        <v>1389</v>
      </c>
      <c r="F39" s="3480" t="str">
        <f>J37</f>
        <v xml:space="preserve"> </v>
      </c>
      <c r="G39" s="3481"/>
      <c r="H39" s="359" t="s">
        <v>1878</v>
      </c>
      <c r="J39" s="3174" t="str">
        <f>IF(ISBLANK(C21),"",C39*F39)</f>
        <v/>
      </c>
      <c r="K39" s="3600"/>
      <c r="L39" s="8" t="s">
        <v>1002</v>
      </c>
      <c r="N39" s="7"/>
      <c r="Q39" s="8"/>
      <c r="R39" s="8"/>
      <c r="S39" s="8"/>
      <c r="T39" s="518"/>
      <c r="AT39" s="17"/>
    </row>
    <row r="40" spans="1:46" ht="18" customHeight="1">
      <c r="A40" s="868" t="s">
        <v>519</v>
      </c>
      <c r="B40" s="7" t="s">
        <v>1879</v>
      </c>
      <c r="I40" s="30"/>
      <c r="J40" s="9"/>
      <c r="K40" s="30"/>
      <c r="L40" s="4"/>
      <c r="M40" s="33"/>
      <c r="N40" s="7"/>
      <c r="Q40" s="8"/>
      <c r="R40" s="8"/>
      <c r="S40" s="8"/>
      <c r="T40" s="518"/>
      <c r="AT40" s="17"/>
    </row>
    <row r="41" spans="1:46" ht="24" customHeight="1">
      <c r="A41" s="868"/>
      <c r="C41" s="3431" t="str">
        <f>IF(ISBLANK(K28), " ", K28)</f>
        <v xml:space="preserve"> </v>
      </c>
      <c r="D41" s="3432"/>
      <c r="E41" s="2271" t="s">
        <v>1578</v>
      </c>
      <c r="F41" s="3174" t="str">
        <f>J39</f>
        <v/>
      </c>
      <c r="G41" s="3432"/>
      <c r="H41" s="2271" t="s">
        <v>1880</v>
      </c>
      <c r="I41" s="3174" t="str">
        <f>IF(ISBLANK(C21),"",C41+F41)</f>
        <v/>
      </c>
      <c r="J41" s="3175"/>
      <c r="K41" s="359" t="s">
        <v>1002</v>
      </c>
      <c r="L41" s="4"/>
      <c r="M41" s="33"/>
      <c r="N41" s="7"/>
      <c r="Q41" s="8"/>
      <c r="R41" s="8"/>
      <c r="S41" s="8"/>
      <c r="T41" s="518"/>
      <c r="AT41" s="17"/>
    </row>
    <row r="42" spans="1:46" ht="18" customHeight="1">
      <c r="A42" s="868" t="s">
        <v>524</v>
      </c>
      <c r="B42" s="8" t="s">
        <v>1881</v>
      </c>
      <c r="C42" s="301"/>
      <c r="D42" s="301"/>
      <c r="E42" s="58"/>
      <c r="F42" s="94"/>
      <c r="G42" s="301"/>
      <c r="H42" s="58"/>
      <c r="I42" s="94"/>
      <c r="J42" s="94"/>
      <c r="L42" s="4"/>
      <c r="M42" s="33"/>
      <c r="N42" s="7"/>
      <c r="Q42" s="8"/>
      <c r="R42" s="8"/>
      <c r="S42" s="8"/>
      <c r="T42" s="518"/>
      <c r="AH42" s="14"/>
      <c r="AI42" s="14"/>
      <c r="AK42" s="6"/>
      <c r="AL42" s="6"/>
      <c r="AT42" s="17"/>
    </row>
    <row r="43" spans="1:46" ht="24" customHeight="1">
      <c r="A43" s="868"/>
      <c r="C43" s="2938"/>
      <c r="D43" s="2939"/>
      <c r="E43" s="359" t="s">
        <v>1882</v>
      </c>
      <c r="F43" s="3174" t="str">
        <f>IF(ISBLANK(C21), " ", MAX(I15,AF15))</f>
        <v xml:space="preserve"> </v>
      </c>
      <c r="G43" s="3437"/>
      <c r="H43" s="359" t="s">
        <v>1883</v>
      </c>
      <c r="J43" s="3174" t="str">
        <f>IF(ISBLANK(C43), "",C43*F43)</f>
        <v/>
      </c>
      <c r="K43" s="3437"/>
      <c r="L43" s="359" t="s">
        <v>1002</v>
      </c>
      <c r="Q43" s="8"/>
      <c r="R43" s="8"/>
      <c r="S43" s="8"/>
      <c r="T43" s="518"/>
      <c r="AH43" s="14"/>
      <c r="AI43" s="14"/>
      <c r="AK43" s="6"/>
      <c r="AL43" s="6"/>
      <c r="AT43" s="17"/>
    </row>
    <row r="44" spans="1:46" ht="6" customHeight="1">
      <c r="A44" s="869"/>
      <c r="B44" s="61"/>
      <c r="C44" s="309"/>
      <c r="D44" s="309"/>
      <c r="E44" s="715"/>
      <c r="F44" s="716"/>
      <c r="G44" s="309"/>
      <c r="H44" s="715"/>
      <c r="I44" s="716"/>
      <c r="J44" s="716"/>
      <c r="K44" s="61"/>
      <c r="L44" s="38"/>
      <c r="M44" s="717"/>
      <c r="N44" s="718"/>
      <c r="O44" s="61"/>
      <c r="P44" s="61"/>
      <c r="Q44" s="61"/>
      <c r="R44" s="61"/>
      <c r="S44" s="61"/>
      <c r="T44" s="870"/>
      <c r="AH44" s="14"/>
      <c r="AI44" s="14"/>
      <c r="AK44" s="6"/>
      <c r="AL44" s="6"/>
      <c r="AT44" s="17"/>
    </row>
    <row r="45" spans="1:46" ht="24" customHeight="1">
      <c r="A45" s="1125" t="s">
        <v>1884</v>
      </c>
      <c r="B45" s="1124"/>
      <c r="C45" s="1124"/>
      <c r="D45" s="1124"/>
      <c r="E45" s="1124"/>
      <c r="F45" s="1124"/>
      <c r="G45" s="1394" t="s">
        <v>1885</v>
      </c>
      <c r="H45" s="1124"/>
      <c r="I45" s="1124"/>
      <c r="J45" s="1124"/>
      <c r="K45" s="1124"/>
      <c r="L45" s="1124"/>
      <c r="M45" s="1124"/>
      <c r="N45" s="1124"/>
      <c r="O45" s="1124"/>
      <c r="P45" s="1124"/>
      <c r="Q45" s="1124"/>
      <c r="R45" s="1124"/>
      <c r="S45" s="1124"/>
      <c r="T45" s="1126"/>
      <c r="AH45" s="14"/>
      <c r="AI45" s="14"/>
      <c r="AK45" s="6"/>
      <c r="AL45" s="6"/>
      <c r="AT45" s="17"/>
    </row>
    <row r="46" spans="1:46" ht="20.100000000000001" customHeight="1">
      <c r="A46" s="868" t="s">
        <v>477</v>
      </c>
      <c r="B46" s="8" t="s">
        <v>1886</v>
      </c>
      <c r="T46" s="863"/>
      <c r="AH46" s="14"/>
      <c r="AI46" s="14"/>
      <c r="AK46" s="6"/>
      <c r="AL46" s="6"/>
      <c r="AT46" s="17"/>
    </row>
    <row r="47" spans="1:46" ht="18" customHeight="1">
      <c r="A47" s="864"/>
      <c r="B47" s="7" t="s">
        <v>1887</v>
      </c>
      <c r="N47" s="2946" t="s">
        <v>1888</v>
      </c>
      <c r="O47" s="2946"/>
      <c r="P47" s="2946"/>
      <c r="Q47" s="2946"/>
      <c r="R47" s="2946"/>
      <c r="S47" s="2946"/>
      <c r="T47" s="863"/>
      <c r="V47" s="2279" t="s">
        <v>1889</v>
      </c>
    </row>
    <row r="48" spans="1:46" ht="24" customHeight="1">
      <c r="A48" s="864"/>
      <c r="C48" s="3174" t="str">
        <f>I41</f>
        <v/>
      </c>
      <c r="D48" s="3175"/>
      <c r="E48" s="3584" t="s">
        <v>1890</v>
      </c>
      <c r="F48" s="3585"/>
      <c r="G48" s="3174">
        <f>I15</f>
        <v>0</v>
      </c>
      <c r="H48" s="3175"/>
      <c r="I48" s="2868" t="s">
        <v>1891</v>
      </c>
      <c r="J48" s="2868"/>
      <c r="K48" s="3169" t="str">
        <f>IF(ISBLANK(C21),"",C48/G48)</f>
        <v/>
      </c>
      <c r="L48" s="3170"/>
      <c r="M48" s="8" t="s">
        <v>762</v>
      </c>
      <c r="N48" s="2946"/>
      <c r="O48" s="2946"/>
      <c r="P48" s="2946"/>
      <c r="Q48" s="2946"/>
      <c r="R48" s="2946"/>
      <c r="S48" s="2946"/>
      <c r="T48" s="518"/>
    </row>
    <row r="49" spans="1:48" ht="20.100000000000001" customHeight="1">
      <c r="A49" s="1323" t="s">
        <v>483</v>
      </c>
      <c r="B49" s="2273" t="s">
        <v>1892</v>
      </c>
      <c r="C49" s="30"/>
      <c r="D49" s="30"/>
      <c r="E49" s="9"/>
      <c r="F49" s="32"/>
      <c r="G49" s="30"/>
      <c r="H49" s="4"/>
      <c r="I49" s="27"/>
      <c r="R49" s="8"/>
      <c r="S49" s="8"/>
      <c r="T49" s="518"/>
      <c r="AL49" s="6"/>
      <c r="AT49" s="17"/>
    </row>
    <row r="50" spans="1:48" ht="18" customHeight="1" thickBot="1">
      <c r="A50" s="864" t="s">
        <v>1011</v>
      </c>
      <c r="B50" s="7" t="s">
        <v>1893</v>
      </c>
      <c r="C50" s="26"/>
      <c r="D50" s="26"/>
      <c r="E50" s="26"/>
      <c r="F50" s="26"/>
      <c r="G50" s="26"/>
      <c r="H50" s="26"/>
      <c r="I50" s="26"/>
      <c r="J50" s="26"/>
      <c r="K50" s="26"/>
      <c r="N50" s="8" t="s">
        <v>1894</v>
      </c>
      <c r="P50" s="1283" t="str">
        <f>K48</f>
        <v/>
      </c>
      <c r="Q50" s="8" t="s">
        <v>629</v>
      </c>
      <c r="S50" s="8"/>
      <c r="T50" s="518"/>
      <c r="AG50" s="6"/>
      <c r="AH50" s="14"/>
      <c r="AI50" s="14"/>
    </row>
    <row r="51" spans="1:48" ht="24" customHeight="1" thickBot="1">
      <c r="A51" s="864"/>
      <c r="C51" s="3431">
        <f>C21</f>
        <v>0</v>
      </c>
      <c r="D51" s="3432"/>
      <c r="E51" s="3586" t="s">
        <v>1895</v>
      </c>
      <c r="F51" s="3587"/>
      <c r="G51" s="3174" t="str">
        <f>IF(ISBLANK(C43), "",C51+2)</f>
        <v/>
      </c>
      <c r="H51" s="3175"/>
      <c r="I51" s="8" t="s">
        <v>762</v>
      </c>
      <c r="M51" s="4"/>
      <c r="N51" s="1" t="s">
        <v>1896</v>
      </c>
      <c r="O51" s="1"/>
      <c r="P51" s="1284" t="str">
        <f>J55</f>
        <v/>
      </c>
      <c r="Q51" s="640" t="s">
        <v>629</v>
      </c>
      <c r="R51" s="2274" t="str">
        <f>M58</f>
        <v xml:space="preserve"> </v>
      </c>
      <c r="S51" s="2275" t="str">
        <f>"Gal"</f>
        <v>Gal</v>
      </c>
      <c r="T51" s="518"/>
      <c r="AG51" s="6"/>
      <c r="AH51" s="14"/>
      <c r="AI51" s="14"/>
    </row>
    <row r="52" spans="1:48" ht="18" customHeight="1" thickBot="1">
      <c r="A52" s="864" t="s">
        <v>1019</v>
      </c>
      <c r="B52" s="5" t="s">
        <v>1897</v>
      </c>
      <c r="C52" s="475"/>
      <c r="D52" s="475"/>
      <c r="E52" s="475"/>
      <c r="F52" s="475"/>
      <c r="G52" s="475"/>
      <c r="H52" s="475"/>
      <c r="I52" s="475"/>
      <c r="J52" s="475"/>
      <c r="K52" s="475"/>
      <c r="L52" s="57"/>
      <c r="M52" s="57"/>
      <c r="N52" s="8" t="s">
        <v>1898</v>
      </c>
      <c r="P52" s="1285" t="str">
        <f>J53</f>
        <v/>
      </c>
      <c r="Q52" s="8" t="s">
        <v>629</v>
      </c>
      <c r="R52" s="2274" t="str">
        <f>J43</f>
        <v/>
      </c>
      <c r="S52" s="2275" t="str">
        <f>"Gal"</f>
        <v>Gal</v>
      </c>
      <c r="T52" s="1123"/>
    </row>
    <row r="53" spans="1:48" ht="24" customHeight="1" thickBot="1">
      <c r="A53" s="872"/>
      <c r="C53" s="3174" t="str">
        <f>G51</f>
        <v/>
      </c>
      <c r="D53" s="3432"/>
      <c r="E53" s="2271" t="s">
        <v>1899</v>
      </c>
      <c r="F53" s="640"/>
      <c r="G53" s="3174" t="str">
        <f>K48</f>
        <v/>
      </c>
      <c r="H53" s="3432"/>
      <c r="I53" s="2271" t="s">
        <v>1900</v>
      </c>
      <c r="J53" s="3174" t="str">
        <f>IF(ISBLANK(C21),"",C53+G53)</f>
        <v/>
      </c>
      <c r="K53" s="3175"/>
      <c r="L53" s="8" t="s">
        <v>762</v>
      </c>
      <c r="N53" s="8" t="s">
        <v>1901</v>
      </c>
      <c r="P53" s="1285" t="str">
        <f>G51</f>
        <v/>
      </c>
      <c r="Q53" s="8" t="s">
        <v>629</v>
      </c>
      <c r="R53" s="2276" t="str">
        <f>C48</f>
        <v/>
      </c>
      <c r="S53" s="2275" t="str">
        <f>"Gal"</f>
        <v>Gal</v>
      </c>
      <c r="T53" s="518"/>
    </row>
    <row r="54" spans="1:48" ht="18" customHeight="1">
      <c r="A54" s="864" t="s">
        <v>1168</v>
      </c>
      <c r="B54" s="7" t="s">
        <v>1902</v>
      </c>
      <c r="C54" s="26"/>
      <c r="D54" s="26"/>
      <c r="E54" s="26"/>
      <c r="F54" s="26"/>
      <c r="G54" s="26"/>
      <c r="H54" s="26"/>
      <c r="I54" s="26"/>
      <c r="J54" s="26"/>
      <c r="K54" s="26"/>
      <c r="R54" s="2280" t="str">
        <f>N21</f>
        <v xml:space="preserve"> </v>
      </c>
      <c r="S54" s="2275" t="str">
        <f>"Gal"</f>
        <v>Gal</v>
      </c>
      <c r="T54" s="518"/>
    </row>
    <row r="55" spans="1:48" ht="24" customHeight="1">
      <c r="A55" s="864"/>
      <c r="C55" s="3174" t="str">
        <f>J53</f>
        <v/>
      </c>
      <c r="D55" s="3175"/>
      <c r="E55" s="2271" t="s">
        <v>1899</v>
      </c>
      <c r="F55" s="640"/>
      <c r="G55" s="3174">
        <f>C43</f>
        <v>0</v>
      </c>
      <c r="H55" s="3175"/>
      <c r="I55" s="2271" t="s">
        <v>1903</v>
      </c>
      <c r="J55" s="3174" t="str">
        <f>IF(ISBLANK(C21),"",C55+G55)</f>
        <v/>
      </c>
      <c r="K55" s="3175"/>
      <c r="L55" s="8" t="s">
        <v>762</v>
      </c>
      <c r="Q55" s="8"/>
      <c r="R55" s="8"/>
      <c r="S55" s="8"/>
      <c r="T55" s="518"/>
    </row>
    <row r="56" spans="1:48" ht="6" customHeight="1">
      <c r="A56" s="864"/>
      <c r="B56" s="2270"/>
      <c r="C56" s="2270"/>
      <c r="D56" s="58"/>
      <c r="E56" s="94"/>
      <c r="F56" s="94"/>
      <c r="G56" s="2271"/>
      <c r="H56" s="2270"/>
      <c r="Q56" s="8"/>
      <c r="R56" s="8"/>
      <c r="S56" s="8"/>
      <c r="T56" s="518"/>
    </row>
    <row r="57" spans="1:48" ht="24" customHeight="1">
      <c r="A57" s="868" t="s">
        <v>489</v>
      </c>
      <c r="B57" s="8" t="s">
        <v>1904</v>
      </c>
      <c r="C57" s="4"/>
      <c r="D57" s="4"/>
      <c r="E57" s="359"/>
      <c r="F57" s="19"/>
      <c r="G57" s="1175"/>
      <c r="H57" s="359"/>
      <c r="J57" s="19"/>
      <c r="K57" s="1175"/>
      <c r="O57" s="2868"/>
      <c r="P57" s="2868"/>
      <c r="Q57" s="2868"/>
      <c r="R57" s="2868"/>
      <c r="S57" s="2868"/>
      <c r="T57" s="518"/>
      <c r="AH57" s="14"/>
      <c r="AI57" s="14"/>
      <c r="AK57" s="6"/>
      <c r="AL57" s="6"/>
      <c r="AT57" s="17"/>
    </row>
    <row r="58" spans="1:48" ht="24" customHeight="1">
      <c r="A58" s="868"/>
      <c r="B58" s="83" t="s">
        <v>1557</v>
      </c>
      <c r="C58" s="3174">
        <f>I13</f>
        <v>0</v>
      </c>
      <c r="D58" s="3437"/>
      <c r="E58" s="2281" t="s">
        <v>1905</v>
      </c>
      <c r="F58" s="3174" t="str">
        <f>J55</f>
        <v/>
      </c>
      <c r="G58" s="3437"/>
      <c r="H58" s="359" t="s">
        <v>1906</v>
      </c>
      <c r="I58" s="3174">
        <f>I15</f>
        <v>0</v>
      </c>
      <c r="J58" s="3437"/>
      <c r="K58" s="3571" t="s">
        <v>1907</v>
      </c>
      <c r="L58" s="3572"/>
      <c r="M58" s="3174" t="str">
        <f>IF(ISBLANK(C43)," ",(C58-F58)*I58)</f>
        <v xml:space="preserve"> </v>
      </c>
      <c r="N58" s="3437"/>
      <c r="O58" s="359" t="s">
        <v>1002</v>
      </c>
      <c r="Q58" s="8"/>
      <c r="R58" s="8"/>
      <c r="S58" s="8"/>
      <c r="T58" s="518"/>
      <c r="AH58" s="14"/>
      <c r="AI58" s="14"/>
      <c r="AK58" s="6"/>
      <c r="AL58" s="6"/>
      <c r="AT58" s="17"/>
    </row>
    <row r="59" spans="1:48" ht="6" customHeight="1" thickBot="1">
      <c r="A59" s="560"/>
      <c r="B59" s="754"/>
      <c r="C59" s="754"/>
      <c r="D59" s="754"/>
      <c r="E59" s="754"/>
      <c r="F59" s="754"/>
      <c r="G59" s="754"/>
      <c r="H59" s="754"/>
      <c r="I59" s="754"/>
      <c r="J59" s="754"/>
      <c r="K59" s="754"/>
      <c r="L59" s="754"/>
      <c r="M59" s="754"/>
      <c r="N59" s="754"/>
      <c r="O59" s="754"/>
      <c r="P59" s="754"/>
      <c r="Q59" s="756"/>
      <c r="R59" s="756"/>
      <c r="S59" s="756"/>
      <c r="T59" s="1587"/>
    </row>
    <row r="60" spans="1:48" ht="20.100000000000001" customHeight="1">
      <c r="AU60" s="3583" t="str">
        <f>IF(ISBLANK(C21),"",(G51*H21))</f>
        <v/>
      </c>
      <c r="AV60" s="3583"/>
    </row>
    <row r="61" spans="1:48" ht="18" customHeight="1">
      <c r="A61" s="556"/>
      <c r="B61" s="556"/>
      <c r="C61" s="590"/>
      <c r="D61" s="556"/>
      <c r="E61" s="1"/>
      <c r="F61" s="556"/>
      <c r="G61" s="556"/>
      <c r="H61" s="1"/>
      <c r="I61" s="556"/>
      <c r="J61" s="556"/>
      <c r="R61" s="1"/>
      <c r="S61" s="1"/>
      <c r="T61" s="1"/>
    </row>
    <row r="62" spans="1:48" ht="18" customHeight="1">
      <c r="A62" s="1"/>
      <c r="B62" s="1"/>
      <c r="D62" s="4"/>
      <c r="E62" s="4"/>
      <c r="F62" s="4"/>
      <c r="G62" s="4"/>
      <c r="H62" s="4"/>
      <c r="I62" s="3"/>
      <c r="R62" s="347"/>
      <c r="S62" s="347"/>
      <c r="T62" s="347"/>
    </row>
    <row r="63" spans="1:48" ht="20.100000000000001" customHeight="1"/>
    <row r="64" spans="1:48" ht="18" customHeight="1"/>
    <row r="65" ht="20.100000000000001" customHeight="1"/>
    <row r="66" ht="18" customHeight="1"/>
    <row r="67" ht="20.100000000000001" customHeight="1"/>
    <row r="68" ht="6" customHeight="1"/>
    <row r="69" ht="18" customHeight="1"/>
    <row r="70" ht="19.5" customHeight="1"/>
    <row r="71" ht="19.5" customHeight="1"/>
    <row r="72" ht="19.5" customHeight="1"/>
    <row r="73" ht="19.5" customHeight="1"/>
    <row r="74" ht="17.25" customHeight="1"/>
    <row r="75" ht="24" customHeight="1"/>
    <row r="76" ht="19.5" customHeight="1"/>
    <row r="77" ht="19.5" customHeight="1"/>
    <row r="78" ht="19.5" customHeight="1"/>
    <row r="79" ht="18" customHeight="1"/>
    <row r="80" ht="18" customHeight="1"/>
    <row r="81" spans="21:22" ht="18" customHeight="1"/>
    <row r="82" spans="21:22" ht="18" customHeight="1"/>
    <row r="83" spans="21:22" ht="18" customHeight="1"/>
    <row r="84" spans="21:22" ht="18" customHeight="1">
      <c r="U84" s="347"/>
      <c r="V84" s="347"/>
    </row>
    <row r="85" spans="21:22" ht="35.1" customHeight="1">
      <c r="U85" s="347"/>
      <c r="V85" s="347"/>
    </row>
    <row r="86" spans="21:22" ht="35.1" customHeight="1">
      <c r="U86" s="347"/>
      <c r="V86" s="347"/>
    </row>
    <row r="87" spans="21:22" ht="35.1" customHeight="1">
      <c r="U87" s="347"/>
      <c r="V87" s="347"/>
    </row>
    <row r="88" spans="21:22" ht="35.1" customHeight="1">
      <c r="U88" s="53"/>
      <c r="V88" s="1"/>
    </row>
    <row r="89" spans="21:22" ht="35.1" customHeight="1">
      <c r="U89" s="53"/>
      <c r="V89" s="1"/>
    </row>
    <row r="90" spans="21:22" ht="35.1" customHeight="1">
      <c r="U90" s="347"/>
      <c r="V90" s="1"/>
    </row>
  </sheetData>
  <sheetProtection sheet="1" objects="1" scenarios="1"/>
  <customSheetViews>
    <customSheetView guid="{3320ADAB-1745-4CE0-B739-BF2E8269138B}" scale="75" showGridLines="0" fitToPage="1" showRuler="0">
      <selection sqref="A1:L5"/>
      <pageMargins left="0" right="0" top="0" bottom="0" header="0" footer="0"/>
      <printOptions horizontalCentered="1"/>
      <pageSetup scale="44" orientation="portrait" r:id="rId1"/>
      <headerFooter alignWithMargins="0"/>
    </customSheetView>
    <customSheetView guid="{D1431318-1DB8-4C45-813B-5A8065DFC797}" showPageBreaks="1" showGridLines="0" zeroValues="0" printArea="1" view="pageBreakPreview">
      <selection activeCell="Z18" sqref="Z18"/>
      <rowBreaks count="1" manualBreakCount="1">
        <brk id="69" max="19" man="1"/>
      </rowBreaks>
      <pageMargins left="0" right="0" top="0" bottom="0" header="0" footer="0"/>
      <printOptions horizontalCentered="1"/>
      <pageSetup scale="69" fitToHeight="3" orientation="portrait" blackAndWhite="1" r:id="rId2"/>
      <headerFooter alignWithMargins="0"/>
    </customSheetView>
  </customSheetViews>
  <mergeCells count="80">
    <mergeCell ref="N9:R9"/>
    <mergeCell ref="N11:T15"/>
    <mergeCell ref="J39:K39"/>
    <mergeCell ref="J37:K37"/>
    <mergeCell ref="B22:M22"/>
    <mergeCell ref="I13:J13"/>
    <mergeCell ref="I11:J11"/>
    <mergeCell ref="I15:J15"/>
    <mergeCell ref="N21:O21"/>
    <mergeCell ref="E30:F30"/>
    <mergeCell ref="I30:J30"/>
    <mergeCell ref="G30:H30"/>
    <mergeCell ref="K25:L25"/>
    <mergeCell ref="K30:L30"/>
    <mergeCell ref="K28:L28"/>
    <mergeCell ref="C39:D39"/>
    <mergeCell ref="C58:D58"/>
    <mergeCell ref="A1:T1"/>
    <mergeCell ref="L2:M2"/>
    <mergeCell ref="B2:K2"/>
    <mergeCell ref="N2:O2"/>
    <mergeCell ref="I4:J4"/>
    <mergeCell ref="N4:R4"/>
    <mergeCell ref="I6:J6"/>
    <mergeCell ref="F39:G39"/>
    <mergeCell ref="A17:T17"/>
    <mergeCell ref="E25:F25"/>
    <mergeCell ref="R6:S6"/>
    <mergeCell ref="F9:J9"/>
    <mergeCell ref="C55:D55"/>
    <mergeCell ref="K48:L48"/>
    <mergeCell ref="J43:K43"/>
    <mergeCell ref="F43:G43"/>
    <mergeCell ref="I41:J41"/>
    <mergeCell ref="E51:F51"/>
    <mergeCell ref="C48:D48"/>
    <mergeCell ref="G53:H53"/>
    <mergeCell ref="C43:D43"/>
    <mergeCell ref="AU60:AV60"/>
    <mergeCell ref="B28:J28"/>
    <mergeCell ref="W13:AK14"/>
    <mergeCell ref="W20:X20"/>
    <mergeCell ref="AA20:AB20"/>
    <mergeCell ref="C53:D53"/>
    <mergeCell ref="I48:J48"/>
    <mergeCell ref="E48:F48"/>
    <mergeCell ref="AF15:AG15"/>
    <mergeCell ref="J53:K53"/>
    <mergeCell ref="C51:D51"/>
    <mergeCell ref="G51:H51"/>
    <mergeCell ref="G48:H48"/>
    <mergeCell ref="B18:S19"/>
    <mergeCell ref="K23:L23"/>
    <mergeCell ref="F58:G58"/>
    <mergeCell ref="AE6:AF6"/>
    <mergeCell ref="AE11:AF11"/>
    <mergeCell ref="Z11:AA11"/>
    <mergeCell ref="W6:X6"/>
    <mergeCell ref="W15:X15"/>
    <mergeCell ref="AA6:AB6"/>
    <mergeCell ref="AF20:AG20"/>
    <mergeCell ref="AF18:AG18"/>
    <mergeCell ref="C21:D21"/>
    <mergeCell ref="J35:K35"/>
    <mergeCell ref="F41:G41"/>
    <mergeCell ref="J33:K33"/>
    <mergeCell ref="C41:D41"/>
    <mergeCell ref="C30:D30"/>
    <mergeCell ref="H21:I21"/>
    <mergeCell ref="Q23:R23"/>
    <mergeCell ref="Q25:R25"/>
    <mergeCell ref="Q28:R28"/>
    <mergeCell ref="AC23:AD23"/>
    <mergeCell ref="G55:H55"/>
    <mergeCell ref="O57:S57"/>
    <mergeCell ref="N47:S48"/>
    <mergeCell ref="I58:J58"/>
    <mergeCell ref="M58:N58"/>
    <mergeCell ref="K58:L58"/>
    <mergeCell ref="J55:K55"/>
  </mergeCells>
  <phoneticPr fontId="26" type="noConversion"/>
  <dataValidations count="3">
    <dataValidation type="list" allowBlank="1" showInputMessage="1" showErrorMessage="1" sqref="C43:D43 D57" xr:uid="{00000000-0002-0000-1A00-000000000000}">
      <formula1>DepthAlarm</formula1>
    </dataValidation>
    <dataValidation type="whole" allowBlank="1" showInputMessage="1" showErrorMessage="1" error="Must be between Min and Max" sqref="K28:L28" xr:uid="{00000000-0002-0000-1A00-000002000000}">
      <formula1>K23-0.1</formula1>
      <formula2>K25+0.1</formula2>
    </dataValidation>
    <dataValidation type="list" allowBlank="1" showInputMessage="1" showErrorMessage="1" sqref="H34" xr:uid="{00000000-0002-0000-1A00-000001000000}">
      <formula1>$AK$42:$AK$46</formula1>
    </dataValidation>
  </dataValidations>
  <printOptions horizontalCentered="1"/>
  <pageMargins left="0.4" right="0.44" top="0.4" bottom="0.4" header="0.5" footer="0.4"/>
  <pageSetup scale="65" fitToHeight="3" orientation="portrait" blackAndWhite="1" r:id="rId3"/>
  <headerFooter alignWithMargins="0"/>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B838FCBB-7F83-4280-A412-C27199430FB7}">
          <x14:formula1>
            <xm:f>'Drop-Down Lists'!$AV$2:$AV$4</xm:f>
          </x14:formula1>
          <xm:sqref>N4:R4</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
    <tabColor rgb="FF339966"/>
    <pageSetUpPr fitToPage="1"/>
  </sheetPr>
  <dimension ref="A1:AU90"/>
  <sheetViews>
    <sheetView showGridLines="0" view="pageBreakPreview" zoomScaleNormal="100" zoomScaleSheetLayoutView="100" workbookViewId="0">
      <selection activeCell="O6" sqref="O6:S6"/>
    </sheetView>
  </sheetViews>
  <sheetFormatPr defaultColWidth="6.42578125" defaultRowHeight="35.1" customHeight="1"/>
  <cols>
    <col min="1" max="1" width="2.7109375" style="4" customWidth="1"/>
    <col min="2" max="4" width="5.7109375" style="8" customWidth="1"/>
    <col min="5" max="5" width="6.28515625" style="8" customWidth="1"/>
    <col min="6" max="14" width="5.7109375" style="8" customWidth="1"/>
    <col min="15" max="15" width="7.140625" style="8" customWidth="1"/>
    <col min="16" max="16" width="5.7109375" style="8" customWidth="1"/>
    <col min="17" max="19" width="5.7109375" style="4" customWidth="1"/>
    <col min="20" max="20" width="9.42578125" style="4" customWidth="1"/>
    <col min="21" max="34" width="6.42578125" style="8" customWidth="1"/>
    <col min="35" max="16384" width="6.42578125" style="8"/>
  </cols>
  <sheetData>
    <row r="1" spans="1:47" ht="54.95" customHeight="1" thickBot="1">
      <c r="A1" s="3614" t="s">
        <v>1908</v>
      </c>
      <c r="B1" s="3614"/>
      <c r="C1" s="3614"/>
      <c r="D1" s="3614"/>
      <c r="E1" s="3614"/>
      <c r="F1" s="3614"/>
      <c r="G1" s="3614"/>
      <c r="H1" s="3614"/>
      <c r="I1" s="3614"/>
      <c r="J1" s="3614"/>
      <c r="K1" s="3614"/>
      <c r="L1" s="3614"/>
      <c r="M1" s="3614"/>
      <c r="N1" s="3614"/>
      <c r="O1" s="3614"/>
      <c r="P1" s="3614"/>
      <c r="Q1" s="3614"/>
      <c r="R1" s="3614"/>
      <c r="S1" s="3614"/>
      <c r="T1" s="3614"/>
      <c r="V1" s="16"/>
      <c r="W1" s="1383" t="s">
        <v>1909</v>
      </c>
      <c r="X1" s="16"/>
      <c r="Y1" s="16"/>
      <c r="Z1" s="16"/>
      <c r="AA1" s="16"/>
      <c r="AB1" s="16"/>
      <c r="AC1" s="16"/>
      <c r="AD1" s="721"/>
      <c r="AE1" s="721"/>
      <c r="AF1" s="18"/>
      <c r="AG1" s="18"/>
      <c r="AH1" s="16"/>
      <c r="AI1" s="16"/>
      <c r="AJ1" s="16"/>
      <c r="AK1" s="16"/>
      <c r="AL1" s="16"/>
      <c r="AM1" s="16"/>
      <c r="AN1" s="16"/>
      <c r="AO1" s="24"/>
    </row>
    <row r="2" spans="1:47" ht="21.95" customHeight="1">
      <c r="A2" s="1269"/>
      <c r="B2" s="3589"/>
      <c r="C2" s="3589"/>
      <c r="D2" s="3589"/>
      <c r="E2" s="3589"/>
      <c r="F2" s="3589"/>
      <c r="G2" s="3589"/>
      <c r="H2" s="3589"/>
      <c r="I2" s="3589"/>
      <c r="J2" s="3589"/>
      <c r="K2" s="3589"/>
      <c r="L2" s="3588" t="s">
        <v>1164</v>
      </c>
      <c r="M2" s="3588"/>
      <c r="N2" s="3590" t="str">
        <f>IF(ISBLANK('Design Details &amp; Summary'!S3)," ",'Design Details &amp; Summary'!S3)</f>
        <v xml:space="preserve"> </v>
      </c>
      <c r="O2" s="3590"/>
      <c r="P2" s="1127"/>
      <c r="Q2" s="1127"/>
      <c r="R2" s="1127"/>
      <c r="S2" s="1127"/>
      <c r="T2" s="857" t="str">
        <f>'Drop-Down Lists'!$A2</f>
        <v>v 05.01.2026</v>
      </c>
      <c r="V2" s="722"/>
      <c r="W2" s="16" t="s">
        <v>1834</v>
      </c>
      <c r="AH2" s="16"/>
      <c r="AI2" s="16"/>
      <c r="AJ2" s="16"/>
      <c r="AK2" s="16"/>
      <c r="AL2" s="16"/>
      <c r="AM2" s="16"/>
      <c r="AN2" s="16"/>
      <c r="AO2" s="16"/>
      <c r="AT2" s="17"/>
      <c r="AU2" s="17"/>
    </row>
    <row r="3" spans="1:47" ht="6" customHeight="1">
      <c r="A3" s="1160"/>
      <c r="B3" s="91"/>
      <c r="C3" s="91"/>
      <c r="D3" s="91"/>
      <c r="E3" s="91"/>
      <c r="F3" s="91"/>
      <c r="G3" s="91"/>
      <c r="H3" s="91"/>
      <c r="I3" s="91" t="s">
        <v>1835</v>
      </c>
      <c r="J3" s="91"/>
      <c r="K3" s="91"/>
      <c r="L3" s="91"/>
      <c r="M3" s="91"/>
      <c r="N3" s="91"/>
      <c r="O3" s="91"/>
      <c r="P3" s="91"/>
      <c r="Q3" s="91"/>
      <c r="R3" s="91"/>
      <c r="S3" s="91"/>
      <c r="T3" s="859"/>
      <c r="AL3" s="4"/>
      <c r="AM3" s="4"/>
      <c r="AN3" s="4"/>
      <c r="AO3" s="4"/>
      <c r="AT3" s="17"/>
      <c r="AU3" s="17"/>
    </row>
    <row r="4" spans="1:47" ht="17.25" customHeight="1">
      <c r="A4" s="3620" t="s">
        <v>1833</v>
      </c>
      <c r="B4" s="3621"/>
      <c r="C4" s="3621"/>
      <c r="D4" s="3621"/>
      <c r="E4" s="3621"/>
      <c r="F4" s="3621"/>
      <c r="G4" s="3621"/>
      <c r="H4" s="3621"/>
      <c r="I4" s="3621"/>
      <c r="J4" s="3621"/>
      <c r="K4" s="3621"/>
      <c r="L4" s="3621"/>
      <c r="M4" s="3621"/>
      <c r="N4" s="3621"/>
      <c r="O4" s="3621"/>
      <c r="P4" s="3621"/>
      <c r="Q4" s="3621"/>
      <c r="R4" s="3621"/>
      <c r="S4" s="3621"/>
      <c r="T4" s="3622"/>
      <c r="AL4" s="4"/>
      <c r="AM4" s="4"/>
      <c r="AN4" s="4"/>
      <c r="AO4" s="4"/>
      <c r="AT4" s="17"/>
      <c r="AU4" s="17"/>
    </row>
    <row r="5" spans="1:47" ht="6" customHeight="1">
      <c r="A5" s="861"/>
      <c r="B5" s="16"/>
      <c r="C5" s="16"/>
      <c r="D5" s="16"/>
      <c r="E5" s="16"/>
      <c r="F5" s="16"/>
      <c r="G5" s="16"/>
      <c r="H5" s="16"/>
      <c r="I5" s="855"/>
      <c r="J5" s="855"/>
      <c r="K5" s="16"/>
      <c r="L5" s="16"/>
      <c r="M5" s="16"/>
      <c r="N5" s="16"/>
      <c r="O5" s="855"/>
      <c r="P5" s="855"/>
      <c r="Q5" s="855"/>
      <c r="R5" s="855"/>
      <c r="S5" s="855"/>
      <c r="T5" s="862"/>
      <c r="AL5" s="4"/>
      <c r="AM5" s="4"/>
      <c r="AN5" s="4"/>
      <c r="AO5" s="4"/>
      <c r="AT5" s="17"/>
      <c r="AU5" s="17"/>
    </row>
    <row r="6" spans="1:47" ht="18" customHeight="1">
      <c r="A6" s="868" t="s">
        <v>1910</v>
      </c>
      <c r="B6" s="527" t="s">
        <v>1011</v>
      </c>
      <c r="C6" s="528" t="s">
        <v>582</v>
      </c>
      <c r="D6" s="520"/>
      <c r="E6" s="520"/>
      <c r="F6" s="520"/>
      <c r="G6" s="520"/>
      <c r="I6" s="3085" t="str">
        <f>IF(ISBLANK('Design Details &amp; Summary'!I11),"",'Design Details &amp; Summary'!I11)</f>
        <v/>
      </c>
      <c r="J6" s="3617"/>
      <c r="K6" s="520" t="s">
        <v>583</v>
      </c>
      <c r="L6" s="4" t="s">
        <v>1019</v>
      </c>
      <c r="M6" s="8" t="s">
        <v>1911</v>
      </c>
      <c r="O6" s="3623"/>
      <c r="P6" s="3623"/>
      <c r="Q6" s="3623"/>
      <c r="R6" s="3623"/>
      <c r="S6" s="3623"/>
      <c r="T6" s="518"/>
      <c r="V6" s="4" t="s">
        <v>1011</v>
      </c>
      <c r="W6" s="8" t="s">
        <v>1837</v>
      </c>
      <c r="AL6" s="4"/>
      <c r="AM6" s="4"/>
      <c r="AN6" s="4"/>
      <c r="AO6" s="4"/>
      <c r="AT6" s="17"/>
      <c r="AU6" s="17"/>
    </row>
    <row r="7" spans="1:47" ht="6" customHeight="1">
      <c r="A7" s="868"/>
      <c r="B7" s="527"/>
      <c r="C7" s="534"/>
      <c r="D7" s="520"/>
      <c r="E7" s="520"/>
      <c r="F7" s="520"/>
      <c r="G7" s="520"/>
      <c r="I7" s="1093"/>
      <c r="J7" s="746"/>
      <c r="K7" s="520"/>
      <c r="L7" s="4"/>
      <c r="Q7" s="60"/>
      <c r="R7" s="60"/>
      <c r="S7" s="8"/>
      <c r="T7" s="518"/>
      <c r="AL7" s="4"/>
      <c r="AM7" s="4"/>
      <c r="AN7" s="4"/>
      <c r="AO7" s="4"/>
      <c r="AT7" s="17"/>
      <c r="AU7" s="17"/>
    </row>
    <row r="8" spans="1:47" ht="19.350000000000001" customHeight="1">
      <c r="A8" s="868"/>
      <c r="B8" s="4" t="s">
        <v>1168</v>
      </c>
      <c r="C8" s="1203" t="s">
        <v>1912</v>
      </c>
      <c r="G8" s="1220">
        <v>70</v>
      </c>
      <c r="H8" s="1203" t="s">
        <v>624</v>
      </c>
      <c r="I8" s="3615" t="str">
        <f>IFERROR(I6*G8/100,"")</f>
        <v/>
      </c>
      <c r="J8" s="3616"/>
      <c r="K8" s="8" t="s">
        <v>1031</v>
      </c>
      <c r="L8" s="1588" t="s">
        <v>1913</v>
      </c>
      <c r="Q8" s="60"/>
      <c r="R8" s="60"/>
      <c r="S8" s="8"/>
      <c r="T8" s="518"/>
      <c r="X8" s="4" t="s">
        <v>1845</v>
      </c>
      <c r="Z8" s="3579"/>
      <c r="AA8" s="3580"/>
      <c r="AB8" s="335">
        <v>2</v>
      </c>
      <c r="AC8" s="8" t="s">
        <v>609</v>
      </c>
      <c r="AD8" s="4" t="s">
        <v>1240</v>
      </c>
      <c r="AE8" s="3174" t="str">
        <f>IF(ISBLANK(Z8)," ",PI()*Z8*Z8)</f>
        <v xml:space="preserve"> </v>
      </c>
      <c r="AF8" s="3175"/>
      <c r="AG8" s="8" t="s">
        <v>801</v>
      </c>
      <c r="AN8" s="4"/>
      <c r="AO8" s="4"/>
      <c r="AT8" s="17"/>
      <c r="AU8" s="17"/>
    </row>
    <row r="9" spans="1:47" ht="6" customHeight="1">
      <c r="A9" s="1153"/>
      <c r="B9" s="16"/>
      <c r="C9" s="16"/>
      <c r="D9" s="16"/>
      <c r="E9" s="16"/>
      <c r="F9" s="16"/>
      <c r="G9" s="16"/>
      <c r="H9" s="16"/>
      <c r="L9" s="16"/>
      <c r="M9" s="16"/>
      <c r="N9" s="16"/>
      <c r="O9" s="16"/>
      <c r="P9" s="16"/>
      <c r="Q9" s="16"/>
      <c r="R9" s="16"/>
      <c r="S9" s="16"/>
      <c r="T9" s="862"/>
      <c r="V9" s="722"/>
      <c r="AK9" s="4"/>
      <c r="AL9" s="4"/>
      <c r="AM9" s="4"/>
      <c r="AN9" s="473"/>
      <c r="AO9" s="4"/>
      <c r="AT9" s="17"/>
      <c r="AU9" s="17"/>
    </row>
    <row r="10" spans="1:47" ht="18.75" customHeight="1">
      <c r="A10" s="1153"/>
      <c r="B10" s="4" t="s">
        <v>1172</v>
      </c>
      <c r="C10" s="8" t="s">
        <v>1838</v>
      </c>
      <c r="I10" s="2940"/>
      <c r="J10" s="2941"/>
      <c r="K10" s="8" t="s">
        <v>1031</v>
      </c>
      <c r="L10" s="4" t="s">
        <v>1177</v>
      </c>
      <c r="M10" s="3" t="s">
        <v>1914</v>
      </c>
      <c r="N10" s="3"/>
      <c r="O10" s="3"/>
      <c r="Q10" s="2940"/>
      <c r="R10" s="2941"/>
      <c r="S10" s="3" t="s">
        <v>1031</v>
      </c>
      <c r="T10" s="518"/>
      <c r="V10" s="4" t="s">
        <v>1168</v>
      </c>
      <c r="W10" s="2946" t="s">
        <v>1847</v>
      </c>
      <c r="X10" s="2946"/>
      <c r="Y10" s="2946"/>
      <c r="Z10" s="2946"/>
      <c r="AA10" s="2946"/>
      <c r="AB10" s="2946"/>
      <c r="AC10" s="2946"/>
      <c r="AD10" s="2946"/>
      <c r="AE10" s="2946"/>
      <c r="AF10" s="2946"/>
      <c r="AG10" s="2946"/>
      <c r="AH10" s="2946"/>
      <c r="AI10" s="2946"/>
      <c r="AJ10" s="2946"/>
      <c r="AK10" s="2946"/>
      <c r="AN10" s="473"/>
      <c r="AO10" s="4"/>
      <c r="AT10" s="17"/>
      <c r="AU10" s="17"/>
    </row>
    <row r="11" spans="1:47" ht="7.5" customHeight="1">
      <c r="A11" s="1153"/>
      <c r="B11" s="16"/>
      <c r="C11" s="16"/>
      <c r="D11" s="16"/>
      <c r="E11" s="16"/>
      <c r="F11" s="16"/>
      <c r="G11" s="16"/>
      <c r="H11" s="16"/>
      <c r="L11" s="855"/>
      <c r="M11" s="16"/>
      <c r="N11" s="16"/>
      <c r="O11" s="16"/>
      <c r="P11" s="16"/>
      <c r="Q11" s="16"/>
      <c r="R11" s="16"/>
      <c r="S11" s="16"/>
      <c r="T11" s="862"/>
      <c r="V11" s="4"/>
      <c r="W11" s="2946"/>
      <c r="X11" s="2946"/>
      <c r="Y11" s="2946"/>
      <c r="Z11" s="2946"/>
      <c r="AA11" s="2946"/>
      <c r="AB11" s="2946"/>
      <c r="AC11" s="2946"/>
      <c r="AD11" s="2946"/>
      <c r="AE11" s="2946"/>
      <c r="AF11" s="2946"/>
      <c r="AG11" s="2946"/>
      <c r="AH11" s="2946"/>
      <c r="AI11" s="2946"/>
      <c r="AJ11" s="2946"/>
      <c r="AK11" s="2946"/>
      <c r="AL11" s="4"/>
      <c r="AM11" s="4"/>
      <c r="AT11" s="17"/>
      <c r="AU11" s="17"/>
    </row>
    <row r="12" spans="1:47" ht="6" customHeight="1">
      <c r="A12" s="1160"/>
      <c r="B12" s="91"/>
      <c r="C12" s="91"/>
      <c r="D12" s="91"/>
      <c r="E12" s="91"/>
      <c r="F12" s="91"/>
      <c r="G12" s="91"/>
      <c r="H12" s="91"/>
      <c r="I12" s="41"/>
      <c r="J12" s="41"/>
      <c r="K12" s="41"/>
      <c r="L12" s="16"/>
      <c r="M12" s="91"/>
      <c r="N12" s="91"/>
      <c r="O12" s="91"/>
      <c r="P12" s="91"/>
      <c r="Q12" s="91"/>
      <c r="R12" s="91"/>
      <c r="S12" s="91"/>
      <c r="T12" s="859"/>
      <c r="V12" s="4"/>
      <c r="AK12" s="4"/>
      <c r="AL12" s="4"/>
      <c r="AM12" s="4"/>
      <c r="AN12" s="4"/>
      <c r="AO12" s="4"/>
      <c r="AT12" s="17"/>
    </row>
    <row r="13" spans="1:47" ht="19.350000000000001" customHeight="1">
      <c r="A13" s="868" t="s">
        <v>1915</v>
      </c>
      <c r="B13" s="4" t="s">
        <v>1011</v>
      </c>
      <c r="C13" s="8" t="s">
        <v>1840</v>
      </c>
      <c r="D13" s="27"/>
      <c r="E13" s="4"/>
      <c r="F13" s="2940"/>
      <c r="G13" s="3597"/>
      <c r="H13" s="3597"/>
      <c r="I13" s="3597"/>
      <c r="J13" s="2941"/>
      <c r="L13" s="4" t="s">
        <v>1019</v>
      </c>
      <c r="M13" s="8" t="s">
        <v>1841</v>
      </c>
      <c r="N13" s="27"/>
      <c r="O13" s="2872"/>
      <c r="P13" s="2873"/>
      <c r="Q13" s="2873"/>
      <c r="R13" s="2873"/>
      <c r="S13" s="2874"/>
      <c r="T13" s="1014"/>
      <c r="V13" s="4"/>
      <c r="W13" s="3579"/>
      <c r="X13" s="3580"/>
      <c r="Y13" s="4" t="s">
        <v>801</v>
      </c>
      <c r="Z13" s="4" t="s">
        <v>1850</v>
      </c>
      <c r="AA13" s="3" t="s">
        <v>1851</v>
      </c>
      <c r="AB13" s="674"/>
      <c r="AC13" s="43"/>
      <c r="AD13" s="43"/>
      <c r="AE13" s="4" t="s">
        <v>1240</v>
      </c>
      <c r="AF13" s="3174" t="str">
        <f>IF(ISBLANK(W13)," ",W13*7.5/12)</f>
        <v xml:space="preserve"> </v>
      </c>
      <c r="AG13" s="3175"/>
      <c r="AH13" s="8" t="s">
        <v>1849</v>
      </c>
      <c r="AN13" s="24"/>
      <c r="AT13" s="17"/>
    </row>
    <row r="14" spans="1:47" ht="6" customHeight="1">
      <c r="A14" s="864"/>
      <c r="B14" s="4"/>
      <c r="D14" s="27"/>
      <c r="E14" s="4"/>
      <c r="F14" s="32"/>
      <c r="G14" s="32"/>
      <c r="H14" s="54"/>
      <c r="J14" s="4"/>
      <c r="K14" s="32"/>
      <c r="L14" s="32"/>
      <c r="M14" s="4"/>
      <c r="N14" s="552"/>
      <c r="O14" s="552"/>
      <c r="P14" s="353"/>
      <c r="Q14" s="353"/>
      <c r="R14" s="353"/>
      <c r="S14" s="353"/>
      <c r="T14" s="865"/>
      <c r="AL14" s="4"/>
      <c r="AM14" s="4"/>
      <c r="AN14" s="4"/>
      <c r="AO14" s="4"/>
      <c r="AT14" s="17"/>
    </row>
    <row r="15" spans="1:47" ht="19.350000000000001" customHeight="1">
      <c r="A15" s="864"/>
      <c r="B15" s="4" t="s">
        <v>1168</v>
      </c>
      <c r="C15" s="8" t="s">
        <v>1843</v>
      </c>
      <c r="I15" s="2940"/>
      <c r="J15" s="3461"/>
      <c r="K15" s="8" t="s">
        <v>1002</v>
      </c>
      <c r="N15" s="3618" t="s">
        <v>1844</v>
      </c>
      <c r="O15" s="3618"/>
      <c r="P15" s="3618"/>
      <c r="Q15" s="3618"/>
      <c r="R15" s="3618"/>
      <c r="S15" s="3618"/>
      <c r="T15" s="3619"/>
      <c r="V15" s="4" t="s">
        <v>1172</v>
      </c>
      <c r="W15" s="8" t="s">
        <v>1853</v>
      </c>
      <c r="AA15" s="32"/>
      <c r="AB15" s="32"/>
      <c r="AC15" s="54"/>
      <c r="AE15" s="4"/>
      <c r="AF15" s="32"/>
      <c r="AG15" s="32"/>
      <c r="AH15" s="4"/>
      <c r="AN15" s="4"/>
      <c r="AO15" s="4"/>
      <c r="AT15" s="17"/>
    </row>
    <row r="16" spans="1:47" ht="6" customHeight="1">
      <c r="A16" s="864"/>
      <c r="B16" s="4"/>
      <c r="H16" s="32"/>
      <c r="I16" s="19"/>
      <c r="J16" s="1175"/>
      <c r="N16" s="3618"/>
      <c r="O16" s="3618"/>
      <c r="P16" s="3618"/>
      <c r="Q16" s="3618"/>
      <c r="R16" s="3618"/>
      <c r="S16" s="3618"/>
      <c r="T16" s="3619"/>
      <c r="V16" s="9"/>
      <c r="W16" s="7"/>
      <c r="AF16" s="875"/>
      <c r="AG16" s="875"/>
      <c r="AT16" s="17"/>
    </row>
    <row r="17" spans="1:46" ht="19.350000000000001" customHeight="1">
      <c r="A17" s="864"/>
      <c r="B17" s="4" t="s">
        <v>1172</v>
      </c>
      <c r="C17" s="8" t="s">
        <v>1846</v>
      </c>
      <c r="H17" s="32"/>
      <c r="I17" s="3172"/>
      <c r="J17" s="3563"/>
      <c r="K17" s="8" t="s">
        <v>762</v>
      </c>
      <c r="N17" s="3618"/>
      <c r="O17" s="3618"/>
      <c r="P17" s="3618"/>
      <c r="Q17" s="3618"/>
      <c r="R17" s="3618"/>
      <c r="S17" s="3618"/>
      <c r="T17" s="3619"/>
      <c r="W17" s="7" t="s">
        <v>1855</v>
      </c>
      <c r="AF17" s="3573"/>
      <c r="AG17" s="3574"/>
      <c r="AH17" s="8" t="s">
        <v>629</v>
      </c>
      <c r="AI17" s="3"/>
      <c r="AJ17" s="3"/>
      <c r="AN17" s="4"/>
      <c r="AO17" s="4"/>
      <c r="AT17" s="17"/>
    </row>
    <row r="18" spans="1:46" ht="6" customHeight="1">
      <c r="A18" s="864"/>
      <c r="N18" s="3618"/>
      <c r="O18" s="3618"/>
      <c r="P18" s="3618"/>
      <c r="Q18" s="3618"/>
      <c r="R18" s="3618"/>
      <c r="S18" s="3618"/>
      <c r="T18" s="3619"/>
      <c r="AT18" s="17"/>
    </row>
    <row r="19" spans="1:46" ht="18" customHeight="1">
      <c r="A19" s="864"/>
      <c r="B19" s="4" t="s">
        <v>1177</v>
      </c>
      <c r="C19" s="8" t="s">
        <v>1916</v>
      </c>
      <c r="H19" s="32"/>
      <c r="I19" s="3172"/>
      <c r="J19" s="3563"/>
      <c r="K19" s="8" t="s">
        <v>1849</v>
      </c>
      <c r="N19" s="3618"/>
      <c r="O19" s="3618"/>
      <c r="P19" s="3618"/>
      <c r="Q19" s="3618"/>
      <c r="R19" s="3618"/>
      <c r="S19" s="3618"/>
      <c r="T19" s="3619"/>
      <c r="V19" s="9"/>
      <c r="W19" s="7" t="s">
        <v>1856</v>
      </c>
      <c r="AD19" s="4"/>
      <c r="AE19" s="4"/>
      <c r="AH19" s="3"/>
      <c r="AT19" s="17"/>
    </row>
    <row r="20" spans="1:46" ht="6" customHeight="1">
      <c r="A20" s="1224"/>
      <c r="B20" s="61"/>
      <c r="C20" s="61"/>
      <c r="D20" s="61"/>
      <c r="E20" s="61"/>
      <c r="F20" s="61"/>
      <c r="G20" s="61"/>
      <c r="H20" s="61"/>
      <c r="I20" s="61"/>
      <c r="J20" s="61"/>
      <c r="K20" s="61"/>
      <c r="L20" s="61"/>
      <c r="M20" s="61"/>
      <c r="N20" s="61"/>
      <c r="O20" s="61"/>
      <c r="P20" s="61"/>
      <c r="Q20" s="38"/>
      <c r="R20" s="38"/>
      <c r="S20" s="38"/>
      <c r="T20" s="867"/>
      <c r="V20" s="9"/>
      <c r="AT20" s="17"/>
    </row>
    <row r="21" spans="1:46" ht="19.350000000000001" customHeight="1">
      <c r="A21" s="3594" t="s">
        <v>1852</v>
      </c>
      <c r="B21" s="3595"/>
      <c r="C21" s="3595"/>
      <c r="D21" s="3595"/>
      <c r="E21" s="3595"/>
      <c r="F21" s="3595"/>
      <c r="G21" s="3595"/>
      <c r="H21" s="3595"/>
      <c r="I21" s="3595"/>
      <c r="J21" s="3595"/>
      <c r="K21" s="3595"/>
      <c r="L21" s="3595"/>
      <c r="M21" s="3595"/>
      <c r="N21" s="3595"/>
      <c r="O21" s="3595"/>
      <c r="P21" s="3595"/>
      <c r="Q21" s="3595"/>
      <c r="R21" s="3595"/>
      <c r="S21" s="3595"/>
      <c r="T21" s="3596"/>
      <c r="V21" s="4"/>
      <c r="W21" s="1225" t="str">
        <f>IF(ISBLANK(AF17)," ",(AF17))</f>
        <v xml:space="preserve"> </v>
      </c>
      <c r="X21" s="1223"/>
      <c r="Y21" s="4" t="s">
        <v>629</v>
      </c>
      <c r="Z21" s="4" t="s">
        <v>1343</v>
      </c>
      <c r="AA21" s="3174">
        <f>IF(ISBLANK(AF13),"",MAX(I18,AF13))</f>
        <v>0</v>
      </c>
      <c r="AB21" s="3175"/>
      <c r="AC21" s="8" t="s">
        <v>1858</v>
      </c>
      <c r="AF21" s="1222" t="str">
        <f>IF(ISBLANK(AF17)," ",(W21*AA21))</f>
        <v xml:space="preserve"> </v>
      </c>
      <c r="AG21" s="1221"/>
      <c r="AH21" s="8" t="s">
        <v>1002</v>
      </c>
      <c r="AT21" s="17"/>
    </row>
    <row r="22" spans="1:46" ht="27" customHeight="1">
      <c r="A22" s="1390" t="s">
        <v>1917</v>
      </c>
      <c r="B22" s="3638" t="s">
        <v>1918</v>
      </c>
      <c r="C22" s="3638"/>
      <c r="D22" s="3638"/>
      <c r="E22" s="3638"/>
      <c r="F22" s="3638"/>
      <c r="G22" s="3638"/>
      <c r="H22" s="3638"/>
      <c r="I22" s="3638"/>
      <c r="J22" s="3638"/>
      <c r="K22" s="3638"/>
      <c r="L22" s="3638"/>
      <c r="M22" s="3638"/>
      <c r="N22" s="3638"/>
      <c r="O22" s="3638"/>
      <c r="P22" s="3638"/>
      <c r="Q22" s="3638"/>
      <c r="R22" s="3638"/>
      <c r="S22" s="3638"/>
      <c r="T22" s="3639"/>
      <c r="V22" s="4"/>
      <c r="W22" s="4"/>
      <c r="X22" s="10"/>
      <c r="Y22" s="10"/>
      <c r="Z22" s="10"/>
      <c r="AA22" s="10"/>
      <c r="AB22" s="10"/>
      <c r="AC22" s="10"/>
      <c r="AD22" s="10"/>
      <c r="AE22" s="10"/>
      <c r="AF22" s="10"/>
      <c r="AT22" s="17"/>
    </row>
    <row r="23" spans="1:46" ht="19.350000000000001" customHeight="1">
      <c r="A23" s="864"/>
      <c r="B23" s="2868" t="s">
        <v>1857</v>
      </c>
      <c r="C23" s="2868"/>
      <c r="D23" s="2868"/>
      <c r="E23" s="2868"/>
      <c r="F23" s="2868"/>
      <c r="G23" s="2868"/>
      <c r="H23" s="2868"/>
      <c r="I23" s="2868"/>
      <c r="J23" s="2868"/>
      <c r="K23" s="2868"/>
      <c r="Q23" s="8"/>
      <c r="R23" s="8"/>
      <c r="S23" s="8"/>
      <c r="T23" s="518"/>
      <c r="AT23" s="17"/>
    </row>
    <row r="24" spans="1:46" ht="19.350000000000001" customHeight="1">
      <c r="A24" s="864"/>
      <c r="B24" s="24" t="s">
        <v>1237</v>
      </c>
      <c r="C24" s="2938"/>
      <c r="D24" s="2939"/>
      <c r="E24" s="4" t="s">
        <v>1859</v>
      </c>
      <c r="F24" s="8" t="s">
        <v>1860</v>
      </c>
      <c r="H24" s="3174" t="str">
        <f>IF(ISBLANK(C24), " ", MAX(I19,AF13))</f>
        <v xml:space="preserve"> </v>
      </c>
      <c r="I24" s="3175"/>
      <c r="J24" s="8" t="s">
        <v>1919</v>
      </c>
      <c r="L24" s="4"/>
      <c r="M24" s="3174" t="str">
        <f>IF(ISBLANK(C24)," ",((C24+2)*H24))</f>
        <v xml:space="preserve"> </v>
      </c>
      <c r="N24" s="3175"/>
      <c r="O24" s="8" t="s">
        <v>1002</v>
      </c>
      <c r="S24" s="8"/>
      <c r="T24" s="518"/>
      <c r="AT24" s="17"/>
    </row>
    <row r="25" spans="1:46" ht="19.350000000000001" customHeight="1">
      <c r="A25" s="868" t="s">
        <v>1920</v>
      </c>
      <c r="B25" s="2946" t="s">
        <v>1921</v>
      </c>
      <c r="C25" s="2946"/>
      <c r="D25" s="2946"/>
      <c r="E25" s="2946"/>
      <c r="F25" s="2946"/>
      <c r="G25" s="2946"/>
      <c r="H25" s="2946"/>
      <c r="I25" s="2946"/>
      <c r="J25" s="2946"/>
      <c r="K25" s="2946"/>
      <c r="L25" s="2946"/>
      <c r="M25" s="2946"/>
      <c r="T25" s="863"/>
      <c r="W25" s="8" t="s">
        <v>1833</v>
      </c>
      <c r="AT25" s="17"/>
    </row>
    <row r="26" spans="1:46" ht="19.350000000000001" customHeight="1">
      <c r="A26" s="864"/>
      <c r="B26" s="7" t="s">
        <v>1922</v>
      </c>
      <c r="C26" s="648"/>
      <c r="D26" s="648"/>
      <c r="E26" s="648"/>
      <c r="F26" s="648"/>
      <c r="G26" s="648"/>
      <c r="H26" s="648"/>
      <c r="I26" s="648"/>
      <c r="J26" s="648"/>
      <c r="K26" s="3174" t="str">
        <f>IF(ISBLANK(C24)," ",MAX('Pres. Dist. STA'!G95,'Non-Level  STA'!K189))</f>
        <v xml:space="preserve"> </v>
      </c>
      <c r="L26" s="3175"/>
      <c r="M26" s="8" t="s">
        <v>1923</v>
      </c>
      <c r="Q26" s="2923" t="str">
        <f>IF(ISBLANK(C24)," ",K26/H24)</f>
        <v xml:space="preserve"> </v>
      </c>
      <c r="R26" s="2924"/>
      <c r="S26" s="8" t="s">
        <v>1865</v>
      </c>
      <c r="T26" s="518"/>
      <c r="AT26" s="17"/>
    </row>
    <row r="27" spans="1:46" ht="18.75" customHeight="1">
      <c r="A27" s="868" t="s">
        <v>1924</v>
      </c>
      <c r="B27" s="8" t="s">
        <v>1925</v>
      </c>
      <c r="K27" s="640"/>
      <c r="L27" s="640"/>
      <c r="Q27" s="1536"/>
      <c r="R27" s="1536"/>
      <c r="S27" s="8"/>
      <c r="T27" s="518"/>
      <c r="AT27" s="17"/>
    </row>
    <row r="28" spans="1:46" ht="19.350000000000001" customHeight="1">
      <c r="A28" s="864"/>
      <c r="B28" s="8" t="s">
        <v>582</v>
      </c>
      <c r="E28" s="3418" t="str">
        <f>IF(ISBLANK('Design Details &amp; Summary'!I11)," ",'Design Details &amp; Summary'!I11)</f>
        <v/>
      </c>
      <c r="F28" s="3419"/>
      <c r="G28" s="4" t="s">
        <v>583</v>
      </c>
      <c r="H28" s="4" t="s">
        <v>1343</v>
      </c>
      <c r="I28" s="3">
        <v>0.25</v>
      </c>
      <c r="J28" s="4" t="s">
        <v>1240</v>
      </c>
      <c r="K28" s="3174" t="str">
        <f>IF(ISBLANK(C24)," ",(E28*0.25))</f>
        <v xml:space="preserve"> </v>
      </c>
      <c r="L28" s="3175"/>
      <c r="M28" s="8" t="s">
        <v>1926</v>
      </c>
      <c r="Q28" s="2923" t="str">
        <f>IF(ISBLANK(C24)," ",K28/H24)</f>
        <v xml:space="preserve"> </v>
      </c>
      <c r="R28" s="2924"/>
      <c r="S28" s="8" t="s">
        <v>1865</v>
      </c>
      <c r="T28" s="863"/>
      <c r="AT28" s="17"/>
    </row>
    <row r="29" spans="1:46" ht="6" customHeight="1">
      <c r="A29" s="868"/>
      <c r="B29" s="26"/>
      <c r="C29" s="26"/>
      <c r="D29" s="26"/>
      <c r="E29" s="26"/>
      <c r="F29" s="26"/>
      <c r="G29" s="26"/>
      <c r="H29" s="26"/>
      <c r="I29" s="26"/>
      <c r="J29" s="26"/>
      <c r="K29" s="26"/>
      <c r="L29" s="26"/>
      <c r="M29" s="26"/>
      <c r="N29" s="26"/>
      <c r="O29" s="26"/>
      <c r="P29" s="26"/>
      <c r="Q29" s="8"/>
      <c r="R29" s="8"/>
      <c r="S29" s="8"/>
      <c r="T29" s="518"/>
      <c r="AT29" s="17"/>
    </row>
    <row r="30" spans="1:46" ht="18.75" customHeight="1">
      <c r="A30" s="868" t="s">
        <v>1927</v>
      </c>
      <c r="B30" s="3642" t="s">
        <v>1868</v>
      </c>
      <c r="C30" s="3642"/>
      <c r="D30" s="3642"/>
      <c r="E30" s="3642"/>
      <c r="F30" s="3642"/>
      <c r="G30" s="3642"/>
      <c r="H30" s="3642"/>
      <c r="I30" s="3642"/>
      <c r="J30" s="3642"/>
      <c r="K30" s="3643"/>
      <c r="L30" s="3196"/>
      <c r="M30" s="3197"/>
      <c r="N30" s="8" t="s">
        <v>1002</v>
      </c>
      <c r="Q30" s="8"/>
      <c r="R30" s="8"/>
      <c r="S30" s="8"/>
      <c r="T30" s="518"/>
      <c r="AT30" s="17"/>
    </row>
    <row r="31" spans="1:46" ht="19.350000000000001" customHeight="1">
      <c r="A31" s="868" t="s">
        <v>1928</v>
      </c>
      <c r="B31" s="1203" t="s">
        <v>1929</v>
      </c>
      <c r="Q31" s="8"/>
      <c r="R31" s="8"/>
      <c r="S31" s="8"/>
      <c r="T31" s="863"/>
      <c r="AT31" s="17"/>
    </row>
    <row r="32" spans="1:46" ht="19.350000000000001" customHeight="1">
      <c r="A32" s="868"/>
      <c r="C32" s="3418" t="str">
        <f>IF(ISBLANK(E28)," ",I8)</f>
        <v/>
      </c>
      <c r="D32" s="3419"/>
      <c r="E32" s="2926" t="s">
        <v>1930</v>
      </c>
      <c r="F32" s="2928"/>
      <c r="G32" s="3431" t="str">
        <f>IF(ISBLANK(L30)," ",L30)</f>
        <v xml:space="preserve"> </v>
      </c>
      <c r="H32" s="3432"/>
      <c r="I32" s="2926" t="s">
        <v>1870</v>
      </c>
      <c r="J32" s="2927"/>
      <c r="K32" s="3604" t="str">
        <f>IF(ISBLANK(C24)," ",C32/G32)</f>
        <v xml:space="preserve"> </v>
      </c>
      <c r="L32" s="3605"/>
      <c r="M32" s="7" t="s">
        <v>1931</v>
      </c>
      <c r="O32" s="30"/>
      <c r="P32" s="30"/>
      <c r="Q32" s="33"/>
      <c r="R32" s="33"/>
      <c r="S32" s="93"/>
      <c r="T32" s="863"/>
      <c r="AH32" s="14"/>
      <c r="AI32" s="14"/>
      <c r="AK32" s="6"/>
      <c r="AL32" s="6"/>
      <c r="AT32" s="17"/>
    </row>
    <row r="33" spans="1:46" ht="18.75" customHeight="1">
      <c r="A33" s="868" t="s">
        <v>1932</v>
      </c>
      <c r="B33" s="8" t="s">
        <v>1873</v>
      </c>
      <c r="I33" s="30"/>
      <c r="J33" s="9"/>
      <c r="K33" s="30"/>
      <c r="L33" s="4"/>
      <c r="M33" s="33"/>
      <c r="N33" s="7"/>
      <c r="Q33" s="8"/>
      <c r="R33" s="8"/>
      <c r="S33" s="8"/>
      <c r="T33" s="518"/>
      <c r="AT33" s="17"/>
    </row>
    <row r="34" spans="1:46" ht="19.350000000000001" customHeight="1">
      <c r="A34" s="868"/>
      <c r="B34" s="8" t="s">
        <v>1011</v>
      </c>
      <c r="C34" s="7" t="s">
        <v>1874</v>
      </c>
      <c r="J34" s="3480" t="str">
        <f>IF(ISBLANK(L30),"",('Pump-Basic STA'!F28))</f>
        <v/>
      </c>
      <c r="K34" s="3481"/>
      <c r="L34" s="8" t="s">
        <v>762</v>
      </c>
      <c r="Q34" s="8"/>
      <c r="R34" s="8"/>
      <c r="S34" s="8"/>
      <c r="T34" s="518"/>
      <c r="AT34" s="17"/>
    </row>
    <row r="35" spans="1:46" ht="6" customHeight="1">
      <c r="A35" s="868"/>
      <c r="C35" s="7"/>
      <c r="H35" s="30"/>
      <c r="I35" s="30"/>
      <c r="J35" s="16"/>
      <c r="Q35" s="30"/>
      <c r="R35" s="30"/>
      <c r="S35" s="16"/>
      <c r="T35" s="518"/>
      <c r="AT35" s="17"/>
    </row>
    <row r="36" spans="1:46" ht="19.350000000000001" customHeight="1">
      <c r="A36" s="868"/>
      <c r="B36" s="8" t="s">
        <v>1019</v>
      </c>
      <c r="C36" s="8" t="s">
        <v>1875</v>
      </c>
      <c r="J36" s="3165" t="str">
        <f>IF(ISBLANK(L30),"",'Pump-Basic STA'!F30)</f>
        <v/>
      </c>
      <c r="K36" s="3481"/>
      <c r="L36" s="8" t="s">
        <v>903</v>
      </c>
      <c r="Q36" s="30"/>
      <c r="R36" s="30"/>
      <c r="S36" s="16"/>
      <c r="T36" s="518"/>
      <c r="AH36" s="14"/>
      <c r="AI36" s="14"/>
      <c r="AK36" s="6"/>
      <c r="AL36" s="6"/>
      <c r="AT36" s="17"/>
    </row>
    <row r="37" spans="1:46" ht="6" customHeight="1">
      <c r="A37" s="868"/>
      <c r="C37" s="30"/>
      <c r="D37" s="30"/>
      <c r="E37" s="4"/>
      <c r="F37" s="30"/>
      <c r="G37" s="30"/>
      <c r="J37" s="32"/>
      <c r="K37" s="347"/>
      <c r="N37" s="7"/>
      <c r="Q37" s="8"/>
      <c r="R37" s="8"/>
      <c r="S37" s="8"/>
      <c r="T37" s="518"/>
      <c r="AH37" s="14"/>
      <c r="AI37" s="14"/>
      <c r="AK37" s="6"/>
      <c r="AL37" s="6"/>
      <c r="AT37" s="17"/>
    </row>
    <row r="38" spans="1:46" ht="19.350000000000001" customHeight="1">
      <c r="A38" s="868"/>
      <c r="B38" s="8" t="s">
        <v>1168</v>
      </c>
      <c r="C38" s="7" t="s">
        <v>1876</v>
      </c>
      <c r="I38" s="30"/>
      <c r="J38" s="3601" t="str">
        <f>IF(ISBLANK(C24)," ",IF(J34=1,"0.045",IF(J34=1.25,"0.078",IF(J34=1.5,"0.110",IF(J34=2,"0.170",IF(J34=3,"0.380"))))))</f>
        <v xml:space="preserve"> </v>
      </c>
      <c r="K38" s="3602"/>
      <c r="L38" s="8" t="s">
        <v>1696</v>
      </c>
      <c r="M38" s="33"/>
      <c r="N38" s="7"/>
      <c r="Q38" s="8"/>
      <c r="R38" s="8"/>
      <c r="S38" s="8"/>
      <c r="T38" s="518"/>
      <c r="AH38" s="14"/>
      <c r="AI38" s="14"/>
      <c r="AK38" s="6"/>
      <c r="AL38" s="6"/>
      <c r="AT38" s="17"/>
    </row>
    <row r="39" spans="1:46" ht="19.350000000000001" customHeight="1">
      <c r="A39" s="868"/>
      <c r="B39" s="8" t="s">
        <v>1172</v>
      </c>
      <c r="C39" s="7" t="s">
        <v>1877</v>
      </c>
      <c r="I39" s="30"/>
      <c r="J39" s="9"/>
      <c r="K39" s="9"/>
      <c r="L39" s="4"/>
      <c r="M39" s="33"/>
      <c r="N39" s="7"/>
      <c r="Q39" s="8"/>
      <c r="R39" s="8"/>
      <c r="S39" s="8"/>
      <c r="T39" s="518"/>
      <c r="AT39" s="17"/>
    </row>
    <row r="40" spans="1:46" ht="19.350000000000001" customHeight="1">
      <c r="A40" s="868"/>
      <c r="C40" s="3480" t="str">
        <f>IF(ISBLANK(J34),"",J36)</f>
        <v/>
      </c>
      <c r="D40" s="3481"/>
      <c r="E40" s="4" t="s">
        <v>1389</v>
      </c>
      <c r="F40" s="3640" t="str">
        <f>J38</f>
        <v xml:space="preserve"> </v>
      </c>
      <c r="G40" s="3641"/>
      <c r="H40" s="8" t="s">
        <v>1933</v>
      </c>
      <c r="J40" s="3174" t="str">
        <f>IF(ISBLANK(C24),"",C40*F40)</f>
        <v/>
      </c>
      <c r="K40" s="3437"/>
      <c r="L40" s="8" t="s">
        <v>1002</v>
      </c>
      <c r="N40" s="7"/>
      <c r="Q40" s="8"/>
      <c r="R40" s="8"/>
      <c r="S40" s="8"/>
      <c r="T40" s="518"/>
      <c r="AT40" s="17"/>
    </row>
    <row r="41" spans="1:46" ht="19.350000000000001" customHeight="1">
      <c r="A41" s="868" t="s">
        <v>1934</v>
      </c>
      <c r="B41" s="7" t="s">
        <v>1935</v>
      </c>
      <c r="I41" s="30"/>
      <c r="J41" s="9"/>
      <c r="K41" s="30"/>
      <c r="L41" s="4"/>
      <c r="M41" s="33"/>
      <c r="N41" s="7"/>
      <c r="Q41" s="8"/>
      <c r="R41" s="8"/>
      <c r="S41" s="8"/>
      <c r="T41" s="518"/>
      <c r="AT41" s="17"/>
    </row>
    <row r="42" spans="1:46" ht="18" customHeight="1">
      <c r="A42" s="868"/>
      <c r="C42" s="3431" t="str">
        <f>IF(ISBLANK(L30), " ", L30)</f>
        <v xml:space="preserve"> </v>
      </c>
      <c r="D42" s="3432"/>
      <c r="E42" s="19" t="s">
        <v>1578</v>
      </c>
      <c r="F42" s="3174" t="str">
        <f>J40</f>
        <v/>
      </c>
      <c r="G42" s="3432"/>
      <c r="H42" s="19" t="s">
        <v>1880</v>
      </c>
      <c r="I42" s="3174" t="str">
        <f>IF(ISBLANK(C24),"",C42+F42)</f>
        <v/>
      </c>
      <c r="J42" s="3175"/>
      <c r="K42" s="8" t="s">
        <v>1002</v>
      </c>
      <c r="L42" s="4"/>
      <c r="M42" s="33"/>
      <c r="N42" s="7"/>
      <c r="Q42" s="8"/>
      <c r="R42" s="8"/>
      <c r="S42" s="8"/>
      <c r="T42" s="518"/>
    </row>
    <row r="43" spans="1:46" ht="18" customHeight="1">
      <c r="A43" s="868" t="s">
        <v>524</v>
      </c>
      <c r="B43" s="1203" t="s">
        <v>1936</v>
      </c>
      <c r="C43" s="30"/>
      <c r="D43" s="30"/>
      <c r="E43" s="4"/>
      <c r="F43" s="32"/>
      <c r="G43" s="30"/>
      <c r="H43" s="4"/>
      <c r="I43" s="32"/>
      <c r="J43" s="32"/>
      <c r="L43" s="4"/>
      <c r="M43" s="33"/>
      <c r="N43" s="7"/>
      <c r="Q43" s="8"/>
      <c r="R43" s="8"/>
      <c r="S43" s="8"/>
      <c r="T43" s="518"/>
    </row>
    <row r="44" spans="1:46" ht="20.100000000000001" customHeight="1">
      <c r="A44" s="868"/>
      <c r="B44" s="3065" t="str">
        <f>IF(ISBLANK(I15)," ",I15)</f>
        <v xml:space="preserve"> </v>
      </c>
      <c r="C44" s="3066"/>
      <c r="D44" s="1601" t="s">
        <v>1937</v>
      </c>
      <c r="E44" s="3001" t="str">
        <f>IF(ISBLANK(M24)," ",M24)</f>
        <v xml:space="preserve"> </v>
      </c>
      <c r="F44" s="3001"/>
      <c r="G44" s="1601" t="s">
        <v>1937</v>
      </c>
      <c r="H44" s="3001" t="str">
        <f>IF(ISBLANK(M83)," ",M83)</f>
        <v/>
      </c>
      <c r="I44" s="3001"/>
      <c r="J44" s="1594" t="s">
        <v>1240</v>
      </c>
      <c r="K44" s="3001" t="str">
        <f>IF(ISBLANK(H51)," ",(B44-E44-H44))</f>
        <v xml:space="preserve"> </v>
      </c>
      <c r="L44" s="3001"/>
      <c r="M44" s="3636" t="s">
        <v>1002</v>
      </c>
      <c r="N44" s="3637"/>
      <c r="Q44" s="8"/>
      <c r="R44" s="8"/>
      <c r="S44" s="8"/>
      <c r="T44" s="518"/>
    </row>
    <row r="45" spans="1:46" ht="7.5" customHeight="1">
      <c r="A45" s="869"/>
      <c r="B45" s="61"/>
      <c r="C45" s="39"/>
      <c r="D45" s="39"/>
      <c r="E45" s="38"/>
      <c r="F45" s="89"/>
      <c r="G45" s="39"/>
      <c r="H45" s="38"/>
      <c r="I45" s="89"/>
      <c r="J45" s="89"/>
      <c r="K45" s="61"/>
      <c r="L45" s="38"/>
      <c r="M45" s="717"/>
      <c r="N45" s="718"/>
      <c r="O45" s="61"/>
      <c r="P45" s="61"/>
      <c r="Q45" s="61"/>
      <c r="R45" s="61"/>
      <c r="S45" s="61"/>
      <c r="T45" s="870"/>
    </row>
    <row r="46" spans="1:46" ht="19.350000000000001" customHeight="1">
      <c r="A46" s="1016" t="s">
        <v>477</v>
      </c>
      <c r="B46" s="41" t="s">
        <v>1938</v>
      </c>
      <c r="C46" s="41"/>
      <c r="D46" s="41"/>
      <c r="E46" s="713"/>
      <c r="F46" s="41"/>
      <c r="G46" s="41"/>
      <c r="H46" s="41"/>
      <c r="I46" s="41"/>
      <c r="J46" s="41"/>
      <c r="K46" s="41"/>
      <c r="L46" s="41"/>
      <c r="M46" s="41"/>
      <c r="N46" s="41"/>
      <c r="O46" s="41"/>
      <c r="P46" s="41"/>
      <c r="Q46" s="41"/>
      <c r="R46" s="41"/>
      <c r="S46" s="41"/>
      <c r="T46" s="871"/>
    </row>
    <row r="47" spans="1:46" ht="19.350000000000001" customHeight="1">
      <c r="A47" s="864" t="s">
        <v>1011</v>
      </c>
      <c r="B47" s="8" t="s">
        <v>1939</v>
      </c>
      <c r="C47" s="10"/>
      <c r="D47" s="10"/>
      <c r="E47" s="10"/>
      <c r="F47" s="10"/>
      <c r="G47" s="90"/>
      <c r="I47" s="2938"/>
      <c r="J47" s="2874"/>
      <c r="K47" s="4" t="s">
        <v>1940</v>
      </c>
      <c r="Q47" s="2906" t="s">
        <v>1941</v>
      </c>
      <c r="R47" s="2906"/>
      <c r="S47" s="2906"/>
      <c r="T47" s="873"/>
    </row>
    <row r="48" spans="1:46" ht="18.75" customHeight="1">
      <c r="A48" s="864" t="s">
        <v>1019</v>
      </c>
      <c r="B48" s="8" t="s">
        <v>1942</v>
      </c>
      <c r="C48" s="10"/>
      <c r="D48" s="10"/>
      <c r="E48" s="10"/>
      <c r="F48" s="10"/>
      <c r="G48" s="10"/>
      <c r="H48" s="10"/>
      <c r="I48" s="10"/>
      <c r="J48" s="10"/>
      <c r="K48" s="10"/>
      <c r="O48" s="475"/>
      <c r="Q48" s="2906"/>
      <c r="R48" s="2906"/>
      <c r="S48" s="2906"/>
      <c r="T48" s="873"/>
      <c r="Y48" s="1265"/>
      <c r="Z48" s="1265"/>
    </row>
    <row r="49" spans="1:26" ht="19.350000000000001" customHeight="1">
      <c r="A49" s="1153"/>
      <c r="C49" s="2872"/>
      <c r="D49" s="2874"/>
      <c r="E49" s="2935" t="s">
        <v>1943</v>
      </c>
      <c r="F49" s="2869"/>
      <c r="G49" s="3174" t="str">
        <f>IF(ISBLANK(C24),"",I19)</f>
        <v/>
      </c>
      <c r="H49" s="3175"/>
      <c r="I49" s="2868" t="s">
        <v>1944</v>
      </c>
      <c r="J49" s="2869"/>
      <c r="K49" s="2872"/>
      <c r="L49" s="2874"/>
      <c r="M49" s="4" t="s">
        <v>1945</v>
      </c>
      <c r="N49" s="3174" t="str">
        <f>IF(ISBLANK(C49),"",(C49*(G49/K49)))</f>
        <v/>
      </c>
      <c r="O49" s="3175"/>
      <c r="P49" s="4" t="s">
        <v>1034</v>
      </c>
      <c r="Q49" s="2906"/>
      <c r="R49" s="2906"/>
      <c r="S49" s="2906"/>
      <c r="T49" s="518"/>
      <c r="Y49" s="1265"/>
      <c r="Z49" s="1265"/>
    </row>
    <row r="50" spans="1:26" ht="6" customHeight="1">
      <c r="A50" s="1153"/>
      <c r="E50" s="4"/>
      <c r="O50" s="475"/>
      <c r="Q50" s="2906"/>
      <c r="R50" s="2906"/>
      <c r="S50" s="2906"/>
      <c r="T50" s="518"/>
      <c r="Y50" s="1265"/>
      <c r="Z50" s="1265"/>
    </row>
    <row r="51" spans="1:26" ht="19.350000000000001" customHeight="1">
      <c r="A51" s="868" t="s">
        <v>483</v>
      </c>
      <c r="B51" s="8" t="s">
        <v>1946</v>
      </c>
      <c r="D51" s="4"/>
      <c r="E51" s="4"/>
      <c r="H51" s="3628"/>
      <c r="I51" s="3628"/>
      <c r="J51" s="4" t="s">
        <v>1947</v>
      </c>
      <c r="Q51" s="2906"/>
      <c r="R51" s="2906"/>
      <c r="S51" s="2906"/>
      <c r="T51" s="518"/>
      <c r="Y51" s="1265"/>
      <c r="Z51" s="1265"/>
    </row>
    <row r="52" spans="1:26" ht="8.25" customHeight="1" thickBot="1">
      <c r="A52" s="1270"/>
      <c r="B52" s="754"/>
      <c r="C52" s="754"/>
      <c r="D52" s="756"/>
      <c r="E52" s="756"/>
      <c r="F52" s="754"/>
      <c r="G52" s="754"/>
      <c r="H52" s="639"/>
      <c r="I52" s="639"/>
      <c r="J52" s="756"/>
      <c r="K52" s="754"/>
      <c r="L52" s="754"/>
      <c r="M52" s="754"/>
      <c r="N52" s="754"/>
      <c r="O52" s="754"/>
      <c r="P52" s="754"/>
      <c r="Q52" s="1510"/>
      <c r="R52" s="1510"/>
      <c r="S52" s="1510"/>
      <c r="T52" s="874"/>
      <c r="Y52" s="1265"/>
      <c r="Z52" s="1265"/>
    </row>
    <row r="53" spans="1:26" ht="16.5" customHeight="1">
      <c r="A53" s="868"/>
      <c r="D53" s="4"/>
      <c r="E53" s="4"/>
      <c r="H53" s="19"/>
      <c r="I53" s="19"/>
      <c r="J53" s="4"/>
      <c r="Q53" s="1590"/>
      <c r="R53" s="1590"/>
      <c r="S53" s="1590"/>
      <c r="T53" s="518"/>
      <c r="X53" s="1265"/>
      <c r="Y53" s="1265"/>
      <c r="Z53" s="1265"/>
    </row>
    <row r="54" spans="1:26" ht="6" customHeight="1">
      <c r="A54" s="868"/>
      <c r="D54" s="4"/>
      <c r="E54" s="4"/>
      <c r="H54" s="19"/>
      <c r="I54" s="19"/>
      <c r="J54" s="4"/>
      <c r="Q54" s="1590"/>
      <c r="R54" s="1590"/>
      <c r="S54" s="1590"/>
      <c r="T54" s="518"/>
      <c r="X54" s="1265"/>
      <c r="Y54" s="1265"/>
      <c r="Z54" s="1265"/>
    </row>
    <row r="55" spans="1:26" ht="19.350000000000001" customHeight="1">
      <c r="A55" s="1125" t="s">
        <v>1948</v>
      </c>
      <c r="B55" s="1124"/>
      <c r="C55" s="1124"/>
      <c r="D55" s="1124"/>
      <c r="E55" s="1124"/>
      <c r="F55" s="1124"/>
      <c r="G55" s="1124"/>
      <c r="H55" s="1124"/>
      <c r="I55" s="1124"/>
      <c r="J55" s="1124"/>
      <c r="K55" s="1124"/>
      <c r="L55" s="1124"/>
      <c r="M55" s="1124"/>
      <c r="N55" s="1124"/>
      <c r="O55" s="1124"/>
      <c r="P55" s="1124"/>
      <c r="Q55" s="1124"/>
      <c r="R55" s="1124"/>
      <c r="S55" s="1124"/>
      <c r="T55" s="1126"/>
    </row>
    <row r="56" spans="1:26" ht="19.350000000000001" customHeight="1">
      <c r="A56" s="868" t="s">
        <v>489</v>
      </c>
      <c r="B56" s="8" t="s">
        <v>1949</v>
      </c>
      <c r="E56" s="4"/>
      <c r="Q56" s="8"/>
      <c r="R56" s="8"/>
      <c r="S56" s="8"/>
      <c r="T56" s="518"/>
      <c r="X56" s="1265"/>
      <c r="Y56" s="1265"/>
      <c r="Z56" s="1265"/>
    </row>
    <row r="57" spans="1:26" ht="19.350000000000001" customHeight="1">
      <c r="A57" s="868"/>
      <c r="B57" s="8" t="s">
        <v>1950</v>
      </c>
      <c r="E57" s="4"/>
      <c r="Q57" s="527" t="s">
        <v>1951</v>
      </c>
      <c r="R57" s="527" t="s">
        <v>1952</v>
      </c>
      <c r="S57" s="527" t="s">
        <v>1953</v>
      </c>
      <c r="T57" s="518"/>
    </row>
    <row r="58" spans="1:26" ht="19.350000000000001" customHeight="1">
      <c r="A58" s="1153"/>
      <c r="B58" s="3165" t="str">
        <f>I42</f>
        <v/>
      </c>
      <c r="C58" s="3166"/>
      <c r="D58" s="4" t="s">
        <v>1038</v>
      </c>
      <c r="E58" s="1591" t="s">
        <v>1558</v>
      </c>
      <c r="F58" s="3174" t="str">
        <f>IF(ISBLANK(H51)," ",H51)</f>
        <v xml:space="preserve"> </v>
      </c>
      <c r="G58" s="3175"/>
      <c r="H58" s="2926" t="s">
        <v>1954</v>
      </c>
      <c r="I58" s="2928"/>
      <c r="J58" s="3174" t="str">
        <f>IF(ISBLANK(C24),"",B58/F58)</f>
        <v/>
      </c>
      <c r="K58" s="3175"/>
      <c r="L58" s="8" t="s">
        <v>1955</v>
      </c>
      <c r="Q58" s="1205" t="str">
        <f>IF(ISBLANK(H51)," ",(ROUNDDOWN(J58/60,0)))</f>
        <v xml:space="preserve"> </v>
      </c>
      <c r="R58" s="1204" t="str">
        <f>IF(ISBLANK(H51)," ",(ROUNDDOWN(J58,0)))</f>
        <v xml:space="preserve"> </v>
      </c>
      <c r="S58" s="1205" t="str">
        <f>IF(ISBLANK(H51)," ",(ROUNDDOWN((J58-R58)*60,0)))</f>
        <v xml:space="preserve"> </v>
      </c>
      <c r="T58" s="862" t="s">
        <v>1956</v>
      </c>
    </row>
    <row r="59" spans="1:26" ht="19.350000000000001" customHeight="1">
      <c r="A59" s="868" t="s">
        <v>495</v>
      </c>
      <c r="B59" s="1203" t="s">
        <v>1957</v>
      </c>
      <c r="E59" s="4"/>
      <c r="H59" s="4"/>
      <c r="Q59" s="8"/>
      <c r="R59" s="8"/>
      <c r="S59" s="8"/>
      <c r="T59" s="518"/>
    </row>
    <row r="60" spans="1:26" ht="19.350000000000001" customHeight="1">
      <c r="A60" s="868"/>
      <c r="B60" s="1203" t="s">
        <v>1958</v>
      </c>
      <c r="E60" s="4"/>
      <c r="Q60" s="527" t="s">
        <v>1951</v>
      </c>
      <c r="R60" s="527" t="s">
        <v>1952</v>
      </c>
      <c r="S60" s="527" t="s">
        <v>1953</v>
      </c>
      <c r="T60" s="518"/>
    </row>
    <row r="61" spans="1:26" ht="19.350000000000001" customHeight="1">
      <c r="A61" s="1153"/>
      <c r="B61" s="2487" t="s">
        <v>1959</v>
      </c>
      <c r="C61" s="2487"/>
      <c r="D61" s="1207" t="str">
        <f>K32</f>
        <v xml:space="preserve"> </v>
      </c>
      <c r="E61" s="3631" t="s">
        <v>1960</v>
      </c>
      <c r="F61" s="3632"/>
      <c r="G61" s="3633"/>
      <c r="H61" s="3002" t="str">
        <f>IF(ISBLANK(H51)," ",J58)</f>
        <v xml:space="preserve"> </v>
      </c>
      <c r="I61" s="3036"/>
      <c r="J61" s="1203" t="s">
        <v>909</v>
      </c>
      <c r="K61" s="1592" t="s">
        <v>1240</v>
      </c>
      <c r="L61" s="3002" t="str">
        <f>IF(ISBLANK(C24),"",(1440/D61-J58))</f>
        <v/>
      </c>
      <c r="M61" s="3067"/>
      <c r="N61" s="1203" t="s">
        <v>1961</v>
      </c>
      <c r="O61" s="1203"/>
      <c r="Q61" s="1205" t="str">
        <f>IF(ISBLANK(H51)," ",(ROUNDDOWN(L61/60,0)))</f>
        <v xml:space="preserve"> </v>
      </c>
      <c r="R61" s="1204" t="str">
        <f>IF(ISBLANK(H51)," ",(ROUNDDOWN(L61-Q61*60,0)))</f>
        <v xml:space="preserve"> </v>
      </c>
      <c r="S61" s="1206" t="str">
        <f>IF(ISBLANK(H51)," ",(ROUNDUP(((L61)-((Q61*60)+R61))*60,1)))</f>
        <v xml:space="preserve"> </v>
      </c>
      <c r="T61" s="862" t="s">
        <v>1962</v>
      </c>
    </row>
    <row r="62" spans="1:26" ht="6" customHeight="1">
      <c r="A62" s="1153"/>
      <c r="B62" s="528"/>
      <c r="C62" s="528"/>
      <c r="D62" s="528"/>
      <c r="E62" s="528"/>
      <c r="F62" s="528"/>
      <c r="G62" s="528"/>
      <c r="H62" s="528"/>
      <c r="I62" s="528"/>
      <c r="J62" s="528"/>
      <c r="K62" s="528"/>
      <c r="L62" s="528"/>
      <c r="M62" s="528"/>
      <c r="N62" s="528"/>
      <c r="O62" s="528"/>
      <c r="P62" s="528"/>
      <c r="Q62" s="528"/>
      <c r="R62" s="528"/>
      <c r="S62" s="528"/>
      <c r="T62" s="518"/>
    </row>
    <row r="63" spans="1:26" ht="19.350000000000001" customHeight="1">
      <c r="A63" s="1125" t="s">
        <v>1963</v>
      </c>
      <c r="B63" s="1124"/>
      <c r="C63" s="1271"/>
      <c r="D63" s="1271"/>
      <c r="E63" s="1271"/>
      <c r="F63" s="1271"/>
      <c r="G63" s="1271"/>
      <c r="H63" s="1271"/>
      <c r="I63" s="1124"/>
      <c r="J63" s="1124"/>
      <c r="K63" s="1124"/>
      <c r="L63" s="1124"/>
      <c r="M63" s="1124"/>
      <c r="N63" s="1124"/>
      <c r="O63" s="1124"/>
      <c r="P63" s="1124"/>
      <c r="Q63" s="1124"/>
      <c r="R63" s="1124"/>
      <c r="S63" s="1124"/>
      <c r="T63" s="1126"/>
    </row>
    <row r="64" spans="1:26" ht="6" customHeight="1">
      <c r="A64" s="1153"/>
      <c r="B64" s="16"/>
      <c r="C64" s="16"/>
      <c r="D64" s="16"/>
      <c r="E64" s="16"/>
      <c r="F64" s="16"/>
      <c r="G64" s="1261"/>
      <c r="H64" s="1261"/>
      <c r="I64" s="16"/>
      <c r="J64" s="16"/>
      <c r="K64" s="16"/>
      <c r="L64" s="16"/>
      <c r="M64" s="16"/>
      <c r="N64" s="16"/>
      <c r="O64" s="16"/>
      <c r="P64" s="16"/>
      <c r="Q64" s="16"/>
      <c r="R64" s="16"/>
      <c r="S64" s="16"/>
      <c r="T64" s="862"/>
    </row>
    <row r="65" spans="1:24" ht="18.75" customHeight="1">
      <c r="A65" s="868" t="s">
        <v>500</v>
      </c>
      <c r="B65" s="528" t="s">
        <v>1964</v>
      </c>
      <c r="C65" s="528"/>
      <c r="D65" s="528"/>
      <c r="E65" s="528"/>
      <c r="F65" s="528"/>
      <c r="G65" s="3625"/>
      <c r="H65" s="3626"/>
      <c r="I65" s="528" t="s">
        <v>624</v>
      </c>
      <c r="J65" s="528"/>
      <c r="K65" s="528"/>
      <c r="L65" s="528"/>
      <c r="M65" s="528"/>
      <c r="N65" s="528"/>
      <c r="O65" s="528"/>
      <c r="P65" s="528"/>
      <c r="Q65" s="1593"/>
      <c r="R65" s="528"/>
      <c r="S65" s="528"/>
      <c r="T65" s="518"/>
    </row>
    <row r="66" spans="1:24" ht="19.350000000000001" customHeight="1">
      <c r="A66" s="868" t="s">
        <v>506</v>
      </c>
      <c r="B66" s="528" t="s">
        <v>1965</v>
      </c>
      <c r="C66" s="528"/>
      <c r="D66" s="528"/>
      <c r="E66" s="528"/>
      <c r="F66" s="528"/>
      <c r="G66" s="528"/>
      <c r="H66" s="528"/>
      <c r="I66" s="528"/>
      <c r="J66" s="528"/>
      <c r="L66" s="3625"/>
      <c r="M66" s="3626"/>
      <c r="N66" s="1589" t="s">
        <v>1966</v>
      </c>
      <c r="O66" s="2487" t="s">
        <v>1967</v>
      </c>
      <c r="P66" s="3627"/>
      <c r="Q66" s="3065" t="str">
        <f>J40</f>
        <v/>
      </c>
      <c r="R66" s="3066"/>
      <c r="S66" s="528" t="s">
        <v>1038</v>
      </c>
      <c r="T66" s="518"/>
    </row>
    <row r="67" spans="1:24" ht="19.350000000000001" customHeight="1">
      <c r="A67" s="868" t="s">
        <v>511</v>
      </c>
      <c r="B67" s="3010" t="s">
        <v>1968</v>
      </c>
      <c r="C67" s="3010"/>
      <c r="D67" s="3010"/>
      <c r="E67" s="3062" t="str">
        <f>IF(ISBLANK(L66)," ",L66+Q66)</f>
        <v xml:space="preserve"> </v>
      </c>
      <c r="F67" s="3063"/>
      <c r="G67" s="528" t="s">
        <v>1587</v>
      </c>
      <c r="H67" s="528"/>
      <c r="I67" s="528"/>
      <c r="J67" s="528"/>
      <c r="L67" s="527"/>
      <c r="M67" s="527"/>
      <c r="P67" s="527" t="s">
        <v>1951</v>
      </c>
      <c r="Q67" s="527" t="s">
        <v>1952</v>
      </c>
      <c r="R67" s="527" t="s">
        <v>1953</v>
      </c>
      <c r="S67" s="528"/>
      <c r="T67" s="518"/>
    </row>
    <row r="68" spans="1:24" ht="19.350000000000001" customHeight="1">
      <c r="A68" s="868" t="s">
        <v>516</v>
      </c>
      <c r="B68" s="3010" t="s">
        <v>1969</v>
      </c>
      <c r="C68" s="3010"/>
      <c r="D68" s="3010"/>
      <c r="E68" s="3062" t="str">
        <f>+IF(ISBLANK(L66)," ",E67)</f>
        <v xml:space="preserve"> </v>
      </c>
      <c r="F68" s="3063"/>
      <c r="G68" s="528" t="s">
        <v>1970</v>
      </c>
      <c r="H68" s="1262" t="str">
        <f>IF(ISBLANK(L66)," ",(H51))</f>
        <v xml:space="preserve"> </v>
      </c>
      <c r="I68" s="528" t="s">
        <v>1971</v>
      </c>
      <c r="J68" s="3065" t="str">
        <f>IF(ISBLANK(G65)," ",E68/H68)</f>
        <v xml:space="preserve"> </v>
      </c>
      <c r="K68" s="3066"/>
      <c r="L68" s="8" t="s">
        <v>1972</v>
      </c>
      <c r="M68" s="528"/>
      <c r="P68" s="1205" t="str">
        <f>IF(ISBLANK(G65)," ",(ROUNDDOWN(J68/60,0)))</f>
        <v xml:space="preserve"> </v>
      </c>
      <c r="Q68" s="1204" t="str">
        <f>IF(ISBLANK(G65)," ",(ROUNDDOWN(J68,0)))</f>
        <v xml:space="preserve"> </v>
      </c>
      <c r="R68" s="1205" t="str">
        <f>IF(ISBLANK(G65)," ",(ROUNDDOWN((J68-Q68)*60,0)))</f>
        <v xml:space="preserve"> </v>
      </c>
      <c r="S68" s="528" t="s">
        <v>1973</v>
      </c>
      <c r="T68" s="518"/>
    </row>
    <row r="69" spans="1:24" ht="19.350000000000001" customHeight="1">
      <c r="A69" s="868"/>
      <c r="B69" s="3634" t="s">
        <v>1941</v>
      </c>
      <c r="C69" s="3634"/>
      <c r="D69" s="3634"/>
      <c r="E69" s="3634"/>
      <c r="F69" s="3634"/>
      <c r="G69" s="3634"/>
      <c r="H69" s="3634"/>
      <c r="I69" s="3634"/>
      <c r="J69" s="3634"/>
      <c r="K69" s="3634"/>
      <c r="L69" s="3634"/>
      <c r="M69" s="3634"/>
      <c r="N69" s="3634"/>
      <c r="O69" s="1260"/>
      <c r="P69" s="527" t="s">
        <v>1951</v>
      </c>
      <c r="Q69" s="527" t="s">
        <v>1952</v>
      </c>
      <c r="R69" s="527" t="s">
        <v>1953</v>
      </c>
      <c r="S69" s="528"/>
      <c r="T69" s="518"/>
    </row>
    <row r="70" spans="1:24" ht="19.350000000000001" customHeight="1">
      <c r="A70" s="868" t="s">
        <v>520</v>
      </c>
      <c r="B70" s="3010" t="s">
        <v>1974</v>
      </c>
      <c r="C70" s="3010"/>
      <c r="D70" s="3010"/>
      <c r="E70" s="3007"/>
      <c r="F70" s="1264" t="str">
        <f>IF(ISBLANK(G65)," ",(I6)*(G65/100)/L66)</f>
        <v xml:space="preserve"> </v>
      </c>
      <c r="G70" s="2486" t="s">
        <v>1960</v>
      </c>
      <c r="H70" s="2487"/>
      <c r="I70" s="1263" t="str">
        <f>IF(ISBLANK(G65)," ",(J68))</f>
        <v xml:space="preserve"> </v>
      </c>
      <c r="J70" s="528" t="s">
        <v>1975</v>
      </c>
      <c r="L70" s="3065" t="str">
        <f>IF(ISBLANK(G65)," ",(1440/(F70)-(I70)))</f>
        <v xml:space="preserve"> </v>
      </c>
      <c r="M70" s="3066"/>
      <c r="N70" s="528" t="s">
        <v>1976</v>
      </c>
      <c r="P70" s="1205" t="str">
        <f>IF(ISBLANK(G65)," ",(ROUNDDOWN(L70/60,0)))</f>
        <v xml:space="preserve"> </v>
      </c>
      <c r="Q70" s="1204" t="str">
        <f>IF(ISBLANK(G65)," ",(ROUNDDOWN(L70-P70*60,0)))</f>
        <v xml:space="preserve"> </v>
      </c>
      <c r="R70" s="1206" t="str">
        <f>IF(ISBLANK(G65)," ",(ROUNDUP(((L70)-((P70*60)+Q70))*60,1)))</f>
        <v xml:space="preserve"> </v>
      </c>
      <c r="S70" s="528" t="s">
        <v>1977</v>
      </c>
      <c r="T70" s="518"/>
    </row>
    <row r="71" spans="1:24" ht="6.75" customHeight="1">
      <c r="A71" s="868"/>
      <c r="B71" s="1203"/>
      <c r="C71" s="1203"/>
      <c r="D71" s="1203"/>
      <c r="E71" s="1203"/>
      <c r="F71" s="1268"/>
      <c r="G71" s="527"/>
      <c r="H71" s="527"/>
      <c r="I71" s="1594"/>
      <c r="J71" s="528"/>
      <c r="L71" s="1260"/>
      <c r="M71" s="1260"/>
      <c r="N71" s="528"/>
      <c r="P71" s="527"/>
      <c r="Q71" s="1260"/>
      <c r="R71" s="1093"/>
      <c r="S71" s="528"/>
      <c r="T71" s="518"/>
    </row>
    <row r="72" spans="1:24" ht="19.350000000000001" customHeight="1">
      <c r="A72" s="3629" t="s">
        <v>1978</v>
      </c>
      <c r="B72" s="3630"/>
      <c r="C72" s="3630"/>
      <c r="D72" s="3630"/>
      <c r="E72" s="1394" t="s">
        <v>1885</v>
      </c>
      <c r="F72" s="1395"/>
      <c r="G72" s="1395"/>
      <c r="H72" s="1396"/>
      <c r="I72" s="1396"/>
      <c r="J72" s="1396"/>
      <c r="K72" s="1396"/>
      <c r="L72" s="1396"/>
      <c r="M72" s="1396"/>
      <c r="N72" s="1396"/>
      <c r="O72" s="1396"/>
      <c r="P72" s="1396"/>
      <c r="Q72" s="1396"/>
      <c r="R72" s="1396"/>
      <c r="S72" s="1396"/>
      <c r="T72" s="1397"/>
    </row>
    <row r="73" spans="1:24" ht="19.350000000000001" customHeight="1">
      <c r="A73" s="1152"/>
      <c r="B73" s="1595"/>
      <c r="C73" s="1595"/>
      <c r="D73" s="1595"/>
      <c r="E73" s="1596"/>
      <c r="F73" s="921"/>
      <c r="G73" s="921"/>
      <c r="H73" s="528"/>
      <c r="I73" s="528"/>
      <c r="J73" s="528"/>
      <c r="K73" s="528"/>
      <c r="L73" s="528"/>
      <c r="M73" s="528"/>
      <c r="N73" s="528"/>
      <c r="O73" s="528"/>
      <c r="P73" s="528"/>
      <c r="Q73" s="528"/>
      <c r="R73" s="528"/>
      <c r="S73" s="528"/>
      <c r="T73" s="518"/>
    </row>
    <row r="74" spans="1:24" ht="19.350000000000001" customHeight="1">
      <c r="A74" s="868" t="s">
        <v>525</v>
      </c>
      <c r="B74" s="8" t="s">
        <v>1979</v>
      </c>
      <c r="E74" s="4"/>
      <c r="N74" s="26"/>
      <c r="Q74" s="8"/>
      <c r="R74" s="8"/>
      <c r="S74" s="8"/>
      <c r="T74" s="518"/>
    </row>
    <row r="75" spans="1:24" ht="19.350000000000001" customHeight="1">
      <c r="A75" s="864"/>
      <c r="B75" s="7" t="s">
        <v>1980</v>
      </c>
      <c r="C75" s="26"/>
      <c r="D75" s="26"/>
      <c r="E75" s="26"/>
      <c r="F75" s="26"/>
      <c r="G75" s="26"/>
      <c r="H75" s="26"/>
      <c r="I75" s="26"/>
      <c r="J75" s="26"/>
      <c r="K75" s="26"/>
      <c r="L75" s="26"/>
      <c r="M75" s="26"/>
      <c r="Q75" s="8"/>
      <c r="R75" s="31"/>
      <c r="T75" s="518"/>
    </row>
    <row r="76" spans="1:24" ht="19.350000000000001" customHeight="1">
      <c r="A76" s="864"/>
      <c r="B76" s="3165" t="str">
        <f>M24</f>
        <v xml:space="preserve"> </v>
      </c>
      <c r="C76" s="3481"/>
      <c r="D76" s="50" t="s">
        <v>1981</v>
      </c>
      <c r="E76" s="86"/>
      <c r="F76" s="3174" t="str">
        <f>IF(ISBLANK(C24),"",I19)</f>
        <v/>
      </c>
      <c r="G76" s="3175"/>
      <c r="H76" s="3606" t="s">
        <v>1982</v>
      </c>
      <c r="I76" s="3608"/>
      <c r="J76" s="3174" t="str">
        <f>IF(ISBLANK(C24),"",B76/F76)</f>
        <v/>
      </c>
      <c r="K76" s="3175"/>
      <c r="L76" s="8" t="s">
        <v>762</v>
      </c>
      <c r="N76" s="3611" t="s">
        <v>1983</v>
      </c>
      <c r="O76" s="3611"/>
      <c r="P76" s="3611"/>
      <c r="Q76" s="1203"/>
      <c r="R76" s="1597" t="str">
        <f>M83</f>
        <v/>
      </c>
      <c r="S76" s="533" t="s">
        <v>1031</v>
      </c>
      <c r="T76" s="518"/>
    </row>
    <row r="77" spans="1:24" ht="17.100000000000001" customHeight="1">
      <c r="A77" s="864"/>
      <c r="B77" s="60"/>
      <c r="C77" s="4"/>
      <c r="D77" s="4"/>
      <c r="E77" s="4"/>
      <c r="F77" s="19"/>
      <c r="G77" s="19"/>
      <c r="H77" s="4"/>
      <c r="I77" s="4"/>
      <c r="J77" s="4"/>
      <c r="K77" s="19"/>
      <c r="M77" s="3609" t="s">
        <v>1896</v>
      </c>
      <c r="N77" s="3609"/>
      <c r="O77" s="1208" t="str">
        <f>IF(ISBLANK(F80), "", J80)</f>
        <v/>
      </c>
      <c r="P77" s="8" t="s">
        <v>629</v>
      </c>
      <c r="Q77" s="1203"/>
      <c r="R77" s="1203"/>
      <c r="S77" s="1203"/>
      <c r="T77" s="518"/>
      <c r="X77" s="528"/>
    </row>
    <row r="78" spans="1:24" ht="19.350000000000001" customHeight="1">
      <c r="A78" s="868" t="s">
        <v>479</v>
      </c>
      <c r="B78" s="8" t="s">
        <v>1984</v>
      </c>
      <c r="D78" s="4"/>
      <c r="E78" s="32"/>
      <c r="F78" s="32"/>
      <c r="I78" s="31"/>
      <c r="J78" s="31"/>
      <c r="N78" s="3612" t="s">
        <v>1985</v>
      </c>
      <c r="O78" s="3612"/>
      <c r="P78" s="3612"/>
      <c r="Q78" s="1203"/>
      <c r="R78" s="1598" t="str">
        <f>K44</f>
        <v xml:space="preserve"> </v>
      </c>
      <c r="S78" s="1599" t="s">
        <v>1031</v>
      </c>
      <c r="T78" s="518"/>
      <c r="W78" s="528"/>
    </row>
    <row r="79" spans="1:24" ht="18.75" customHeight="1">
      <c r="A79" s="864"/>
      <c r="B79" s="7" t="s">
        <v>1986</v>
      </c>
      <c r="C79" s="26"/>
      <c r="D79" s="4"/>
      <c r="E79" s="32"/>
      <c r="F79" s="32"/>
      <c r="I79" s="31"/>
      <c r="J79" s="31"/>
      <c r="O79" s="3613" t="s">
        <v>1987</v>
      </c>
      <c r="P79" s="3613"/>
      <c r="Q79" s="1203"/>
      <c r="R79" s="3624" t="str">
        <f>I42</f>
        <v/>
      </c>
      <c r="S79" s="3635" t="s">
        <v>1031</v>
      </c>
      <c r="T79" s="518"/>
    </row>
    <row r="80" spans="1:24" ht="18" customHeight="1">
      <c r="A80" s="864"/>
      <c r="B80" s="3174" t="str">
        <f>IF(ISBLANK(C24),"",I17)</f>
        <v/>
      </c>
      <c r="C80" s="3481"/>
      <c r="D80" s="3006" t="s">
        <v>1988</v>
      </c>
      <c r="E80" s="3007"/>
      <c r="F80" s="2872">
        <v>90</v>
      </c>
      <c r="G80" s="2874"/>
      <c r="H80" s="3606" t="s">
        <v>1989</v>
      </c>
      <c r="I80" s="3607"/>
      <c r="J80" s="3480" t="str">
        <f>IF(ISBLANK(C24),"",B80*(F80/100))</f>
        <v/>
      </c>
      <c r="K80" s="3600"/>
      <c r="L80" s="8" t="s">
        <v>762</v>
      </c>
      <c r="O80" s="3613"/>
      <c r="P80" s="3613"/>
      <c r="Q80" s="1203"/>
      <c r="R80" s="3624"/>
      <c r="S80" s="3635"/>
      <c r="T80" s="518"/>
    </row>
    <row r="81" spans="1:22" ht="19.5" customHeight="1">
      <c r="A81" s="864"/>
      <c r="B81" s="19"/>
      <c r="C81" s="4"/>
      <c r="D81" s="4"/>
      <c r="E81" s="4"/>
      <c r="F81" s="4"/>
      <c r="G81" s="4"/>
      <c r="H81" s="4"/>
      <c r="I81" s="4"/>
      <c r="J81" s="4"/>
      <c r="K81" s="347"/>
      <c r="L81" s="34"/>
      <c r="M81" s="3609" t="s">
        <v>1901</v>
      </c>
      <c r="N81" s="3610"/>
      <c r="O81" s="1267" t="str">
        <f>J76</f>
        <v/>
      </c>
      <c r="P81" s="1600" t="s">
        <v>629</v>
      </c>
      <c r="Q81" s="8"/>
      <c r="R81" s="1597" t="str">
        <f>M24</f>
        <v xml:space="preserve"> </v>
      </c>
      <c r="S81" s="533" t="s">
        <v>1031</v>
      </c>
      <c r="T81" s="518"/>
    </row>
    <row r="82" spans="1:22" ht="18" customHeight="1">
      <c r="A82" s="868" t="s">
        <v>485</v>
      </c>
      <c r="B82" s="1601" t="s">
        <v>1990</v>
      </c>
      <c r="C82" s="4"/>
      <c r="D82" s="4"/>
      <c r="E82" s="4"/>
      <c r="F82" s="4"/>
      <c r="G82" s="4"/>
      <c r="H82" s="4"/>
      <c r="I82" s="4"/>
      <c r="J82" s="4"/>
      <c r="K82" s="347"/>
      <c r="L82" s="34"/>
      <c r="M82" s="1266"/>
      <c r="N82" s="1266"/>
      <c r="Q82" s="8"/>
      <c r="R82" s="1602"/>
      <c r="S82" s="672"/>
      <c r="T82" s="518"/>
    </row>
    <row r="83" spans="1:22" ht="18" customHeight="1">
      <c r="A83" s="864" t="s">
        <v>1237</v>
      </c>
      <c r="B83" s="3174" t="str">
        <f>IF(ISBLANK(I17),"",I17)</f>
        <v/>
      </c>
      <c r="C83" s="3481"/>
      <c r="D83" s="2926" t="s">
        <v>1991</v>
      </c>
      <c r="E83" s="2927"/>
      <c r="F83" s="3174" t="str">
        <f>IF(ISBLANK(J80),"",J80)</f>
        <v/>
      </c>
      <c r="G83" s="3481"/>
      <c r="H83" s="2926" t="s">
        <v>1992</v>
      </c>
      <c r="I83" s="2927"/>
      <c r="J83" s="3174" t="str">
        <f>IF(ISBLANK(C24),"",I19)</f>
        <v/>
      </c>
      <c r="K83" s="3481"/>
      <c r="L83" s="8" t="s">
        <v>1274</v>
      </c>
      <c r="M83" s="3431" t="str">
        <f>IF(ISBLANK(H51),"",((B83-F83)*J83))</f>
        <v/>
      </c>
      <c r="N83" s="3437"/>
      <c r="O83" s="34" t="s">
        <v>1537</v>
      </c>
      <c r="Q83" s="8"/>
      <c r="R83" s="8"/>
      <c r="S83" s="8"/>
      <c r="T83" s="518"/>
      <c r="U83" s="347"/>
      <c r="V83" s="347"/>
    </row>
    <row r="84" spans="1:22" ht="6.95" customHeight="1" thickBot="1">
      <c r="A84" s="1018"/>
      <c r="B84" s="639"/>
      <c r="C84" s="756"/>
      <c r="D84" s="756"/>
      <c r="E84" s="756"/>
      <c r="F84" s="756"/>
      <c r="G84" s="756"/>
      <c r="H84" s="756"/>
      <c r="I84" s="756"/>
      <c r="J84" s="756"/>
      <c r="K84" s="1186"/>
      <c r="L84" s="854"/>
      <c r="M84" s="754"/>
      <c r="N84" s="754"/>
      <c r="O84" s="754"/>
      <c r="P84" s="754"/>
      <c r="Q84" s="754"/>
      <c r="R84" s="754"/>
      <c r="S84" s="754"/>
      <c r="T84" s="874"/>
    </row>
    <row r="85" spans="1:22" ht="18" customHeight="1">
      <c r="U85" s="347"/>
      <c r="V85" s="347"/>
    </row>
    <row r="86" spans="1:22" ht="18" customHeight="1">
      <c r="O86" s="520"/>
      <c r="U86" s="347"/>
      <c r="V86" s="347"/>
    </row>
    <row r="87" spans="1:22" ht="18" customHeight="1">
      <c r="N87" s="520"/>
      <c r="O87" s="520"/>
      <c r="U87" s="347"/>
      <c r="V87" s="347"/>
    </row>
    <row r="88" spans="1:22" ht="35.1" customHeight="1">
      <c r="U88" s="53"/>
      <c r="V88" s="1"/>
    </row>
    <row r="89" spans="1:22" ht="35.1" customHeight="1">
      <c r="U89" s="53"/>
      <c r="V89" s="1"/>
    </row>
    <row r="90" spans="1:22" ht="35.1" customHeight="1">
      <c r="U90" s="347"/>
      <c r="V90" s="1"/>
    </row>
  </sheetData>
  <sheetProtection sheet="1" objects="1" scenarios="1"/>
  <mergeCells count="109">
    <mergeCell ref="C40:D40"/>
    <mergeCell ref="F40:G40"/>
    <mergeCell ref="J40:K40"/>
    <mergeCell ref="J38:K38"/>
    <mergeCell ref="L30:M30"/>
    <mergeCell ref="G32:H32"/>
    <mergeCell ref="K32:L32"/>
    <mergeCell ref="C42:D42"/>
    <mergeCell ref="W10:AK11"/>
    <mergeCell ref="B30:K30"/>
    <mergeCell ref="C32:D32"/>
    <mergeCell ref="AE8:AF8"/>
    <mergeCell ref="Z8:AA8"/>
    <mergeCell ref="AA21:AB21"/>
    <mergeCell ref="AF17:AG17"/>
    <mergeCell ref="AF13:AG13"/>
    <mergeCell ref="W13:X13"/>
    <mergeCell ref="Q28:R28"/>
    <mergeCell ref="Q26:R26"/>
    <mergeCell ref="B22:T22"/>
    <mergeCell ref="C24:D24"/>
    <mergeCell ref="H24:I24"/>
    <mergeCell ref="M24:N24"/>
    <mergeCell ref="B25:M25"/>
    <mergeCell ref="B23:K23"/>
    <mergeCell ref="K26:L26"/>
    <mergeCell ref="E28:F28"/>
    <mergeCell ref="K28:L28"/>
    <mergeCell ref="F58:G58"/>
    <mergeCell ref="J34:K34"/>
    <mergeCell ref="S79:S80"/>
    <mergeCell ref="I42:J42"/>
    <mergeCell ref="H58:I58"/>
    <mergeCell ref="L61:M61"/>
    <mergeCell ref="I32:J32"/>
    <mergeCell ref="J36:K36"/>
    <mergeCell ref="E32:F32"/>
    <mergeCell ref="F42:G42"/>
    <mergeCell ref="G70:H70"/>
    <mergeCell ref="L70:M70"/>
    <mergeCell ref="Q47:S51"/>
    <mergeCell ref="E49:F49"/>
    <mergeCell ref="G49:H49"/>
    <mergeCell ref="I49:J49"/>
    <mergeCell ref="K49:L49"/>
    <mergeCell ref="N49:O49"/>
    <mergeCell ref="I47:J47"/>
    <mergeCell ref="M44:N44"/>
    <mergeCell ref="B61:C61"/>
    <mergeCell ref="H61:I61"/>
    <mergeCell ref="B44:C44"/>
    <mergeCell ref="E44:F44"/>
    <mergeCell ref="H44:I44"/>
    <mergeCell ref="K44:L44"/>
    <mergeCell ref="B70:E70"/>
    <mergeCell ref="R79:R80"/>
    <mergeCell ref="Q66:R66"/>
    <mergeCell ref="L66:M66"/>
    <mergeCell ref="O66:P66"/>
    <mergeCell ref="G65:H65"/>
    <mergeCell ref="B68:D68"/>
    <mergeCell ref="J68:K68"/>
    <mergeCell ref="E68:F68"/>
    <mergeCell ref="B67:D67"/>
    <mergeCell ref="B58:C58"/>
    <mergeCell ref="J58:K58"/>
    <mergeCell ref="C49:D49"/>
    <mergeCell ref="H51:I51"/>
    <mergeCell ref="A72:D72"/>
    <mergeCell ref="E61:G61"/>
    <mergeCell ref="B69:N69"/>
    <mergeCell ref="E67:F67"/>
    <mergeCell ref="A1:T1"/>
    <mergeCell ref="I8:J8"/>
    <mergeCell ref="B2:K2"/>
    <mergeCell ref="L2:M2"/>
    <mergeCell ref="N2:O2"/>
    <mergeCell ref="I6:J6"/>
    <mergeCell ref="I10:J10"/>
    <mergeCell ref="A21:T21"/>
    <mergeCell ref="I19:J19"/>
    <mergeCell ref="F13:J13"/>
    <mergeCell ref="O13:S13"/>
    <mergeCell ref="I15:J15"/>
    <mergeCell ref="N15:T19"/>
    <mergeCell ref="I17:J17"/>
    <mergeCell ref="A4:T4"/>
    <mergeCell ref="O6:S6"/>
    <mergeCell ref="Q10:R10"/>
    <mergeCell ref="B83:C83"/>
    <mergeCell ref="D83:E83"/>
    <mergeCell ref="F83:G83"/>
    <mergeCell ref="H83:I83"/>
    <mergeCell ref="M83:N83"/>
    <mergeCell ref="J83:K83"/>
    <mergeCell ref="D80:E80"/>
    <mergeCell ref="H80:I80"/>
    <mergeCell ref="H76:I76"/>
    <mergeCell ref="J80:K80"/>
    <mergeCell ref="F80:G80"/>
    <mergeCell ref="M81:N81"/>
    <mergeCell ref="B80:C80"/>
    <mergeCell ref="B76:C76"/>
    <mergeCell ref="F76:G76"/>
    <mergeCell ref="N76:P76"/>
    <mergeCell ref="N78:P78"/>
    <mergeCell ref="M77:N77"/>
    <mergeCell ref="J76:K76"/>
    <mergeCell ref="O79:P80"/>
  </mergeCells>
  <dataValidations count="3">
    <dataValidation allowBlank="1" showInputMessage="1" sqref="B44:C44" xr:uid="{00000000-0002-0000-1B00-000000000000}"/>
    <dataValidation type="list" allowBlank="1" showInputMessage="1" showErrorMessage="1" sqref="H35" xr:uid="{00000000-0002-0000-1B00-000001000000}">
      <formula1>$AK$36:$AK$38</formula1>
    </dataValidation>
    <dataValidation type="whole" allowBlank="1" showInputMessage="1" showErrorMessage="1" error="Must be between Min and Max" sqref="L30:M30" xr:uid="{00000000-0002-0000-1B00-000002000000}">
      <formula1>K26-0.5</formula1>
      <formula2>K28</formula2>
    </dataValidation>
  </dataValidations>
  <printOptions horizontalCentered="1"/>
  <pageMargins left="0.25" right="0.25" top="0.5" bottom="0.5" header="0.3" footer="0.3"/>
  <pageSetup scale="89" fitToHeight="0" orientation="portrait" blackAndWhite="1" r:id="rId1"/>
  <rowBreaks count="1" manualBreakCount="1">
    <brk id="52" max="1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Tank Use" prompt="What will the pump tank be used for?" xr:uid="{C9DDB364-F7E1-4C78-B657-0F05FC7B6164}">
          <x14:formula1>
            <xm:f>'Drop-Down Lists'!$AV$2:$AV$5</xm:f>
          </x14:formula1>
          <xm:sqref>O6:S6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tabColor rgb="FFFFFF00"/>
    <pageSetUpPr fitToPage="1"/>
  </sheetPr>
  <dimension ref="A1:T68"/>
  <sheetViews>
    <sheetView showGridLines="0" view="pageBreakPreview" zoomScaleNormal="100" zoomScaleSheetLayoutView="100" workbookViewId="0">
      <selection activeCell="E4" sqref="E4:J4"/>
    </sheetView>
  </sheetViews>
  <sheetFormatPr defaultColWidth="9.140625" defaultRowHeight="15"/>
  <cols>
    <col min="1" max="1" width="4" style="677" customWidth="1"/>
    <col min="2" max="2" width="9" style="677" customWidth="1"/>
    <col min="3" max="7" width="7.42578125" style="677" customWidth="1"/>
    <col min="8" max="8" width="9" style="677" customWidth="1"/>
    <col min="9" max="10" width="7.42578125" style="677" customWidth="1"/>
    <col min="11" max="11" width="4.85546875" style="677" customWidth="1"/>
    <col min="12" max="20" width="7.42578125" style="677" customWidth="1"/>
    <col min="21" max="16384" width="9.140625" style="677"/>
  </cols>
  <sheetData>
    <row r="1" spans="1:20" ht="54.95" customHeight="1" thickBot="1">
      <c r="A1" s="2183"/>
      <c r="B1" s="2183"/>
      <c r="C1" s="2183"/>
      <c r="D1" s="2183"/>
      <c r="E1" s="3669" t="s">
        <v>1993</v>
      </c>
      <c r="F1" s="3669"/>
      <c r="G1" s="3669"/>
      <c r="H1" s="3669"/>
      <c r="I1" s="3669"/>
      <c r="J1" s="3669"/>
      <c r="K1" s="3669"/>
      <c r="L1" s="3669"/>
      <c r="M1" s="3669"/>
      <c r="N1" s="3669"/>
      <c r="O1" s="3669"/>
      <c r="P1" s="2183"/>
      <c r="Q1" s="2183"/>
      <c r="R1" s="2183"/>
      <c r="S1" s="2183"/>
      <c r="T1" s="2183"/>
    </row>
    <row r="2" spans="1:20" ht="18">
      <c r="A2" s="2349" t="s">
        <v>1994</v>
      </c>
      <c r="B2" s="2350"/>
      <c r="C2" s="2350"/>
      <c r="D2" s="2350"/>
      <c r="E2" s="2350"/>
      <c r="F2" s="2350"/>
      <c r="G2" s="2350"/>
      <c r="H2" s="3459" t="s">
        <v>1164</v>
      </c>
      <c r="I2" s="3459"/>
      <c r="J2" s="3460" t="str">
        <f>IF(ISBLANK('Design Details &amp; Summary'!S3)," ",'Design Details &amp; Summary'!S3)</f>
        <v xml:space="preserve"> </v>
      </c>
      <c r="K2" s="3460"/>
      <c r="L2" s="1146"/>
      <c r="M2" s="1146"/>
      <c r="N2" s="1146"/>
      <c r="O2" s="1146"/>
      <c r="P2" s="1146"/>
      <c r="Q2" s="1146"/>
      <c r="R2" s="1146"/>
      <c r="S2" s="3675" t="str">
        <f>'Drop-Down Lists'!A2</f>
        <v>v 05.01.2026</v>
      </c>
      <c r="T2" s="3676"/>
    </row>
    <row r="3" spans="1:20" ht="6" customHeight="1">
      <c r="A3" s="2351"/>
      <c r="B3" s="2352"/>
      <c r="C3" s="2352"/>
      <c r="D3" s="2352"/>
      <c r="E3" s="2352"/>
      <c r="F3" s="2352"/>
      <c r="G3" s="2352"/>
      <c r="H3" s="2352"/>
      <c r="I3" s="2352"/>
      <c r="J3" s="2352"/>
      <c r="K3" s="2352"/>
      <c r="L3" s="2352"/>
      <c r="M3" s="2352"/>
      <c r="N3" s="2352"/>
      <c r="O3" s="2352"/>
      <c r="P3" s="2352"/>
      <c r="Q3" s="2352"/>
      <c r="R3" s="2352"/>
      <c r="S3" s="2352"/>
      <c r="T3" s="2353"/>
    </row>
    <row r="4" spans="1:20" ht="21.95" customHeight="1">
      <c r="A4" s="2354" t="s">
        <v>1011</v>
      </c>
      <c r="B4" s="2184" t="s">
        <v>1840</v>
      </c>
      <c r="C4" s="2184"/>
      <c r="D4" s="2184"/>
      <c r="E4" s="3670"/>
      <c r="F4" s="3671"/>
      <c r="G4" s="3671"/>
      <c r="H4" s="3671"/>
      <c r="I4" s="3671"/>
      <c r="J4" s="3672"/>
      <c r="K4" s="2184"/>
      <c r="L4" s="2184" t="s">
        <v>1841</v>
      </c>
      <c r="M4" s="2184"/>
      <c r="N4" s="3670"/>
      <c r="O4" s="3671"/>
      <c r="P4" s="3671"/>
      <c r="Q4" s="3671"/>
      <c r="R4" s="3671"/>
      <c r="S4" s="3672"/>
      <c r="T4" s="2185"/>
    </row>
    <row r="5" spans="1:20" ht="6" customHeight="1">
      <c r="A5" s="2219"/>
      <c r="B5" s="2183"/>
      <c r="C5" s="2183"/>
      <c r="D5" s="2183"/>
      <c r="E5" s="2183"/>
      <c r="F5" s="2183"/>
      <c r="G5" s="2183"/>
      <c r="H5" s="2183"/>
      <c r="I5" s="2183"/>
      <c r="J5" s="2183"/>
      <c r="K5" s="2183"/>
      <c r="L5" s="2183"/>
      <c r="M5" s="2183"/>
      <c r="N5" s="2183"/>
      <c r="O5" s="2183"/>
      <c r="P5" s="2183"/>
      <c r="Q5" s="2183"/>
      <c r="R5" s="2183"/>
      <c r="S5" s="2183"/>
      <c r="T5" s="2185"/>
    </row>
    <row r="6" spans="1:20" ht="21.95" customHeight="1">
      <c r="A6" s="2219" t="s">
        <v>1019</v>
      </c>
      <c r="B6" s="2183" t="s">
        <v>1995</v>
      </c>
      <c r="C6" s="2183"/>
      <c r="D6" s="2183"/>
      <c r="E6" s="2183"/>
      <c r="F6" s="2183"/>
      <c r="G6" s="2183"/>
      <c r="H6" s="2183"/>
      <c r="I6" s="2183"/>
      <c r="J6" s="2183"/>
      <c r="K6" s="2183"/>
      <c r="L6" s="359" t="s">
        <v>1911</v>
      </c>
      <c r="M6" s="16"/>
      <c r="N6" s="3591"/>
      <c r="O6" s="3592"/>
      <c r="P6" s="3592"/>
      <c r="Q6" s="3592"/>
      <c r="R6" s="3593"/>
      <c r="S6" s="2183"/>
      <c r="T6" s="2185"/>
    </row>
    <row r="7" spans="1:20" ht="6" customHeight="1">
      <c r="A7" s="2219"/>
      <c r="B7" s="2183"/>
      <c r="C7" s="2183"/>
      <c r="D7" s="2183"/>
      <c r="E7" s="2183"/>
      <c r="F7" s="2183"/>
      <c r="G7" s="2183"/>
      <c r="H7" s="2183"/>
      <c r="I7" s="2183"/>
      <c r="J7" s="2183"/>
      <c r="K7" s="2183"/>
      <c r="L7" s="2183"/>
      <c r="M7" s="2183"/>
      <c r="N7" s="2183"/>
      <c r="O7" s="2183"/>
      <c r="P7" s="2183"/>
      <c r="Q7" s="2183"/>
      <c r="R7" s="2183"/>
      <c r="S7" s="2183"/>
      <c r="T7" s="2185"/>
    </row>
    <row r="8" spans="1:20" ht="24" customHeight="1">
      <c r="A8" s="2219"/>
      <c r="B8" s="2183" t="s">
        <v>1996</v>
      </c>
      <c r="C8" s="2355"/>
      <c r="D8" s="2183" t="s">
        <v>629</v>
      </c>
      <c r="E8" s="2213" t="s">
        <v>1997</v>
      </c>
      <c r="F8" s="2355"/>
      <c r="G8" s="2183" t="s">
        <v>629</v>
      </c>
      <c r="H8" s="2183" t="s">
        <v>1998</v>
      </c>
      <c r="I8" s="2355"/>
      <c r="J8" s="2183" t="s">
        <v>629</v>
      </c>
      <c r="K8" s="3673" t="s">
        <v>1999</v>
      </c>
      <c r="L8" s="3673"/>
      <c r="M8" s="3674"/>
      <c r="N8" s="2355"/>
      <c r="O8" s="2183" t="s">
        <v>629</v>
      </c>
      <c r="P8" s="584"/>
      <c r="Q8" s="584"/>
      <c r="R8" s="584"/>
      <c r="S8" s="584"/>
      <c r="T8" s="2185"/>
    </row>
    <row r="9" spans="1:20" ht="6" customHeight="1">
      <c r="A9" s="2219"/>
      <c r="B9" s="2183"/>
      <c r="C9" s="2183"/>
      <c r="D9" s="2183"/>
      <c r="E9" s="2183"/>
      <c r="F9" s="2183"/>
      <c r="G9" s="2183"/>
      <c r="H9" s="2183"/>
      <c r="I9" s="2183"/>
      <c r="J9" s="2183"/>
      <c r="K9" s="2356"/>
      <c r="L9" s="2356"/>
      <c r="M9" s="2356"/>
      <c r="N9" s="2183"/>
      <c r="O9" s="2183"/>
      <c r="P9" s="2183"/>
      <c r="Q9" s="2183"/>
      <c r="R9" s="2183"/>
      <c r="S9" s="2183"/>
      <c r="T9" s="2185"/>
    </row>
    <row r="10" spans="1:20" ht="24" customHeight="1">
      <c r="A10" s="2219"/>
      <c r="B10" s="2183" t="s">
        <v>1996</v>
      </c>
      <c r="C10" s="2357" t="str">
        <f>IF(ISBLANK(C8),"",C8/12)</f>
        <v/>
      </c>
      <c r="D10" s="2183" t="s">
        <v>609</v>
      </c>
      <c r="E10" s="2213" t="s">
        <v>1997</v>
      </c>
      <c r="F10" s="2357" t="str">
        <f>IF(ISBLANK(C8),"",F8/12)</f>
        <v/>
      </c>
      <c r="G10" s="2183" t="s">
        <v>609</v>
      </c>
      <c r="H10" s="2183" t="s">
        <v>1998</v>
      </c>
      <c r="I10" s="2357" t="str">
        <f>IF(ISBLANK(I8),"",I8/12)</f>
        <v/>
      </c>
      <c r="J10" s="2183" t="s">
        <v>609</v>
      </c>
      <c r="K10" s="3673" t="s">
        <v>2000</v>
      </c>
      <c r="L10" s="3673"/>
      <c r="M10" s="3674"/>
      <c r="N10" s="2358" t="str">
        <f>IF(ISBLANK(N8),"",N8/2)</f>
        <v/>
      </c>
      <c r="O10" s="2183" t="s">
        <v>629</v>
      </c>
      <c r="P10" s="584"/>
      <c r="Q10" s="584"/>
      <c r="R10" s="2359"/>
      <c r="S10" s="2183"/>
      <c r="T10" s="2185"/>
    </row>
    <row r="11" spans="1:20" ht="6" customHeight="1">
      <c r="A11" s="2219"/>
      <c r="B11" s="2183"/>
      <c r="C11" s="2183"/>
      <c r="D11" s="2183"/>
      <c r="E11" s="2183"/>
      <c r="F11" s="2183"/>
      <c r="G11" s="2183"/>
      <c r="H11" s="2183"/>
      <c r="I11" s="2183"/>
      <c r="J11" s="2183"/>
      <c r="K11" s="2183"/>
      <c r="L11" s="2183"/>
      <c r="M11" s="2183"/>
      <c r="N11" s="2183"/>
      <c r="O11" s="2183"/>
      <c r="P11" s="2183"/>
      <c r="Q11" s="2183"/>
      <c r="R11" s="2183"/>
      <c r="S11" s="2183"/>
      <c r="T11" s="2185"/>
    </row>
    <row r="12" spans="1:20" ht="18">
      <c r="A12" s="3645" t="s">
        <v>2001</v>
      </c>
      <c r="B12" s="3646"/>
      <c r="C12" s="3646"/>
      <c r="D12" s="3646"/>
      <c r="E12" s="3646"/>
      <c r="F12" s="3646"/>
      <c r="G12" s="3646"/>
      <c r="H12" s="3646"/>
      <c r="I12" s="3646"/>
      <c r="J12" s="3646"/>
      <c r="K12" s="3646"/>
      <c r="L12" s="3646"/>
      <c r="M12" s="3646"/>
      <c r="N12" s="3646"/>
      <c r="O12" s="3646"/>
      <c r="P12" s="3646"/>
      <c r="Q12" s="3646"/>
      <c r="R12" s="3646"/>
      <c r="S12" s="3646"/>
      <c r="T12" s="3678"/>
    </row>
    <row r="13" spans="1:20" ht="18">
      <c r="A13" s="3679" t="s">
        <v>2002</v>
      </c>
      <c r="B13" s="3680"/>
      <c r="C13" s="3680"/>
      <c r="D13" s="3680"/>
      <c r="E13" s="3680"/>
      <c r="F13" s="3680"/>
      <c r="G13" s="3680"/>
      <c r="H13" s="3680"/>
      <c r="I13" s="3680"/>
      <c r="J13" s="3650"/>
      <c r="K13" s="3681" t="s">
        <v>2003</v>
      </c>
      <c r="L13" s="3680"/>
      <c r="M13" s="3680"/>
      <c r="N13" s="3680"/>
      <c r="O13" s="3680"/>
      <c r="P13" s="3680"/>
      <c r="Q13" s="3680"/>
      <c r="R13" s="3680"/>
      <c r="S13" s="3680"/>
      <c r="T13" s="3682"/>
    </row>
    <row r="14" spans="1:20" ht="6" customHeight="1">
      <c r="A14" s="2351"/>
      <c r="B14" s="2352"/>
      <c r="C14" s="2352"/>
      <c r="D14" s="2352"/>
      <c r="E14" s="2352"/>
      <c r="F14" s="2352"/>
      <c r="G14" s="2352"/>
      <c r="H14" s="2352"/>
      <c r="I14" s="2352"/>
      <c r="J14" s="2360"/>
      <c r="K14" s="2361"/>
      <c r="L14" s="2352"/>
      <c r="M14" s="2352"/>
      <c r="N14" s="2352"/>
      <c r="O14" s="2352"/>
      <c r="P14" s="2352"/>
      <c r="Q14" s="2352"/>
      <c r="R14" s="2352"/>
      <c r="S14" s="2352"/>
      <c r="T14" s="2353"/>
    </row>
    <row r="15" spans="1:20" ht="24.6" customHeight="1">
      <c r="A15" s="2219" t="s">
        <v>1011</v>
      </c>
      <c r="B15" s="2183" t="s">
        <v>2004</v>
      </c>
      <c r="C15" s="2183"/>
      <c r="D15" s="2183"/>
      <c r="E15" s="2183"/>
      <c r="F15" s="2183"/>
      <c r="G15" s="2183"/>
      <c r="H15" s="2183"/>
      <c r="I15" s="2183"/>
      <c r="J15" s="1533"/>
      <c r="K15" s="2324" t="s">
        <v>1011</v>
      </c>
      <c r="L15" s="2183" t="s">
        <v>2005</v>
      </c>
      <c r="M15" s="2183"/>
      <c r="N15" s="2183"/>
      <c r="O15" s="2183"/>
      <c r="P15" s="2183"/>
      <c r="Q15" s="2183"/>
      <c r="R15" s="2183"/>
      <c r="S15" s="2183"/>
      <c r="T15" s="2185"/>
    </row>
    <row r="16" spans="1:20" ht="6" customHeight="1">
      <c r="A16" s="2219"/>
      <c r="B16" s="2183"/>
      <c r="C16" s="2183"/>
      <c r="D16" s="2183"/>
      <c r="E16" s="2183"/>
      <c r="F16" s="2183"/>
      <c r="G16" s="2183"/>
      <c r="H16" s="2183"/>
      <c r="I16" s="2183"/>
      <c r="J16" s="1533"/>
      <c r="K16" s="679"/>
      <c r="L16" s="2213"/>
      <c r="M16" s="2183"/>
      <c r="N16" s="2183"/>
      <c r="O16" s="2183"/>
      <c r="P16" s="2183"/>
      <c r="Q16" s="2183"/>
      <c r="R16" s="2183"/>
      <c r="S16" s="2183"/>
      <c r="T16" s="2185"/>
    </row>
    <row r="17" spans="1:20" ht="24" customHeight="1">
      <c r="A17" s="2219"/>
      <c r="B17" s="3647" t="str">
        <f>C10</f>
        <v/>
      </c>
      <c r="C17" s="3650"/>
      <c r="D17" s="2184" t="s">
        <v>1229</v>
      </c>
      <c r="E17" s="3647" t="str">
        <f>F10</f>
        <v/>
      </c>
      <c r="F17" s="3650"/>
      <c r="G17" s="2184" t="s">
        <v>1208</v>
      </c>
      <c r="H17" s="3647" t="str">
        <f>IF(ISBLANK(C8),"",B17*E17)</f>
        <v/>
      </c>
      <c r="I17" s="3648"/>
      <c r="J17" s="1533" t="s">
        <v>1089</v>
      </c>
      <c r="K17" s="679"/>
      <c r="L17" s="3665" t="s">
        <v>2006</v>
      </c>
      <c r="M17" s="3665"/>
      <c r="N17" s="3647" t="str">
        <f>IF(ISBLANK(N8),"",N10/12)</f>
        <v/>
      </c>
      <c r="O17" s="3648"/>
      <c r="P17" s="2184" t="s">
        <v>2007</v>
      </c>
      <c r="Q17" s="3649" t="str">
        <f>IF(ISBLANK(N8),"",3.14*N17^2)</f>
        <v/>
      </c>
      <c r="R17" s="3649"/>
      <c r="S17" s="2183" t="s">
        <v>1089</v>
      </c>
      <c r="T17" s="2364"/>
    </row>
    <row r="18" spans="1:20" ht="6" customHeight="1">
      <c r="A18" s="2219"/>
      <c r="B18" s="2183"/>
      <c r="C18" s="2183"/>
      <c r="D18" s="2183"/>
      <c r="E18" s="2183"/>
      <c r="F18" s="2183"/>
      <c r="G18" s="2183"/>
      <c r="H18" s="2183"/>
      <c r="I18" s="2183"/>
      <c r="J18" s="1533"/>
      <c r="K18" s="679"/>
      <c r="L18" s="2213"/>
      <c r="M18" s="2183"/>
      <c r="N18" s="584"/>
      <c r="O18" s="584"/>
      <c r="P18" s="584"/>
      <c r="Q18" s="2183"/>
      <c r="R18" s="584"/>
      <c r="S18" s="584"/>
      <c r="T18" s="2185"/>
    </row>
    <row r="19" spans="1:20" ht="15" customHeight="1">
      <c r="A19" s="2219" t="s">
        <v>1019</v>
      </c>
      <c r="B19" s="2183" t="s">
        <v>2008</v>
      </c>
      <c r="C19" s="2183"/>
      <c r="D19" s="2183"/>
      <c r="E19" s="2183"/>
      <c r="F19" s="2183"/>
      <c r="G19" s="2183"/>
      <c r="H19" s="2183"/>
      <c r="I19" s="2183"/>
      <c r="J19" s="1533"/>
      <c r="K19" s="2324" t="s">
        <v>1019</v>
      </c>
      <c r="L19" s="2183" t="s">
        <v>2009</v>
      </c>
      <c r="M19" s="2183"/>
      <c r="N19" s="2183"/>
      <c r="O19" s="2183"/>
      <c r="P19" s="2183"/>
      <c r="Q19" s="2183"/>
      <c r="R19" s="2183"/>
      <c r="S19" s="2183"/>
      <c r="T19" s="2185"/>
    </row>
    <row r="20" spans="1:20" ht="6" customHeight="1">
      <c r="A20" s="2219"/>
      <c r="B20" s="2183"/>
      <c r="C20" s="2183"/>
      <c r="D20" s="2183"/>
      <c r="E20" s="2183"/>
      <c r="F20" s="2183"/>
      <c r="G20" s="2183"/>
      <c r="H20" s="2183"/>
      <c r="I20" s="2183"/>
      <c r="J20" s="1533"/>
      <c r="K20" s="679"/>
      <c r="L20" s="2183"/>
      <c r="M20" s="2183"/>
      <c r="N20" s="2183"/>
      <c r="O20" s="2183"/>
      <c r="P20" s="2183"/>
      <c r="Q20" s="2183"/>
      <c r="R20" s="2183"/>
      <c r="S20" s="2183"/>
      <c r="T20" s="2185"/>
    </row>
    <row r="21" spans="1:20" ht="24" customHeight="1">
      <c r="A21" s="2219"/>
      <c r="B21" s="3647" t="str">
        <f>H17</f>
        <v/>
      </c>
      <c r="C21" s="3648"/>
      <c r="D21" s="2184" t="s">
        <v>2010</v>
      </c>
      <c r="E21" s="3647" t="str">
        <f>IF(ISBLANK(C8),"",I10)</f>
        <v/>
      </c>
      <c r="F21" s="3650"/>
      <c r="G21" s="2184" t="s">
        <v>1208</v>
      </c>
      <c r="H21" s="3647" t="str">
        <f>IF(ISBLANK(C8),"",B21*E21)</f>
        <v/>
      </c>
      <c r="I21" s="3648"/>
      <c r="J21" s="1533" t="s">
        <v>1241</v>
      </c>
      <c r="K21" s="679"/>
      <c r="L21" s="3647" t="str">
        <f>Q17</f>
        <v/>
      </c>
      <c r="M21" s="3650"/>
      <c r="N21" s="2184" t="s">
        <v>2010</v>
      </c>
      <c r="O21" s="3647" t="str">
        <f>IF(ISBLANK(N8),"",I10)</f>
        <v/>
      </c>
      <c r="P21" s="3650"/>
      <c r="Q21" s="2184" t="s">
        <v>1443</v>
      </c>
      <c r="R21" s="3651" t="str">
        <f>IF(ISBLANK(N8),"",L21*O21)</f>
        <v/>
      </c>
      <c r="S21" s="3652"/>
      <c r="T21" s="2185" t="s">
        <v>1241</v>
      </c>
    </row>
    <row r="22" spans="1:20" ht="6" customHeight="1">
      <c r="A22" s="2365"/>
      <c r="B22" s="2366"/>
      <c r="C22" s="2366"/>
      <c r="D22" s="2366"/>
      <c r="E22" s="2366"/>
      <c r="F22" s="2366"/>
      <c r="G22" s="2366"/>
      <c r="H22" s="2366"/>
      <c r="I22" s="2366"/>
      <c r="J22" s="2367"/>
      <c r="K22" s="2368"/>
      <c r="L22" s="2366"/>
      <c r="M22" s="2366"/>
      <c r="N22" s="2366"/>
      <c r="O22" s="2366"/>
      <c r="P22" s="2366"/>
      <c r="Q22" s="2366"/>
      <c r="R22" s="2366"/>
      <c r="S22" s="2366"/>
      <c r="T22" s="2369"/>
    </row>
    <row r="23" spans="1:20" s="678" customFormat="1" ht="19.5">
      <c r="A23" s="3645" t="s">
        <v>2011</v>
      </c>
      <c r="B23" s="3646"/>
      <c r="C23" s="3646"/>
      <c r="D23" s="3646"/>
      <c r="E23" s="3646"/>
      <c r="F23" s="3646"/>
      <c r="G23" s="3646"/>
      <c r="H23" s="3646"/>
      <c r="I23" s="3646"/>
      <c r="J23" s="3646"/>
      <c r="K23" s="2370"/>
      <c r="L23" s="2370"/>
      <c r="M23" s="2370"/>
      <c r="N23" s="2370"/>
      <c r="O23" s="2370"/>
      <c r="P23" s="2370"/>
      <c r="Q23" s="2370"/>
      <c r="R23" s="2370"/>
      <c r="S23" s="2370"/>
      <c r="T23" s="2371"/>
    </row>
    <row r="24" spans="1:20" ht="6" customHeight="1">
      <c r="A24" s="2219"/>
      <c r="B24" s="2183"/>
      <c r="C24" s="2183"/>
      <c r="D24" s="2183"/>
      <c r="E24" s="2183"/>
      <c r="F24" s="2183"/>
      <c r="G24" s="2183"/>
      <c r="H24" s="2183"/>
      <c r="I24" s="2183"/>
      <c r="J24" s="2183"/>
      <c r="K24" s="2183"/>
      <c r="L24" s="2183"/>
      <c r="M24" s="2183"/>
      <c r="N24" s="2183"/>
      <c r="O24" s="2183"/>
      <c r="P24" s="2183"/>
      <c r="Q24" s="2183"/>
      <c r="R24" s="2183"/>
      <c r="S24" s="2183"/>
      <c r="T24" s="2185"/>
    </row>
    <row r="25" spans="1:20" ht="24" customHeight="1">
      <c r="A25" s="2219"/>
      <c r="B25" s="2183" t="s">
        <v>2012</v>
      </c>
      <c r="C25" s="2183"/>
      <c r="D25" s="2183"/>
      <c r="E25" s="2183"/>
      <c r="F25" s="2183"/>
      <c r="G25" s="584"/>
      <c r="H25" s="3683"/>
      <c r="I25" s="3684"/>
      <c r="J25" s="2183" t="s">
        <v>2013</v>
      </c>
      <c r="K25" s="584"/>
      <c r="L25" s="2183"/>
      <c r="M25" s="584"/>
      <c r="N25" s="2183"/>
      <c r="O25" s="2183"/>
      <c r="P25" s="2183"/>
      <c r="Q25" s="2183"/>
      <c r="R25" s="2183"/>
      <c r="S25" s="2183"/>
      <c r="T25" s="2185"/>
    </row>
    <row r="26" spans="1:20" ht="6" customHeight="1">
      <c r="A26" s="2219"/>
      <c r="B26" s="2183"/>
      <c r="C26" s="2183"/>
      <c r="D26" s="2183"/>
      <c r="E26" s="2183"/>
      <c r="F26" s="2183"/>
      <c r="G26" s="2183"/>
      <c r="H26" s="2183"/>
      <c r="I26" s="2183"/>
      <c r="J26" s="2183"/>
      <c r="K26" s="2183"/>
      <c r="L26" s="2183"/>
      <c r="M26" s="2183"/>
      <c r="N26" s="2183"/>
      <c r="O26" s="2183"/>
      <c r="P26" s="2183"/>
      <c r="Q26" s="2183"/>
      <c r="R26" s="2183"/>
      <c r="S26" s="2183"/>
      <c r="T26" s="2185"/>
    </row>
    <row r="27" spans="1:20" s="678" customFormat="1" ht="19.5">
      <c r="A27" s="2372" t="s">
        <v>2014</v>
      </c>
      <c r="B27" s="2370"/>
      <c r="C27" s="2370"/>
      <c r="D27" s="2370"/>
      <c r="E27" s="2370"/>
      <c r="F27" s="2370"/>
      <c r="G27" s="2370"/>
      <c r="H27" s="2370"/>
      <c r="I27" s="2370"/>
      <c r="J27" s="2370"/>
      <c r="K27" s="2370"/>
      <c r="L27" s="2370"/>
      <c r="M27" s="2370"/>
      <c r="N27" s="2370"/>
      <c r="O27" s="2370"/>
      <c r="P27" s="2370"/>
      <c r="Q27" s="2370"/>
      <c r="R27" s="2370"/>
      <c r="S27" s="2370"/>
      <c r="T27" s="2371"/>
    </row>
    <row r="28" spans="1:20" ht="6" customHeight="1">
      <c r="A28" s="2219"/>
      <c r="B28" s="2183"/>
      <c r="C28" s="2183"/>
      <c r="D28" s="2183"/>
      <c r="E28" s="2183"/>
      <c r="F28" s="2183"/>
      <c r="G28" s="2183"/>
      <c r="H28" s="2183"/>
      <c r="I28" s="2183"/>
      <c r="J28" s="2183"/>
      <c r="K28" s="2183"/>
      <c r="L28" s="584"/>
      <c r="M28" s="584"/>
      <c r="N28" s="584"/>
      <c r="O28" s="584"/>
      <c r="P28" s="584"/>
      <c r="Q28" s="2183"/>
      <c r="R28" s="2183"/>
      <c r="S28" s="2183"/>
      <c r="T28" s="2185"/>
    </row>
    <row r="29" spans="1:20" ht="6" customHeight="1">
      <c r="A29" s="2219"/>
      <c r="B29" s="2183"/>
      <c r="C29" s="2183"/>
      <c r="D29" s="2183"/>
      <c r="E29" s="2183"/>
      <c r="F29" s="2183"/>
      <c r="G29" s="2183"/>
      <c r="H29" s="2183"/>
      <c r="I29" s="2183"/>
      <c r="J29" s="2183"/>
      <c r="K29" s="2183"/>
      <c r="L29" s="584"/>
      <c r="M29" s="584"/>
      <c r="N29" s="584"/>
      <c r="O29" s="584"/>
      <c r="P29" s="584"/>
      <c r="Q29" s="584"/>
      <c r="R29" s="584"/>
      <c r="S29" s="2183"/>
      <c r="T29" s="2185"/>
    </row>
    <row r="30" spans="1:20" ht="24" customHeight="1">
      <c r="A30" s="2219" t="s">
        <v>1011</v>
      </c>
      <c r="B30" s="2183" t="s">
        <v>2015</v>
      </c>
      <c r="C30" s="2183"/>
      <c r="D30" s="2183"/>
      <c r="E30" s="584"/>
      <c r="F30" s="2355"/>
      <c r="G30" s="2183" t="s">
        <v>629</v>
      </c>
      <c r="H30" s="2357" t="str">
        <f>IF(ISBLANK(F30),"",F30/12)</f>
        <v/>
      </c>
      <c r="I30" s="2183" t="s">
        <v>609</v>
      </c>
      <c r="J30" s="584"/>
      <c r="K30" s="2183"/>
      <c r="L30" s="584"/>
      <c r="M30" s="584"/>
      <c r="N30" s="584"/>
      <c r="O30" s="3657" t="s">
        <v>2016</v>
      </c>
      <c r="P30" s="3657"/>
      <c r="Q30" s="3656" t="s">
        <v>2017</v>
      </c>
      <c r="R30" s="3656"/>
      <c r="S30" s="3656"/>
      <c r="T30" s="2364"/>
    </row>
    <row r="31" spans="1:20" ht="6" customHeight="1">
      <c r="A31" s="2219"/>
      <c r="B31" s="2183"/>
      <c r="C31" s="2183"/>
      <c r="D31" s="2183"/>
      <c r="E31" s="2183"/>
      <c r="F31" s="2183"/>
      <c r="G31" s="2183"/>
      <c r="H31" s="2183"/>
      <c r="I31" s="2183"/>
      <c r="J31" s="2183"/>
      <c r="K31" s="2183"/>
      <c r="L31" s="584"/>
      <c r="M31" s="584"/>
      <c r="N31" s="584"/>
      <c r="O31" s="3657"/>
      <c r="P31" s="3657"/>
      <c r="Q31" s="3656"/>
      <c r="R31" s="3656"/>
      <c r="S31" s="3656"/>
      <c r="T31" s="2364"/>
    </row>
    <row r="32" spans="1:20" ht="24" customHeight="1">
      <c r="A32" s="2219" t="s">
        <v>1019</v>
      </c>
      <c r="B32" s="2183" t="s">
        <v>2018</v>
      </c>
      <c r="C32" s="2183"/>
      <c r="D32" s="2183"/>
      <c r="E32" s="2183"/>
      <c r="F32" s="584"/>
      <c r="G32" s="584"/>
      <c r="H32" s="2355"/>
      <c r="I32" s="2183" t="s">
        <v>2019</v>
      </c>
      <c r="J32" s="2183"/>
      <c r="K32" s="2183"/>
      <c r="L32" s="584"/>
      <c r="M32" s="584"/>
      <c r="N32" s="584"/>
      <c r="O32" s="3657"/>
      <c r="P32" s="3657"/>
      <c r="Q32" s="3656"/>
      <c r="R32" s="3656"/>
      <c r="S32" s="3656"/>
      <c r="T32" s="2364"/>
    </row>
    <row r="33" spans="1:20" ht="6" customHeight="1">
      <c r="A33" s="2219"/>
      <c r="B33" s="2183"/>
      <c r="C33" s="2183"/>
      <c r="D33" s="2183"/>
      <c r="E33" s="2183"/>
      <c r="F33" s="2183"/>
      <c r="G33" s="2183"/>
      <c r="H33" s="2183"/>
      <c r="I33" s="2183"/>
      <c r="J33" s="2183"/>
      <c r="K33" s="2183"/>
      <c r="L33" s="584"/>
      <c r="M33" s="584"/>
      <c r="N33" s="584"/>
      <c r="O33" s="3657"/>
      <c r="P33" s="3657"/>
      <c r="Q33" s="3656"/>
      <c r="R33" s="3656"/>
      <c r="S33" s="3656"/>
      <c r="T33" s="2364"/>
    </row>
    <row r="34" spans="1:20" ht="15" customHeight="1">
      <c r="A34" s="2219" t="s">
        <v>1168</v>
      </c>
      <c r="B34" s="2183" t="s">
        <v>2020</v>
      </c>
      <c r="C34" s="2183"/>
      <c r="D34" s="2183"/>
      <c r="E34" s="2183"/>
      <c r="F34" s="2183"/>
      <c r="G34" s="2183"/>
      <c r="H34" s="2183"/>
      <c r="I34" s="2183"/>
      <c r="J34" s="2183"/>
      <c r="K34" s="2183"/>
      <c r="L34" s="584"/>
      <c r="M34" s="584"/>
      <c r="N34" s="584"/>
      <c r="O34" s="3658" t="s">
        <v>2021</v>
      </c>
      <c r="P34" s="3658"/>
      <c r="Q34" s="3658">
        <v>120</v>
      </c>
      <c r="R34" s="3658"/>
      <c r="S34" s="3658"/>
      <c r="T34" s="2364"/>
    </row>
    <row r="35" spans="1:20" ht="6" customHeight="1">
      <c r="A35" s="2219"/>
      <c r="B35" s="2183"/>
      <c r="C35" s="2183"/>
      <c r="D35" s="2183"/>
      <c r="E35" s="2183"/>
      <c r="F35" s="2183"/>
      <c r="G35" s="2183"/>
      <c r="H35" s="2183"/>
      <c r="I35" s="2183"/>
      <c r="J35" s="2183"/>
      <c r="K35" s="2183"/>
      <c r="L35" s="584"/>
      <c r="M35" s="584"/>
      <c r="N35" s="584"/>
      <c r="O35" s="3667"/>
      <c r="P35" s="3667"/>
      <c r="Q35" s="3658"/>
      <c r="R35" s="3658"/>
      <c r="S35" s="3658"/>
      <c r="T35" s="2364"/>
    </row>
    <row r="36" spans="1:20" ht="24" customHeight="1">
      <c r="A36" s="2219"/>
      <c r="B36" s="2357" t="str">
        <f>H30</f>
        <v/>
      </c>
      <c r="C36" s="2184" t="s">
        <v>1229</v>
      </c>
      <c r="D36" s="3647" t="str">
        <f>IF(ISBLANK(F30),"",MAX(H17,Q17))</f>
        <v/>
      </c>
      <c r="E36" s="3648"/>
      <c r="F36" s="2209" t="s">
        <v>2022</v>
      </c>
      <c r="G36" s="2362" t="str">
        <f>IF(ISBLANK(F30),"",B36*D36)</f>
        <v/>
      </c>
      <c r="H36" s="2363"/>
      <c r="I36" s="2183" t="s">
        <v>1241</v>
      </c>
      <c r="J36" s="2183"/>
      <c r="K36" s="2183"/>
      <c r="L36" s="584"/>
      <c r="M36" s="584"/>
      <c r="N36" s="584"/>
      <c r="O36" s="3659" t="s">
        <v>2023</v>
      </c>
      <c r="P36" s="3659"/>
      <c r="Q36" s="3659">
        <v>100</v>
      </c>
      <c r="R36" s="3659"/>
      <c r="S36" s="3659"/>
      <c r="T36" s="2364"/>
    </row>
    <row r="37" spans="1:20" ht="6" customHeight="1">
      <c r="A37" s="2219"/>
      <c r="B37" s="2183"/>
      <c r="C37" s="2183"/>
      <c r="D37" s="2183"/>
      <c r="E37" s="2183"/>
      <c r="F37" s="2183"/>
      <c r="G37" s="2183"/>
      <c r="H37" s="2183"/>
      <c r="I37" s="2183"/>
      <c r="J37" s="2183"/>
      <c r="K37" s="2183"/>
      <c r="L37" s="584"/>
      <c r="M37" s="584"/>
      <c r="N37" s="584"/>
      <c r="O37" s="3659"/>
      <c r="P37" s="3659"/>
      <c r="Q37" s="3659"/>
      <c r="R37" s="3659"/>
      <c r="S37" s="3659"/>
      <c r="T37" s="2364"/>
    </row>
    <row r="38" spans="1:20" ht="18.75" customHeight="1">
      <c r="A38" s="1209" t="s">
        <v>1172</v>
      </c>
      <c r="B38" s="3688" t="s">
        <v>2024</v>
      </c>
      <c r="C38" s="3688"/>
      <c r="D38" s="3688"/>
      <c r="E38" s="3688"/>
      <c r="F38" s="3688"/>
      <c r="G38" s="3688"/>
      <c r="H38" s="3688"/>
      <c r="I38" s="3688"/>
      <c r="J38" s="3688"/>
      <c r="K38" s="3688"/>
      <c r="L38" s="3688"/>
      <c r="M38" s="3688"/>
      <c r="N38" s="3689"/>
      <c r="O38" s="3658" t="s">
        <v>389</v>
      </c>
      <c r="P38" s="3658"/>
      <c r="Q38" s="3658">
        <v>90</v>
      </c>
      <c r="R38" s="3658"/>
      <c r="S38" s="3658"/>
      <c r="T38" s="2364"/>
    </row>
    <row r="39" spans="1:20" ht="12" customHeight="1">
      <c r="A39" s="2219"/>
      <c r="B39" s="2183"/>
      <c r="C39" s="2183"/>
      <c r="D39" s="2183"/>
      <c r="E39" s="2183"/>
      <c r="F39" s="2183"/>
      <c r="G39" s="2183"/>
      <c r="H39" s="2183"/>
      <c r="I39" s="2183"/>
      <c r="J39" s="2183"/>
      <c r="K39" s="2183"/>
      <c r="L39" s="2183"/>
      <c r="M39" s="2183"/>
      <c r="N39" s="2183"/>
      <c r="O39" s="3658"/>
      <c r="P39" s="3658"/>
      <c r="Q39" s="3658"/>
      <c r="R39" s="3658"/>
      <c r="S39" s="3658"/>
      <c r="T39" s="2364"/>
    </row>
    <row r="40" spans="1:20" ht="24" customHeight="1">
      <c r="A40" s="2219"/>
      <c r="B40" s="2357" t="str">
        <f>G36</f>
        <v/>
      </c>
      <c r="C40" s="2209" t="s">
        <v>2025</v>
      </c>
      <c r="D40" s="2358" t="str">
        <f>IF(ISBLANK(F30),"",H32)</f>
        <v/>
      </c>
      <c r="E40" s="679" t="s">
        <v>2026</v>
      </c>
      <c r="F40" s="584"/>
      <c r="G40" s="3644" t="str">
        <f>IF(ISBLANK(F30),"",B40*D40)</f>
        <v/>
      </c>
      <c r="H40" s="3644"/>
      <c r="I40" s="2183" t="s">
        <v>2013</v>
      </c>
      <c r="J40" s="2186" t="s">
        <v>2027</v>
      </c>
      <c r="K40" s="584"/>
      <c r="L40" s="584"/>
      <c r="M40" s="584"/>
      <c r="N40" s="584"/>
      <c r="O40" s="2183"/>
      <c r="P40" s="2183"/>
      <c r="Q40" s="2183"/>
      <c r="R40" s="2183"/>
      <c r="S40" s="2183"/>
      <c r="T40" s="2185"/>
    </row>
    <row r="41" spans="1:20" ht="6" customHeight="1">
      <c r="A41" s="2219"/>
      <c r="B41" s="2359"/>
      <c r="C41" s="2184"/>
      <c r="D41" s="2213"/>
      <c r="E41" s="2183"/>
      <c r="F41" s="2220"/>
      <c r="G41" s="2220"/>
      <c r="H41" s="2183"/>
      <c r="I41" s="2187"/>
      <c r="J41" s="584"/>
      <c r="K41" s="584"/>
      <c r="L41" s="584"/>
      <c r="M41" s="584"/>
      <c r="N41" s="584"/>
      <c r="O41" s="2183"/>
      <c r="P41" s="2183"/>
      <c r="Q41" s="2183"/>
      <c r="R41" s="2183"/>
      <c r="S41" s="2183"/>
      <c r="T41" s="2185"/>
    </row>
    <row r="42" spans="1:20" ht="6" customHeight="1">
      <c r="A42" s="2219"/>
      <c r="B42" s="2183"/>
      <c r="C42" s="2183"/>
      <c r="D42" s="2183"/>
      <c r="E42" s="2183"/>
      <c r="F42" s="2183"/>
      <c r="G42" s="2183"/>
      <c r="H42" s="2183"/>
      <c r="I42" s="2183"/>
      <c r="J42" s="2183"/>
      <c r="K42" s="2183"/>
      <c r="L42" s="2183"/>
      <c r="M42" s="2183"/>
      <c r="N42" s="2183"/>
      <c r="O42" s="2183"/>
      <c r="P42" s="2183"/>
      <c r="Q42" s="2183"/>
      <c r="R42" s="2183"/>
      <c r="S42" s="2183"/>
      <c r="T42" s="2185"/>
    </row>
    <row r="43" spans="1:20" s="678" customFormat="1" ht="19.5">
      <c r="A43" s="2372" t="s">
        <v>2028</v>
      </c>
      <c r="B43" s="2370"/>
      <c r="C43" s="2370"/>
      <c r="D43" s="2370"/>
      <c r="E43" s="2370"/>
      <c r="F43" s="2370"/>
      <c r="G43" s="2370"/>
      <c r="H43" s="2370"/>
      <c r="I43" s="2370"/>
      <c r="J43" s="2370"/>
      <c r="K43" s="2370"/>
      <c r="L43" s="2370"/>
      <c r="M43" s="2370"/>
      <c r="N43" s="2370"/>
      <c r="O43" s="2370"/>
      <c r="P43" s="2370"/>
      <c r="Q43" s="2370"/>
      <c r="R43" s="2370"/>
      <c r="S43" s="2370"/>
      <c r="T43" s="2371"/>
    </row>
    <row r="44" spans="1:20" ht="6" customHeight="1">
      <c r="A44" s="2219"/>
      <c r="B44" s="2183"/>
      <c r="C44" s="2183"/>
      <c r="D44" s="2183"/>
      <c r="E44" s="2183"/>
      <c r="F44" s="2183"/>
      <c r="G44" s="2183"/>
      <c r="H44" s="2183"/>
      <c r="I44" s="2183"/>
      <c r="J44" s="2183"/>
      <c r="K44" s="2183"/>
      <c r="L44" s="2183"/>
      <c r="M44" s="2183"/>
      <c r="N44" s="2183"/>
      <c r="O44" s="2183"/>
      <c r="P44" s="2183"/>
      <c r="Q44" s="2183"/>
      <c r="R44" s="2183"/>
      <c r="S44" s="2183"/>
      <c r="T44" s="2185"/>
    </row>
    <row r="45" spans="1:20" ht="20.25" customHeight="1">
      <c r="A45" s="2354"/>
      <c r="B45" s="2184" t="s">
        <v>2029</v>
      </c>
      <c r="C45" s="2183"/>
      <c r="D45" s="2183"/>
      <c r="E45" s="2183"/>
      <c r="F45" s="2183"/>
      <c r="G45" s="2183"/>
      <c r="H45" s="2183"/>
      <c r="I45" s="2183"/>
      <c r="J45" s="2183"/>
      <c r="K45" s="2183"/>
      <c r="L45" s="2183"/>
      <c r="M45" s="2183"/>
      <c r="N45" s="2183"/>
      <c r="O45" s="2183"/>
      <c r="P45" s="2183"/>
      <c r="Q45" s="2183"/>
      <c r="R45" s="2183"/>
      <c r="S45" s="2183"/>
      <c r="T45" s="2185"/>
    </row>
    <row r="46" spans="1:20" ht="6" customHeight="1">
      <c r="A46" s="2219"/>
      <c r="B46" s="2183"/>
      <c r="C46" s="2183"/>
      <c r="D46" s="2183"/>
      <c r="E46" s="2183"/>
      <c r="F46" s="2183"/>
      <c r="G46" s="2183"/>
      <c r="H46" s="2183"/>
      <c r="I46" s="2183"/>
      <c r="J46" s="2183"/>
      <c r="K46" s="2183"/>
      <c r="L46" s="2183"/>
      <c r="M46" s="2183"/>
      <c r="N46" s="2183"/>
      <c r="O46" s="2183"/>
      <c r="P46" s="2183"/>
      <c r="Q46" s="2183"/>
      <c r="R46" s="2183"/>
      <c r="S46" s="2183"/>
      <c r="T46" s="2185"/>
    </row>
    <row r="47" spans="1:20" ht="24" customHeight="1">
      <c r="A47" s="2354"/>
      <c r="B47" s="3651" t="str">
        <f>IF(ISBLANK(F30),"",MAX(H21,R21))</f>
        <v/>
      </c>
      <c r="C47" s="3650"/>
      <c r="D47" s="3664" t="s">
        <v>2030</v>
      </c>
      <c r="E47" s="3665"/>
      <c r="F47" s="3665"/>
      <c r="G47" s="3666"/>
      <c r="H47" s="3661" t="str">
        <f>IF(ISBLANK(I8),"",B47*62.4*1.2)</f>
        <v/>
      </c>
      <c r="I47" s="3663"/>
      <c r="J47" s="2183" t="s">
        <v>2013</v>
      </c>
      <c r="K47" s="2183"/>
      <c r="L47" s="2187"/>
      <c r="M47" s="2373"/>
      <c r="N47" s="2183"/>
      <c r="O47" s="2213"/>
      <c r="P47" s="3665"/>
      <c r="Q47" s="3665"/>
      <c r="R47" s="2183"/>
      <c r="S47" s="3685"/>
      <c r="T47" s="3686"/>
    </row>
    <row r="48" spans="1:20" ht="6" customHeight="1">
      <c r="A48" s="2219"/>
      <c r="B48" s="2183"/>
      <c r="C48" s="2183"/>
      <c r="D48" s="2183"/>
      <c r="E48" s="2183"/>
      <c r="F48" s="2183"/>
      <c r="G48" s="2183"/>
      <c r="H48" s="2183"/>
      <c r="I48" s="2183"/>
      <c r="J48" s="2183"/>
      <c r="K48" s="2183"/>
      <c r="L48" s="2183"/>
      <c r="M48" s="2183"/>
      <c r="N48" s="2183"/>
      <c r="O48" s="2183"/>
      <c r="P48" s="2183"/>
      <c r="Q48" s="2183"/>
      <c r="R48" s="2183"/>
      <c r="S48" s="2183"/>
      <c r="T48" s="2185"/>
    </row>
    <row r="49" spans="1:20" s="678" customFormat="1" ht="18">
      <c r="A49" s="2372" t="s">
        <v>2031</v>
      </c>
      <c r="B49" s="2370"/>
      <c r="C49" s="2370"/>
      <c r="D49" s="2370"/>
      <c r="E49" s="2370"/>
      <c r="F49" s="2370"/>
      <c r="G49" s="2370"/>
      <c r="H49" s="2370"/>
      <c r="I49" s="2370"/>
      <c r="J49" s="2370"/>
      <c r="K49" s="2370"/>
      <c r="L49" s="2370"/>
      <c r="M49" s="2370"/>
      <c r="N49" s="2370"/>
      <c r="O49" s="2370"/>
      <c r="P49" s="2370"/>
      <c r="Q49" s="2370"/>
      <c r="R49" s="2370"/>
      <c r="S49" s="2370"/>
      <c r="T49" s="2371"/>
    </row>
    <row r="50" spans="1:20" ht="6" customHeight="1">
      <c r="A50" s="2219"/>
      <c r="B50" s="2183"/>
      <c r="C50" s="2183"/>
      <c r="D50" s="2183"/>
      <c r="E50" s="2183"/>
      <c r="F50" s="2183"/>
      <c r="G50" s="2183"/>
      <c r="H50" s="2183"/>
      <c r="I50" s="2183"/>
      <c r="J50" s="2183"/>
      <c r="K50" s="2183"/>
      <c r="L50" s="2183"/>
      <c r="M50" s="2183"/>
      <c r="N50" s="2183"/>
      <c r="O50" s="2183"/>
      <c r="P50" s="2183"/>
      <c r="Q50" s="2183"/>
      <c r="R50" s="2183"/>
      <c r="S50" s="2183"/>
      <c r="T50" s="2185"/>
    </row>
    <row r="51" spans="1:20" ht="19.5" customHeight="1">
      <c r="A51" s="1209" t="s">
        <v>1011</v>
      </c>
      <c r="B51" s="2183" t="s">
        <v>2032</v>
      </c>
      <c r="C51" s="2183"/>
      <c r="D51" s="2183"/>
      <c r="E51" s="2183"/>
      <c r="F51" s="2183"/>
      <c r="G51" s="2183"/>
      <c r="H51" s="2183"/>
      <c r="I51" s="2183"/>
      <c r="J51" s="2183"/>
      <c r="K51" s="2183"/>
      <c r="L51" s="2183"/>
      <c r="M51" s="2183"/>
      <c r="N51" s="2183"/>
      <c r="O51" s="2183"/>
      <c r="P51" s="2183"/>
      <c r="Q51" s="2183"/>
      <c r="R51" s="2183"/>
      <c r="S51" s="2183"/>
      <c r="T51" s="2185"/>
    </row>
    <row r="52" spans="1:20" ht="6" customHeight="1">
      <c r="A52" s="2219"/>
      <c r="B52" s="2183"/>
      <c r="C52" s="2183"/>
      <c r="D52" s="2183"/>
      <c r="E52" s="2183"/>
      <c r="F52" s="2183"/>
      <c r="G52" s="2183"/>
      <c r="H52" s="2183"/>
      <c r="I52" s="2183"/>
      <c r="J52" s="2183"/>
      <c r="K52" s="2183"/>
      <c r="L52" s="2183"/>
      <c r="M52" s="2183"/>
      <c r="N52" s="2183"/>
      <c r="O52" s="2183"/>
      <c r="P52" s="2183"/>
      <c r="Q52" s="2183"/>
      <c r="R52" s="2183"/>
      <c r="S52" s="2183"/>
      <c r="T52" s="2185"/>
    </row>
    <row r="53" spans="1:20" ht="24" customHeight="1">
      <c r="A53" s="2219"/>
      <c r="B53" s="3651" t="str">
        <f>IF(ISBLANK(I8),"",H25)</f>
        <v/>
      </c>
      <c r="C53" s="3660"/>
      <c r="D53" s="679" t="s">
        <v>2033</v>
      </c>
      <c r="E53" s="3651" t="str">
        <f>G40</f>
        <v/>
      </c>
      <c r="F53" s="3660"/>
      <c r="G53" s="679" t="s">
        <v>2034</v>
      </c>
      <c r="H53" s="3661" t="str">
        <f>IF(ISBLANK(I8),"",B53+E53)</f>
        <v/>
      </c>
      <c r="I53" s="3662"/>
      <c r="J53" s="3687" t="s">
        <v>2013</v>
      </c>
      <c r="K53" s="3687"/>
      <c r="L53" s="2183"/>
      <c r="M53" s="2183"/>
      <c r="N53" s="2183"/>
      <c r="O53" s="2183"/>
      <c r="P53" s="2183"/>
      <c r="Q53" s="2183"/>
      <c r="R53" s="2183"/>
      <c r="S53" s="2183"/>
      <c r="T53" s="2185"/>
    </row>
    <row r="54" spans="1:20" ht="6" customHeight="1">
      <c r="A54" s="2219"/>
      <c r="B54" s="2183"/>
      <c r="C54" s="2183"/>
      <c r="D54" s="2183"/>
      <c r="E54" s="2183"/>
      <c r="F54" s="2183"/>
      <c r="G54" s="2183"/>
      <c r="H54" s="2183"/>
      <c r="I54" s="2183"/>
      <c r="J54" s="2183"/>
      <c r="K54" s="2183"/>
      <c r="L54" s="2183"/>
      <c r="M54" s="2183"/>
      <c r="N54" s="2183"/>
      <c r="O54" s="2183"/>
      <c r="P54" s="2183"/>
      <c r="Q54" s="2183"/>
      <c r="R54" s="2183"/>
      <c r="S54" s="2183"/>
      <c r="T54" s="2185"/>
    </row>
    <row r="55" spans="1:20" ht="15" customHeight="1">
      <c r="A55" s="1209" t="s">
        <v>1019</v>
      </c>
      <c r="B55" s="2183" t="s">
        <v>2035</v>
      </c>
      <c r="C55" s="2183"/>
      <c r="D55" s="2183"/>
      <c r="E55" s="2183"/>
      <c r="F55" s="2183"/>
      <c r="G55" s="2183"/>
      <c r="H55" s="2183"/>
      <c r="I55" s="2183"/>
      <c r="J55" s="2183"/>
      <c r="K55" s="2183"/>
      <c r="L55" s="2183"/>
      <c r="M55" s="2183"/>
      <c r="N55" s="2183"/>
      <c r="O55" s="2183"/>
      <c r="P55" s="2183"/>
      <c r="Q55" s="2183"/>
      <c r="R55" s="2183"/>
      <c r="S55" s="2183"/>
      <c r="T55" s="2185"/>
    </row>
    <row r="56" spans="1:20" ht="6" customHeight="1">
      <c r="A56" s="2219"/>
      <c r="B56" s="2183"/>
      <c r="C56" s="2183"/>
      <c r="D56" s="2183"/>
      <c r="E56" s="2183"/>
      <c r="F56" s="2183"/>
      <c r="G56" s="2183"/>
      <c r="H56" s="2183"/>
      <c r="I56" s="2183"/>
      <c r="J56" s="2183"/>
      <c r="K56" s="2183"/>
      <c r="L56" s="2183"/>
      <c r="M56" s="2183"/>
      <c r="N56" s="2183"/>
      <c r="O56" s="2183"/>
      <c r="P56" s="2183"/>
      <c r="Q56" s="2183"/>
      <c r="R56" s="2183"/>
      <c r="S56" s="2183"/>
      <c r="T56" s="2185"/>
    </row>
    <row r="57" spans="1:20" ht="24" customHeight="1">
      <c r="A57" s="2219"/>
      <c r="B57" s="3651" t="str">
        <f>H53</f>
        <v/>
      </c>
      <c r="C57" s="3650"/>
      <c r="D57" s="2184" t="s">
        <v>2036</v>
      </c>
      <c r="E57" s="3651" t="str">
        <f>H47</f>
        <v/>
      </c>
      <c r="F57" s="3650"/>
      <c r="G57" s="2184" t="s">
        <v>2034</v>
      </c>
      <c r="H57" s="3661" t="str">
        <f>IF(ISBLANK(I8),"",B57-E57)</f>
        <v/>
      </c>
      <c r="I57" s="3663"/>
      <c r="J57" s="2183" t="s">
        <v>2013</v>
      </c>
      <c r="K57" s="2183"/>
      <c r="L57" s="3668" t="str">
        <f>IF(H57&lt;0,"Warning: Tank may float","")</f>
        <v/>
      </c>
      <c r="M57" s="3668"/>
      <c r="N57" s="3668"/>
      <c r="O57" s="3668"/>
      <c r="P57" s="3668"/>
      <c r="Q57" s="2183"/>
      <c r="R57" s="2183"/>
      <c r="S57" s="2183"/>
      <c r="T57" s="2185"/>
    </row>
    <row r="58" spans="1:20" ht="6" customHeight="1">
      <c r="A58" s="2219"/>
      <c r="B58" s="2183"/>
      <c r="C58" s="2183"/>
      <c r="D58" s="2183"/>
      <c r="E58" s="2183"/>
      <c r="F58" s="2183"/>
      <c r="G58" s="2183"/>
      <c r="H58" s="2183"/>
      <c r="I58" s="2183"/>
      <c r="J58" s="2183"/>
      <c r="K58" s="2183"/>
      <c r="L58" s="2183"/>
      <c r="M58" s="2183"/>
      <c r="N58" s="2183"/>
      <c r="O58" s="2183"/>
      <c r="P58" s="2183"/>
      <c r="Q58" s="2183"/>
      <c r="R58" s="2183"/>
      <c r="S58" s="2183"/>
      <c r="T58" s="2185"/>
    </row>
    <row r="59" spans="1:20" ht="15" customHeight="1">
      <c r="A59" s="2219"/>
      <c r="B59" s="3690" t="s">
        <v>2037</v>
      </c>
      <c r="C59" s="3690"/>
      <c r="D59" s="3690"/>
      <c r="E59" s="3690"/>
      <c r="F59" s="3690"/>
      <c r="G59" s="3690"/>
      <c r="H59" s="3690"/>
      <c r="I59" s="3690"/>
      <c r="J59" s="3690"/>
      <c r="K59" s="3690"/>
      <c r="L59" s="3690"/>
      <c r="M59" s="3690"/>
      <c r="N59" s="3690"/>
      <c r="O59" s="3690"/>
      <c r="P59" s="3690"/>
      <c r="Q59" s="3690"/>
      <c r="R59" s="3690"/>
      <c r="S59" s="3690"/>
      <c r="T59" s="3691"/>
    </row>
    <row r="60" spans="1:20" ht="6" customHeight="1">
      <c r="A60" s="2219"/>
      <c r="B60" s="2188"/>
      <c r="C60" s="2188"/>
      <c r="D60" s="2188"/>
      <c r="E60" s="2188"/>
      <c r="F60" s="2188"/>
      <c r="G60" s="2188"/>
      <c r="H60" s="2188"/>
      <c r="I60" s="2188"/>
      <c r="J60" s="2188"/>
      <c r="K60" s="2188"/>
      <c r="L60" s="2188"/>
      <c r="M60" s="2188"/>
      <c r="N60" s="2188"/>
      <c r="O60" s="2188"/>
      <c r="P60" s="2188"/>
      <c r="Q60" s="2188"/>
      <c r="R60" s="2188"/>
      <c r="S60" s="2188"/>
      <c r="T60" s="1512"/>
    </row>
    <row r="61" spans="1:20" s="584" customFormat="1" ht="19.5" customHeight="1">
      <c r="A61" s="2219" t="s">
        <v>1168</v>
      </c>
      <c r="B61" s="359" t="s">
        <v>2038</v>
      </c>
      <c r="C61" s="2188"/>
      <c r="D61" s="2188"/>
      <c r="E61" s="2188"/>
      <c r="F61" s="2188"/>
      <c r="G61" s="2188"/>
      <c r="H61" s="2188"/>
      <c r="I61" s="2188"/>
      <c r="J61" s="2188"/>
      <c r="K61" s="2188"/>
      <c r="L61" s="2188"/>
      <c r="M61" s="2188"/>
      <c r="N61" s="2188"/>
      <c r="O61" s="2188"/>
      <c r="P61" s="2188"/>
      <c r="Q61" s="2188"/>
      <c r="R61" s="2188"/>
      <c r="S61" s="2188"/>
      <c r="T61" s="1512"/>
    </row>
    <row r="62" spans="1:20" s="584" customFormat="1" ht="6" customHeight="1">
      <c r="A62" s="2219"/>
      <c r="B62" s="359"/>
      <c r="C62" s="2188"/>
      <c r="D62" s="2188"/>
      <c r="E62" s="2188"/>
      <c r="F62" s="2188"/>
      <c r="G62" s="2188"/>
      <c r="H62" s="2188"/>
      <c r="I62" s="2188"/>
      <c r="J62" s="2188"/>
      <c r="K62" s="2188"/>
      <c r="L62" s="2188"/>
      <c r="M62" s="2188"/>
      <c r="N62" s="2188"/>
      <c r="O62" s="2188"/>
      <c r="P62" s="2188"/>
      <c r="Q62" s="2188"/>
      <c r="R62" s="2188"/>
      <c r="S62" s="2188"/>
      <c r="T62" s="1512"/>
    </row>
    <row r="63" spans="1:20" s="584" customFormat="1" ht="24" customHeight="1">
      <c r="A63" s="2219"/>
      <c r="B63" s="3651" t="str">
        <f>IF(ISBLANK(F30)," ",(IF(H57&lt;0,ABS(H57),0)))</f>
        <v xml:space="preserve"> </v>
      </c>
      <c r="C63" s="3650"/>
      <c r="D63" s="2184" t="s">
        <v>2039</v>
      </c>
      <c r="E63" s="3651" t="str">
        <f>IF(ISBLANK(H32)," ",(H32))</f>
        <v xml:space="preserve"> </v>
      </c>
      <c r="F63" s="3650"/>
      <c r="G63" s="3692" t="s">
        <v>2040</v>
      </c>
      <c r="H63" s="3693"/>
      <c r="I63" s="3661" t="str">
        <f>D36</f>
        <v/>
      </c>
      <c r="J63" s="3663"/>
      <c r="K63" s="679" t="s">
        <v>2041</v>
      </c>
      <c r="L63" s="2183"/>
      <c r="M63" s="3661" t="str">
        <f>IF(ISBLANK(H32)," ",B63/E63/I63)</f>
        <v xml:space="preserve"> </v>
      </c>
      <c r="N63" s="3694"/>
      <c r="O63" s="3663"/>
      <c r="P63" s="584" t="s">
        <v>2042</v>
      </c>
      <c r="R63" s="2183"/>
      <c r="S63" s="2183"/>
      <c r="T63" s="2185"/>
    </row>
    <row r="64" spans="1:20" s="584" customFormat="1" ht="10.5" customHeight="1">
      <c r="A64" s="2219"/>
      <c r="B64" s="2221"/>
      <c r="C64" s="2213"/>
      <c r="D64" s="2184"/>
      <c r="E64" s="2221"/>
      <c r="F64" s="2213"/>
      <c r="G64" s="2184"/>
      <c r="H64" s="2184"/>
      <c r="I64" s="2220"/>
      <c r="J64" s="2220"/>
      <c r="K64" s="2183"/>
      <c r="L64" s="2183"/>
      <c r="M64" s="2220"/>
      <c r="N64" s="2220"/>
      <c r="O64" s="2220"/>
      <c r="R64" s="2183"/>
      <c r="S64" s="2183"/>
      <c r="T64" s="2185"/>
    </row>
    <row r="65" spans="1:20" ht="15" customHeight="1">
      <c r="A65" s="2219"/>
      <c r="B65" s="3677" t="s">
        <v>2043</v>
      </c>
      <c r="C65" s="3677"/>
      <c r="D65" s="3677"/>
      <c r="E65" s="1513"/>
      <c r="F65" s="2188"/>
      <c r="G65" s="2188"/>
      <c r="H65" s="2188"/>
      <c r="I65" s="2188"/>
      <c r="J65" s="2188"/>
      <c r="K65" s="2188"/>
      <c r="L65" s="2188"/>
      <c r="M65" s="2188"/>
      <c r="N65" s="2188"/>
      <c r="O65" s="2188"/>
      <c r="P65" s="2188"/>
      <c r="Q65" s="2188"/>
      <c r="R65" s="2188"/>
      <c r="S65" s="2188"/>
      <c r="T65" s="1512"/>
    </row>
    <row r="66" spans="1:20" ht="84" customHeight="1">
      <c r="A66" s="2219"/>
      <c r="B66" s="3653"/>
      <c r="C66" s="3654"/>
      <c r="D66" s="3654"/>
      <c r="E66" s="3654"/>
      <c r="F66" s="3654"/>
      <c r="G66" s="3654"/>
      <c r="H66" s="3654"/>
      <c r="I66" s="3654"/>
      <c r="J66" s="3654"/>
      <c r="K66" s="3654"/>
      <c r="L66" s="3654"/>
      <c r="M66" s="3654"/>
      <c r="N66" s="3654"/>
      <c r="O66" s="3654"/>
      <c r="P66" s="3654"/>
      <c r="Q66" s="3654"/>
      <c r="R66" s="3654"/>
      <c r="S66" s="3655"/>
      <c r="T66" s="2374"/>
    </row>
    <row r="67" spans="1:20" ht="18.75" thickBot="1">
      <c r="A67" s="2375"/>
      <c r="B67" s="2376"/>
      <c r="C67" s="2376"/>
      <c r="D67" s="2376"/>
      <c r="E67" s="2376"/>
      <c r="F67" s="2376"/>
      <c r="G67" s="2376"/>
      <c r="H67" s="2376"/>
      <c r="I67" s="2376"/>
      <c r="J67" s="2376"/>
      <c r="K67" s="2376"/>
      <c r="L67" s="2376"/>
      <c r="M67" s="2376"/>
      <c r="N67" s="2376"/>
      <c r="O67" s="2376"/>
      <c r="P67" s="2376"/>
      <c r="Q67" s="2376"/>
      <c r="R67" s="2376"/>
      <c r="S67" s="2376"/>
      <c r="T67" s="2377"/>
    </row>
    <row r="68" spans="1:20" ht="18">
      <c r="A68" s="2183"/>
      <c r="B68" s="2183"/>
      <c r="C68" s="2183"/>
      <c r="D68" s="2183"/>
      <c r="E68" s="2183"/>
      <c r="F68" s="2183"/>
      <c r="G68" s="2183"/>
      <c r="H68" s="2183"/>
      <c r="I68" s="2183"/>
      <c r="J68" s="2183"/>
      <c r="K68" s="2183"/>
      <c r="L68" s="2183"/>
      <c r="M68" s="2183"/>
      <c r="N68" s="2183"/>
      <c r="O68" s="2183"/>
      <c r="P68" s="2183"/>
      <c r="Q68" s="2183"/>
      <c r="R68" s="2183"/>
      <c r="S68" s="2183"/>
      <c r="T68" s="2183"/>
    </row>
  </sheetData>
  <sheetProtection sheet="1" objects="1" scenarios="1"/>
  <customSheetViews>
    <customSheetView guid="{D1431318-1DB8-4C45-813B-5A8065DFC797}" scale="90" showPageBreaks="1" fitToPage="1" printArea="1" view="pageBreakPreview">
      <selection activeCell="L46" sqref="L46"/>
      <pageMargins left="0" right="0" top="0" bottom="0" header="0" footer="0"/>
      <printOptions horizontalCentered="1"/>
      <pageSetup scale="69" orientation="portrait" blackAndWhite="1" r:id="rId1"/>
    </customSheetView>
  </customSheetViews>
  <mergeCells count="58">
    <mergeCell ref="B59:T59"/>
    <mergeCell ref="B63:C63"/>
    <mergeCell ref="E63:F63"/>
    <mergeCell ref="G63:H63"/>
    <mergeCell ref="I63:J63"/>
    <mergeCell ref="M63:O63"/>
    <mergeCell ref="B65:D65"/>
    <mergeCell ref="A12:T12"/>
    <mergeCell ref="A13:J13"/>
    <mergeCell ref="K13:T13"/>
    <mergeCell ref="B17:C17"/>
    <mergeCell ref="E17:F17"/>
    <mergeCell ref="H17:I17"/>
    <mergeCell ref="L17:M17"/>
    <mergeCell ref="H25:I25"/>
    <mergeCell ref="S47:T47"/>
    <mergeCell ref="O36:P37"/>
    <mergeCell ref="O38:P39"/>
    <mergeCell ref="P47:Q47"/>
    <mergeCell ref="J53:K53"/>
    <mergeCell ref="B47:C47"/>
    <mergeCell ref="B38:N38"/>
    <mergeCell ref="E1:O1"/>
    <mergeCell ref="E4:J4"/>
    <mergeCell ref="N4:S4"/>
    <mergeCell ref="K8:M8"/>
    <mergeCell ref="K10:M10"/>
    <mergeCell ref="H2:I2"/>
    <mergeCell ref="J2:K2"/>
    <mergeCell ref="S2:T2"/>
    <mergeCell ref="N6:R6"/>
    <mergeCell ref="B66:S66"/>
    <mergeCell ref="Q30:S33"/>
    <mergeCell ref="O30:P33"/>
    <mergeCell ref="Q38:S39"/>
    <mergeCell ref="Q36:S37"/>
    <mergeCell ref="Q34:S35"/>
    <mergeCell ref="B53:C53"/>
    <mergeCell ref="E53:F53"/>
    <mergeCell ref="H53:I53"/>
    <mergeCell ref="B57:C57"/>
    <mergeCell ref="E57:F57"/>
    <mergeCell ref="H57:I57"/>
    <mergeCell ref="D47:G47"/>
    <mergeCell ref="H47:I47"/>
    <mergeCell ref="O34:P35"/>
    <mergeCell ref="L57:P57"/>
    <mergeCell ref="G40:H40"/>
    <mergeCell ref="A23:J23"/>
    <mergeCell ref="N17:O17"/>
    <mergeCell ref="Q17:R17"/>
    <mergeCell ref="H21:I21"/>
    <mergeCell ref="L21:M21"/>
    <mergeCell ref="O21:P21"/>
    <mergeCell ref="R21:S21"/>
    <mergeCell ref="B21:C21"/>
    <mergeCell ref="E21:F21"/>
    <mergeCell ref="D36:E36"/>
  </mergeCells>
  <printOptions horizontalCentered="1"/>
  <pageMargins left="0.25" right="0.2" top="0.3" bottom="0.75" header="0.3" footer="0.3"/>
  <pageSetup scale="71" orientation="portrait" blackAndWhite="1" r:id="rId2"/>
  <drawing r:id="rId3"/>
  <extLst>
    <ext xmlns:x14="http://schemas.microsoft.com/office/spreadsheetml/2009/9/main" uri="{CCE6A557-97BC-4b89-ADB6-D9C93CAAB3DF}">
      <x14:dataValidations xmlns:xm="http://schemas.microsoft.com/office/excel/2006/main" disablePrompts="1" count="1">
        <x14:dataValidation type="list" errorStyle="information" allowBlank="1" showInputMessage="1" showErrorMessage="1" prompt="Tank Useage" xr:uid="{00000000-0002-0000-2700-000000000000}">
          <x14:formula1>
            <xm:f>'Drop-Down Lists'!$AB$2:$AB$7</xm:f>
          </x14:formula1>
          <xm:sqref>N6:R6</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B0A12-66E0-4AEC-B73B-FAE6C3B0F564}">
  <sheetPr>
    <tabColor rgb="FFFFFF00"/>
    <pageSetUpPr fitToPage="1"/>
  </sheetPr>
  <dimension ref="A1:T68"/>
  <sheetViews>
    <sheetView showGridLines="0" view="pageBreakPreview" zoomScaleNormal="100" zoomScaleSheetLayoutView="100" workbookViewId="0">
      <selection activeCell="E4" sqref="E4:J4"/>
    </sheetView>
  </sheetViews>
  <sheetFormatPr defaultColWidth="9.140625" defaultRowHeight="15"/>
  <cols>
    <col min="1" max="1" width="4" style="677" customWidth="1"/>
    <col min="2" max="2" width="9" style="677" customWidth="1"/>
    <col min="3" max="7" width="7.42578125" style="677" customWidth="1"/>
    <col min="8" max="8" width="9" style="677" customWidth="1"/>
    <col min="9" max="10" width="7.42578125" style="677" customWidth="1"/>
    <col min="11" max="11" width="4.85546875" style="677" customWidth="1"/>
    <col min="12" max="20" width="7.42578125" style="677" customWidth="1"/>
    <col min="21" max="16384" width="9.140625" style="677"/>
  </cols>
  <sheetData>
    <row r="1" spans="1:20" ht="54.95" customHeight="1" thickBot="1">
      <c r="A1" s="2183"/>
      <c r="B1" s="2183"/>
      <c r="C1" s="2183"/>
      <c r="D1" s="2183"/>
      <c r="E1" s="3669" t="s">
        <v>1993</v>
      </c>
      <c r="F1" s="3669"/>
      <c r="G1" s="3669"/>
      <c r="H1" s="3669"/>
      <c r="I1" s="3669"/>
      <c r="J1" s="3669"/>
      <c r="K1" s="3669"/>
      <c r="L1" s="3669"/>
      <c r="M1" s="3669"/>
      <c r="N1" s="3669"/>
      <c r="O1" s="3669"/>
      <c r="P1" s="2183"/>
      <c r="Q1" s="2183"/>
      <c r="R1" s="2183"/>
      <c r="S1" s="2183"/>
      <c r="T1" s="2183"/>
    </row>
    <row r="2" spans="1:20" ht="18">
      <c r="A2" s="2349" t="s">
        <v>1994</v>
      </c>
      <c r="B2" s="2350"/>
      <c r="C2" s="2350"/>
      <c r="D2" s="2350"/>
      <c r="E2" s="2350"/>
      <c r="F2" s="2350"/>
      <c r="G2" s="2350"/>
      <c r="H2" s="3459" t="s">
        <v>1164</v>
      </c>
      <c r="I2" s="3459"/>
      <c r="J2" s="3460" t="str">
        <f>IF(ISBLANK('Design Details &amp; Summary'!S3)," ",'Design Details &amp; Summary'!S3)</f>
        <v xml:space="preserve"> </v>
      </c>
      <c r="K2" s="3460"/>
      <c r="L2" s="1146"/>
      <c r="M2" s="1146"/>
      <c r="N2" s="1146"/>
      <c r="O2" s="1146"/>
      <c r="P2" s="1146"/>
      <c r="Q2" s="1146"/>
      <c r="R2" s="1146"/>
      <c r="S2" s="3675" t="str">
        <f>'Drop-Down Lists'!A2</f>
        <v>v 05.01.2026</v>
      </c>
      <c r="T2" s="3676"/>
    </row>
    <row r="3" spans="1:20" ht="6" customHeight="1">
      <c r="A3" s="2351"/>
      <c r="B3" s="2352"/>
      <c r="C3" s="2352"/>
      <c r="D3" s="2352"/>
      <c r="E3" s="2352"/>
      <c r="F3" s="2352"/>
      <c r="G3" s="2352"/>
      <c r="H3" s="2352"/>
      <c r="I3" s="2352"/>
      <c r="J3" s="2352"/>
      <c r="K3" s="2352"/>
      <c r="L3" s="2352"/>
      <c r="M3" s="2352"/>
      <c r="N3" s="2352"/>
      <c r="O3" s="2352"/>
      <c r="P3" s="2352"/>
      <c r="Q3" s="2352"/>
      <c r="R3" s="2352"/>
      <c r="S3" s="2352"/>
      <c r="T3" s="2353"/>
    </row>
    <row r="4" spans="1:20" ht="21.95" customHeight="1">
      <c r="A4" s="2354" t="s">
        <v>1011</v>
      </c>
      <c r="B4" s="2184" t="s">
        <v>1840</v>
      </c>
      <c r="C4" s="2184"/>
      <c r="D4" s="2184"/>
      <c r="E4" s="3670"/>
      <c r="F4" s="3671"/>
      <c r="G4" s="3671"/>
      <c r="H4" s="3671"/>
      <c r="I4" s="3671"/>
      <c r="J4" s="3672"/>
      <c r="K4" s="2184"/>
      <c r="L4" s="2184" t="s">
        <v>1841</v>
      </c>
      <c r="M4" s="2184"/>
      <c r="N4" s="3670"/>
      <c r="O4" s="3671"/>
      <c r="P4" s="3671"/>
      <c r="Q4" s="3671"/>
      <c r="R4" s="3671"/>
      <c r="S4" s="3672"/>
      <c r="T4" s="2185"/>
    </row>
    <row r="5" spans="1:20" ht="6" customHeight="1">
      <c r="A5" s="2219"/>
      <c r="B5" s="2183"/>
      <c r="C5" s="2183"/>
      <c r="D5" s="2183"/>
      <c r="E5" s="2183"/>
      <c r="F5" s="2183"/>
      <c r="G5" s="2183"/>
      <c r="H5" s="2183"/>
      <c r="I5" s="2183"/>
      <c r="J5" s="2183"/>
      <c r="K5" s="2183"/>
      <c r="L5" s="2183"/>
      <c r="M5" s="2183"/>
      <c r="N5" s="2183"/>
      <c r="O5" s="2183"/>
      <c r="P5" s="2183"/>
      <c r="Q5" s="2183"/>
      <c r="R5" s="2183"/>
      <c r="S5" s="2183"/>
      <c r="T5" s="2185"/>
    </row>
    <row r="6" spans="1:20" ht="21.95" customHeight="1">
      <c r="A6" s="2219" t="s">
        <v>1019</v>
      </c>
      <c r="B6" s="2183" t="s">
        <v>1995</v>
      </c>
      <c r="C6" s="2183"/>
      <c r="D6" s="2183"/>
      <c r="E6" s="2183"/>
      <c r="F6" s="2183"/>
      <c r="G6" s="2183"/>
      <c r="H6" s="2183"/>
      <c r="I6" s="2183"/>
      <c r="J6" s="2183"/>
      <c r="K6" s="2183"/>
      <c r="L6" s="359" t="s">
        <v>1911</v>
      </c>
      <c r="M6" s="16"/>
      <c r="N6" s="3591"/>
      <c r="O6" s="3592"/>
      <c r="P6" s="3592"/>
      <c r="Q6" s="3592"/>
      <c r="R6" s="3593"/>
      <c r="S6" s="2183"/>
      <c r="T6" s="2185"/>
    </row>
    <row r="7" spans="1:20" ht="6" customHeight="1">
      <c r="A7" s="2219"/>
      <c r="B7" s="2183"/>
      <c r="C7" s="2183"/>
      <c r="D7" s="2183"/>
      <c r="E7" s="2183"/>
      <c r="F7" s="2183"/>
      <c r="G7" s="2183"/>
      <c r="H7" s="2183"/>
      <c r="I7" s="2183"/>
      <c r="J7" s="2183"/>
      <c r="K7" s="2183"/>
      <c r="L7" s="2183"/>
      <c r="M7" s="2183"/>
      <c r="N7" s="2183"/>
      <c r="O7" s="2183"/>
      <c r="P7" s="2183"/>
      <c r="Q7" s="2183"/>
      <c r="R7" s="2183"/>
      <c r="S7" s="2183"/>
      <c r="T7" s="2185"/>
    </row>
    <row r="8" spans="1:20" ht="24" customHeight="1">
      <c r="A8" s="2219"/>
      <c r="B8" s="2183" t="s">
        <v>1996</v>
      </c>
      <c r="C8" s="2355"/>
      <c r="D8" s="2183" t="s">
        <v>629</v>
      </c>
      <c r="E8" s="2213" t="s">
        <v>1997</v>
      </c>
      <c r="F8" s="2355"/>
      <c r="G8" s="2183" t="s">
        <v>629</v>
      </c>
      <c r="H8" s="2183" t="s">
        <v>1998</v>
      </c>
      <c r="I8" s="2355"/>
      <c r="J8" s="2183" t="s">
        <v>629</v>
      </c>
      <c r="K8" s="3673" t="s">
        <v>1999</v>
      </c>
      <c r="L8" s="3673"/>
      <c r="M8" s="3674"/>
      <c r="N8" s="2355"/>
      <c r="O8" s="2183" t="s">
        <v>629</v>
      </c>
      <c r="P8" s="584"/>
      <c r="Q8" s="584"/>
      <c r="R8" s="584"/>
      <c r="S8" s="584"/>
      <c r="T8" s="2185"/>
    </row>
    <row r="9" spans="1:20" ht="6" customHeight="1">
      <c r="A9" s="2219"/>
      <c r="B9" s="2183"/>
      <c r="C9" s="2183"/>
      <c r="D9" s="2183"/>
      <c r="E9" s="2183"/>
      <c r="F9" s="2183"/>
      <c r="G9" s="2183"/>
      <c r="H9" s="2183"/>
      <c r="I9" s="2183"/>
      <c r="J9" s="2183"/>
      <c r="K9" s="2356"/>
      <c r="L9" s="2356"/>
      <c r="M9" s="2356"/>
      <c r="N9" s="2183"/>
      <c r="O9" s="2183"/>
      <c r="P9" s="2183"/>
      <c r="Q9" s="2183"/>
      <c r="R9" s="2183"/>
      <c r="S9" s="2183"/>
      <c r="T9" s="2185"/>
    </row>
    <row r="10" spans="1:20" ht="24" customHeight="1">
      <c r="A10" s="2219"/>
      <c r="B10" s="2183" t="s">
        <v>1996</v>
      </c>
      <c r="C10" s="2357" t="str">
        <f>IF(ISBLANK(C8),"",C8/12)</f>
        <v/>
      </c>
      <c r="D10" s="2183" t="s">
        <v>609</v>
      </c>
      <c r="E10" s="2213" t="s">
        <v>1997</v>
      </c>
      <c r="F10" s="2357" t="str">
        <f>IF(ISBLANK(C8),"",F8/12)</f>
        <v/>
      </c>
      <c r="G10" s="2183" t="s">
        <v>609</v>
      </c>
      <c r="H10" s="2183" t="s">
        <v>1998</v>
      </c>
      <c r="I10" s="2357" t="str">
        <f>IF(ISBLANK(I8),"",I8/12)</f>
        <v/>
      </c>
      <c r="J10" s="2183" t="s">
        <v>609</v>
      </c>
      <c r="K10" s="3673" t="s">
        <v>2000</v>
      </c>
      <c r="L10" s="3673"/>
      <c r="M10" s="3674"/>
      <c r="N10" s="2358" t="str">
        <f>IF(ISBLANK(N8),"",N8/2)</f>
        <v/>
      </c>
      <c r="O10" s="2183" t="s">
        <v>629</v>
      </c>
      <c r="P10" s="584"/>
      <c r="Q10" s="584"/>
      <c r="R10" s="2359"/>
      <c r="S10" s="2183"/>
      <c r="T10" s="2185"/>
    </row>
    <row r="11" spans="1:20" ht="6" customHeight="1">
      <c r="A11" s="2219"/>
      <c r="B11" s="2183"/>
      <c r="C11" s="2183"/>
      <c r="D11" s="2183"/>
      <c r="E11" s="2183"/>
      <c r="F11" s="2183"/>
      <c r="G11" s="2183"/>
      <c r="H11" s="2183"/>
      <c r="I11" s="2183"/>
      <c r="J11" s="2183"/>
      <c r="K11" s="2183"/>
      <c r="L11" s="2183"/>
      <c r="M11" s="2183"/>
      <c r="N11" s="2183"/>
      <c r="O11" s="2183"/>
      <c r="P11" s="2183"/>
      <c r="Q11" s="2183"/>
      <c r="R11" s="2183"/>
      <c r="S11" s="2183"/>
      <c r="T11" s="2185"/>
    </row>
    <row r="12" spans="1:20" ht="18">
      <c r="A12" s="3645" t="s">
        <v>2001</v>
      </c>
      <c r="B12" s="3646"/>
      <c r="C12" s="3646"/>
      <c r="D12" s="3646"/>
      <c r="E12" s="3646"/>
      <c r="F12" s="3646"/>
      <c r="G12" s="3646"/>
      <c r="H12" s="3646"/>
      <c r="I12" s="3646"/>
      <c r="J12" s="3646"/>
      <c r="K12" s="3646"/>
      <c r="L12" s="3646"/>
      <c r="M12" s="3646"/>
      <c r="N12" s="3646"/>
      <c r="O12" s="3646"/>
      <c r="P12" s="3646"/>
      <c r="Q12" s="3646"/>
      <c r="R12" s="3646"/>
      <c r="S12" s="3646"/>
      <c r="T12" s="3678"/>
    </row>
    <row r="13" spans="1:20" ht="18">
      <c r="A13" s="3679" t="s">
        <v>2002</v>
      </c>
      <c r="B13" s="3680"/>
      <c r="C13" s="3680"/>
      <c r="D13" s="3680"/>
      <c r="E13" s="3680"/>
      <c r="F13" s="3680"/>
      <c r="G13" s="3680"/>
      <c r="H13" s="3680"/>
      <c r="I13" s="3680"/>
      <c r="J13" s="3650"/>
      <c r="K13" s="3681" t="s">
        <v>2003</v>
      </c>
      <c r="L13" s="3680"/>
      <c r="M13" s="3680"/>
      <c r="N13" s="3680"/>
      <c r="O13" s="3680"/>
      <c r="P13" s="3680"/>
      <c r="Q13" s="3680"/>
      <c r="R13" s="3680"/>
      <c r="S13" s="3680"/>
      <c r="T13" s="3682"/>
    </row>
    <row r="14" spans="1:20" ht="6" customHeight="1">
      <c r="A14" s="2351"/>
      <c r="B14" s="2352"/>
      <c r="C14" s="2352"/>
      <c r="D14" s="2352"/>
      <c r="E14" s="2352"/>
      <c r="F14" s="2352"/>
      <c r="G14" s="2352"/>
      <c r="H14" s="2352"/>
      <c r="I14" s="2352"/>
      <c r="J14" s="2360"/>
      <c r="K14" s="2361"/>
      <c r="L14" s="2352"/>
      <c r="M14" s="2352"/>
      <c r="N14" s="2352"/>
      <c r="O14" s="2352"/>
      <c r="P14" s="2352"/>
      <c r="Q14" s="2352"/>
      <c r="R14" s="2352"/>
      <c r="S14" s="2352"/>
      <c r="T14" s="2353"/>
    </row>
    <row r="15" spans="1:20" ht="24.6" customHeight="1">
      <c r="A15" s="2219" t="s">
        <v>1011</v>
      </c>
      <c r="B15" s="2183" t="s">
        <v>2004</v>
      </c>
      <c r="C15" s="2183"/>
      <c r="D15" s="2183"/>
      <c r="E15" s="2183"/>
      <c r="F15" s="2183"/>
      <c r="G15" s="2183"/>
      <c r="H15" s="2183"/>
      <c r="I15" s="2183"/>
      <c r="J15" s="1533"/>
      <c r="K15" s="2324" t="s">
        <v>1011</v>
      </c>
      <c r="L15" s="2183" t="s">
        <v>2005</v>
      </c>
      <c r="M15" s="2183"/>
      <c r="N15" s="2183"/>
      <c r="O15" s="2183"/>
      <c r="P15" s="2183"/>
      <c r="Q15" s="2183"/>
      <c r="R15" s="2183"/>
      <c r="S15" s="2183"/>
      <c r="T15" s="2185"/>
    </row>
    <row r="16" spans="1:20" ht="6" customHeight="1">
      <c r="A16" s="2219"/>
      <c r="B16" s="2183"/>
      <c r="C16" s="2183"/>
      <c r="D16" s="2183"/>
      <c r="E16" s="2183"/>
      <c r="F16" s="2183"/>
      <c r="G16" s="2183"/>
      <c r="H16" s="2183"/>
      <c r="I16" s="2183"/>
      <c r="J16" s="1533"/>
      <c r="K16" s="679"/>
      <c r="L16" s="2213"/>
      <c r="M16" s="2183"/>
      <c r="N16" s="2183"/>
      <c r="O16" s="2183"/>
      <c r="P16" s="2183"/>
      <c r="Q16" s="2183"/>
      <c r="R16" s="2183"/>
      <c r="S16" s="2183"/>
      <c r="T16" s="2185"/>
    </row>
    <row r="17" spans="1:20" ht="24" customHeight="1">
      <c r="A17" s="2219"/>
      <c r="B17" s="3647" t="str">
        <f>C10</f>
        <v/>
      </c>
      <c r="C17" s="3650"/>
      <c r="D17" s="2184" t="s">
        <v>1229</v>
      </c>
      <c r="E17" s="3647" t="str">
        <f>F10</f>
        <v/>
      </c>
      <c r="F17" s="3650"/>
      <c r="G17" s="2184" t="s">
        <v>1208</v>
      </c>
      <c r="H17" s="3647" t="str">
        <f>IF(ISBLANK(C8),"",B17*E17)</f>
        <v/>
      </c>
      <c r="I17" s="3648"/>
      <c r="J17" s="1533" t="s">
        <v>1089</v>
      </c>
      <c r="K17" s="679"/>
      <c r="L17" s="3665" t="s">
        <v>2006</v>
      </c>
      <c r="M17" s="3665"/>
      <c r="N17" s="3647" t="str">
        <f>IF(ISBLANK(N8),"",N10/12)</f>
        <v/>
      </c>
      <c r="O17" s="3648"/>
      <c r="P17" s="2184" t="s">
        <v>2007</v>
      </c>
      <c r="Q17" s="3649" t="str">
        <f>IF(ISBLANK(N8),"",3.14*N17^2)</f>
        <v/>
      </c>
      <c r="R17" s="3649"/>
      <c r="S17" s="2183" t="s">
        <v>1089</v>
      </c>
      <c r="T17" s="2364"/>
    </row>
    <row r="18" spans="1:20" ht="6" customHeight="1">
      <c r="A18" s="2219"/>
      <c r="B18" s="2183"/>
      <c r="C18" s="2183"/>
      <c r="D18" s="2183"/>
      <c r="E18" s="2183"/>
      <c r="F18" s="2183"/>
      <c r="G18" s="2183"/>
      <c r="H18" s="2183"/>
      <c r="I18" s="2183"/>
      <c r="J18" s="1533"/>
      <c r="K18" s="679"/>
      <c r="L18" s="2213"/>
      <c r="M18" s="2183"/>
      <c r="N18" s="584"/>
      <c r="O18" s="584"/>
      <c r="P18" s="584"/>
      <c r="Q18" s="2183"/>
      <c r="R18" s="584"/>
      <c r="S18" s="584"/>
      <c r="T18" s="2185"/>
    </row>
    <row r="19" spans="1:20" ht="15" customHeight="1">
      <c r="A19" s="2219" t="s">
        <v>1019</v>
      </c>
      <c r="B19" s="2183" t="s">
        <v>2008</v>
      </c>
      <c r="C19" s="2183"/>
      <c r="D19" s="2183"/>
      <c r="E19" s="2183"/>
      <c r="F19" s="2183"/>
      <c r="G19" s="2183"/>
      <c r="H19" s="2183"/>
      <c r="I19" s="2183"/>
      <c r="J19" s="1533"/>
      <c r="K19" s="2324" t="s">
        <v>1019</v>
      </c>
      <c r="L19" s="2183" t="s">
        <v>2009</v>
      </c>
      <c r="M19" s="2183"/>
      <c r="N19" s="2183"/>
      <c r="O19" s="2183"/>
      <c r="P19" s="2183"/>
      <c r="Q19" s="2183"/>
      <c r="R19" s="2183"/>
      <c r="S19" s="2183"/>
      <c r="T19" s="2185"/>
    </row>
    <row r="20" spans="1:20" ht="6" customHeight="1">
      <c r="A20" s="2219"/>
      <c r="B20" s="2183"/>
      <c r="C20" s="2183"/>
      <c r="D20" s="2183"/>
      <c r="E20" s="2183"/>
      <c r="F20" s="2183"/>
      <c r="G20" s="2183"/>
      <c r="H20" s="2183"/>
      <c r="I20" s="2183"/>
      <c r="J20" s="1533"/>
      <c r="K20" s="679"/>
      <c r="L20" s="2183"/>
      <c r="M20" s="2183"/>
      <c r="N20" s="2183"/>
      <c r="O20" s="2183"/>
      <c r="P20" s="2183"/>
      <c r="Q20" s="2183"/>
      <c r="R20" s="2183"/>
      <c r="S20" s="2183"/>
      <c r="T20" s="2185"/>
    </row>
    <row r="21" spans="1:20" ht="24" customHeight="1">
      <c r="A21" s="2219"/>
      <c r="B21" s="3647" t="str">
        <f>H17</f>
        <v/>
      </c>
      <c r="C21" s="3648"/>
      <c r="D21" s="2184" t="s">
        <v>2010</v>
      </c>
      <c r="E21" s="3647" t="str">
        <f>IF(ISBLANK(C8),"",I10)</f>
        <v/>
      </c>
      <c r="F21" s="3650"/>
      <c r="G21" s="2184" t="s">
        <v>1208</v>
      </c>
      <c r="H21" s="3647" t="str">
        <f>IF(ISBLANK(C8),"",B21*E21)</f>
        <v/>
      </c>
      <c r="I21" s="3648"/>
      <c r="J21" s="1533" t="s">
        <v>1241</v>
      </c>
      <c r="K21" s="679"/>
      <c r="L21" s="3647" t="str">
        <f>Q17</f>
        <v/>
      </c>
      <c r="M21" s="3650"/>
      <c r="N21" s="2184" t="s">
        <v>2010</v>
      </c>
      <c r="O21" s="3647" t="str">
        <f>IF(ISBLANK(N8),"",I10)</f>
        <v/>
      </c>
      <c r="P21" s="3650"/>
      <c r="Q21" s="2184" t="s">
        <v>1443</v>
      </c>
      <c r="R21" s="3651" t="str">
        <f>IF(ISBLANK(N8),"",L21*O21)</f>
        <v/>
      </c>
      <c r="S21" s="3652"/>
      <c r="T21" s="2185" t="s">
        <v>1241</v>
      </c>
    </row>
    <row r="22" spans="1:20" ht="6" customHeight="1">
      <c r="A22" s="2365"/>
      <c r="B22" s="2366"/>
      <c r="C22" s="2366"/>
      <c r="D22" s="2366"/>
      <c r="E22" s="2366"/>
      <c r="F22" s="2366"/>
      <c r="G22" s="2366"/>
      <c r="H22" s="2366"/>
      <c r="I22" s="2366"/>
      <c r="J22" s="2367"/>
      <c r="K22" s="2368"/>
      <c r="L22" s="2366"/>
      <c r="M22" s="2366"/>
      <c r="N22" s="2366"/>
      <c r="O22" s="2366"/>
      <c r="P22" s="2366"/>
      <c r="Q22" s="2366"/>
      <c r="R22" s="2366"/>
      <c r="S22" s="2366"/>
      <c r="T22" s="2369"/>
    </row>
    <row r="23" spans="1:20" s="678" customFormat="1" ht="19.5">
      <c r="A23" s="3645" t="s">
        <v>2011</v>
      </c>
      <c r="B23" s="3646"/>
      <c r="C23" s="3646"/>
      <c r="D23" s="3646"/>
      <c r="E23" s="3646"/>
      <c r="F23" s="3646"/>
      <c r="G23" s="3646"/>
      <c r="H23" s="3646"/>
      <c r="I23" s="3646"/>
      <c r="J23" s="3646"/>
      <c r="K23" s="2370"/>
      <c r="L23" s="2370"/>
      <c r="M23" s="2370"/>
      <c r="N23" s="2370"/>
      <c r="O23" s="2370"/>
      <c r="P23" s="2370"/>
      <c r="Q23" s="2370"/>
      <c r="R23" s="2370"/>
      <c r="S23" s="2370"/>
      <c r="T23" s="2371"/>
    </row>
    <row r="24" spans="1:20" ht="6" customHeight="1">
      <c r="A24" s="2219"/>
      <c r="B24" s="2183"/>
      <c r="C24" s="2183"/>
      <c r="D24" s="2183"/>
      <c r="E24" s="2183"/>
      <c r="F24" s="2183"/>
      <c r="G24" s="2183"/>
      <c r="H24" s="2183"/>
      <c r="I24" s="2183"/>
      <c r="J24" s="2183"/>
      <c r="K24" s="2183"/>
      <c r="L24" s="2183"/>
      <c r="M24" s="2183"/>
      <c r="N24" s="2183"/>
      <c r="O24" s="2183"/>
      <c r="P24" s="2183"/>
      <c r="Q24" s="2183"/>
      <c r="R24" s="2183"/>
      <c r="S24" s="2183"/>
      <c r="T24" s="2185"/>
    </row>
    <row r="25" spans="1:20" ht="24" customHeight="1">
      <c r="A25" s="2219"/>
      <c r="B25" s="2183" t="s">
        <v>2012</v>
      </c>
      <c r="C25" s="2183"/>
      <c r="D25" s="2183"/>
      <c r="E25" s="2183"/>
      <c r="F25" s="2183"/>
      <c r="G25" s="584"/>
      <c r="H25" s="3683"/>
      <c r="I25" s="3684"/>
      <c r="J25" s="2183" t="s">
        <v>2013</v>
      </c>
      <c r="K25" s="584"/>
      <c r="L25" s="2183"/>
      <c r="M25" s="584"/>
      <c r="N25" s="2183"/>
      <c r="O25" s="2183"/>
      <c r="P25" s="2183"/>
      <c r="Q25" s="2183"/>
      <c r="R25" s="2183"/>
      <c r="S25" s="2183"/>
      <c r="T25" s="2185"/>
    </row>
    <row r="26" spans="1:20" ht="6" customHeight="1">
      <c r="A26" s="2219"/>
      <c r="B26" s="2183"/>
      <c r="C26" s="2183"/>
      <c r="D26" s="2183"/>
      <c r="E26" s="2183"/>
      <c r="F26" s="2183"/>
      <c r="G26" s="2183"/>
      <c r="H26" s="2183"/>
      <c r="I26" s="2183"/>
      <c r="J26" s="2183"/>
      <c r="K26" s="2183"/>
      <c r="L26" s="2183"/>
      <c r="M26" s="2183"/>
      <c r="N26" s="2183"/>
      <c r="O26" s="2183"/>
      <c r="P26" s="2183"/>
      <c r="Q26" s="2183"/>
      <c r="R26" s="2183"/>
      <c r="S26" s="2183"/>
      <c r="T26" s="2185"/>
    </row>
    <row r="27" spans="1:20" s="678" customFormat="1" ht="19.5">
      <c r="A27" s="2372" t="s">
        <v>2014</v>
      </c>
      <c r="B27" s="2370"/>
      <c r="C27" s="2370"/>
      <c r="D27" s="2370"/>
      <c r="E27" s="2370"/>
      <c r="F27" s="2370"/>
      <c r="G27" s="2370"/>
      <c r="H27" s="2370"/>
      <c r="I27" s="2370"/>
      <c r="J27" s="2370"/>
      <c r="K27" s="2370"/>
      <c r="L27" s="2370"/>
      <c r="M27" s="2370"/>
      <c r="N27" s="2370"/>
      <c r="O27" s="2370"/>
      <c r="P27" s="2370"/>
      <c r="Q27" s="2370"/>
      <c r="R27" s="2370"/>
      <c r="S27" s="2370"/>
      <c r="T27" s="2371"/>
    </row>
    <row r="28" spans="1:20" ht="6" customHeight="1">
      <c r="A28" s="2219"/>
      <c r="B28" s="2183"/>
      <c r="C28" s="2183"/>
      <c r="D28" s="2183"/>
      <c r="E28" s="2183"/>
      <c r="F28" s="2183"/>
      <c r="G28" s="2183"/>
      <c r="H28" s="2183"/>
      <c r="I28" s="2183"/>
      <c r="J28" s="2183"/>
      <c r="K28" s="2183"/>
      <c r="L28" s="584"/>
      <c r="M28" s="584"/>
      <c r="N28" s="584"/>
      <c r="O28" s="584"/>
      <c r="P28" s="584"/>
      <c r="Q28" s="2183"/>
      <c r="R28" s="2183"/>
      <c r="S28" s="2183"/>
      <c r="T28" s="2185"/>
    </row>
    <row r="29" spans="1:20" ht="6" customHeight="1">
      <c r="A29" s="2219"/>
      <c r="B29" s="2183"/>
      <c r="C29" s="2183"/>
      <c r="D29" s="2183"/>
      <c r="E29" s="2183"/>
      <c r="F29" s="2183"/>
      <c r="G29" s="2183"/>
      <c r="H29" s="2183"/>
      <c r="I29" s="2183"/>
      <c r="J29" s="2183"/>
      <c r="K29" s="2183"/>
      <c r="L29" s="584"/>
      <c r="M29" s="584"/>
      <c r="N29" s="584"/>
      <c r="O29" s="584"/>
      <c r="P29" s="584"/>
      <c r="Q29" s="584"/>
      <c r="R29" s="584"/>
      <c r="S29" s="2183"/>
      <c r="T29" s="2185"/>
    </row>
    <row r="30" spans="1:20" ht="24" customHeight="1">
      <c r="A30" s="2219" t="s">
        <v>1011</v>
      </c>
      <c r="B30" s="2183" t="s">
        <v>2015</v>
      </c>
      <c r="C30" s="2183"/>
      <c r="D30" s="2183"/>
      <c r="E30" s="584"/>
      <c r="F30" s="2355"/>
      <c r="G30" s="2183" t="s">
        <v>629</v>
      </c>
      <c r="H30" s="2357" t="str">
        <f>IF(ISBLANK(F30),"",F30/12)</f>
        <v/>
      </c>
      <c r="I30" s="2183" t="s">
        <v>609</v>
      </c>
      <c r="J30" s="584"/>
      <c r="K30" s="2183"/>
      <c r="L30" s="584"/>
      <c r="M30" s="584"/>
      <c r="N30" s="584"/>
      <c r="O30" s="3657" t="s">
        <v>2016</v>
      </c>
      <c r="P30" s="3657"/>
      <c r="Q30" s="3656" t="s">
        <v>2017</v>
      </c>
      <c r="R30" s="3656"/>
      <c r="S30" s="3656"/>
      <c r="T30" s="2364"/>
    </row>
    <row r="31" spans="1:20" ht="6" customHeight="1">
      <c r="A31" s="2219"/>
      <c r="B31" s="2183"/>
      <c r="C31" s="2183"/>
      <c r="D31" s="2183"/>
      <c r="E31" s="2183"/>
      <c r="F31" s="2183"/>
      <c r="G31" s="2183"/>
      <c r="H31" s="2183"/>
      <c r="I31" s="2183"/>
      <c r="J31" s="2183"/>
      <c r="K31" s="2183"/>
      <c r="L31" s="584"/>
      <c r="M31" s="584"/>
      <c r="N31" s="584"/>
      <c r="O31" s="3657"/>
      <c r="P31" s="3657"/>
      <c r="Q31" s="3656"/>
      <c r="R31" s="3656"/>
      <c r="S31" s="3656"/>
      <c r="T31" s="2364"/>
    </row>
    <row r="32" spans="1:20" ht="24" customHeight="1">
      <c r="A32" s="2219" t="s">
        <v>1019</v>
      </c>
      <c r="B32" s="2183" t="s">
        <v>2018</v>
      </c>
      <c r="C32" s="2183"/>
      <c r="D32" s="2183"/>
      <c r="E32" s="2183"/>
      <c r="F32" s="584"/>
      <c r="G32" s="584"/>
      <c r="H32" s="2355"/>
      <c r="I32" s="2183" t="s">
        <v>2019</v>
      </c>
      <c r="J32" s="2183"/>
      <c r="K32" s="2183"/>
      <c r="L32" s="584"/>
      <c r="M32" s="584"/>
      <c r="N32" s="584"/>
      <c r="O32" s="3657"/>
      <c r="P32" s="3657"/>
      <c r="Q32" s="3656"/>
      <c r="R32" s="3656"/>
      <c r="S32" s="3656"/>
      <c r="T32" s="2364"/>
    </row>
    <row r="33" spans="1:20" ht="6" customHeight="1">
      <c r="A33" s="2219"/>
      <c r="B33" s="2183"/>
      <c r="C33" s="2183"/>
      <c r="D33" s="2183"/>
      <c r="E33" s="2183"/>
      <c r="F33" s="2183"/>
      <c r="G33" s="2183"/>
      <c r="H33" s="2183"/>
      <c r="I33" s="2183"/>
      <c r="J33" s="2183"/>
      <c r="K33" s="2183"/>
      <c r="L33" s="584"/>
      <c r="M33" s="584"/>
      <c r="N33" s="584"/>
      <c r="O33" s="3657"/>
      <c r="P33" s="3657"/>
      <c r="Q33" s="3656"/>
      <c r="R33" s="3656"/>
      <c r="S33" s="3656"/>
      <c r="T33" s="2364"/>
    </row>
    <row r="34" spans="1:20" ht="15" customHeight="1">
      <c r="A34" s="2219" t="s">
        <v>1168</v>
      </c>
      <c r="B34" s="2183" t="s">
        <v>2020</v>
      </c>
      <c r="C34" s="2183"/>
      <c r="D34" s="2183"/>
      <c r="E34" s="2183"/>
      <c r="F34" s="2183"/>
      <c r="G34" s="2183"/>
      <c r="H34" s="2183"/>
      <c r="I34" s="2183"/>
      <c r="J34" s="2183"/>
      <c r="K34" s="2183"/>
      <c r="L34" s="584"/>
      <c r="M34" s="584"/>
      <c r="N34" s="584"/>
      <c r="O34" s="3658" t="s">
        <v>2021</v>
      </c>
      <c r="P34" s="3658"/>
      <c r="Q34" s="3658">
        <v>120</v>
      </c>
      <c r="R34" s="3658"/>
      <c r="S34" s="3658"/>
      <c r="T34" s="2364"/>
    </row>
    <row r="35" spans="1:20" ht="6" customHeight="1">
      <c r="A35" s="2219"/>
      <c r="B35" s="2183"/>
      <c r="C35" s="2183"/>
      <c r="D35" s="2183"/>
      <c r="E35" s="2183"/>
      <c r="F35" s="2183"/>
      <c r="G35" s="2183"/>
      <c r="H35" s="2183"/>
      <c r="I35" s="2183"/>
      <c r="J35" s="2183"/>
      <c r="K35" s="2183"/>
      <c r="L35" s="584"/>
      <c r="M35" s="584"/>
      <c r="N35" s="584"/>
      <c r="O35" s="3667"/>
      <c r="P35" s="3667"/>
      <c r="Q35" s="3658"/>
      <c r="R35" s="3658"/>
      <c r="S35" s="3658"/>
      <c r="T35" s="2364"/>
    </row>
    <row r="36" spans="1:20" ht="24" customHeight="1">
      <c r="A36" s="2219"/>
      <c r="B36" s="2357" t="str">
        <f>H30</f>
        <v/>
      </c>
      <c r="C36" s="2184" t="s">
        <v>1229</v>
      </c>
      <c r="D36" s="3647" t="str">
        <f>IF(ISBLANK(F30),"",MAX(H17,Q17))</f>
        <v/>
      </c>
      <c r="E36" s="3648"/>
      <c r="F36" s="2209" t="s">
        <v>2022</v>
      </c>
      <c r="G36" s="2362" t="str">
        <f>IF(ISBLANK(F30),"",B36*D36)</f>
        <v/>
      </c>
      <c r="H36" s="2363"/>
      <c r="I36" s="2183" t="s">
        <v>1241</v>
      </c>
      <c r="J36" s="2183"/>
      <c r="K36" s="2183"/>
      <c r="L36" s="584"/>
      <c r="M36" s="584"/>
      <c r="N36" s="584"/>
      <c r="O36" s="3659" t="s">
        <v>2023</v>
      </c>
      <c r="P36" s="3659"/>
      <c r="Q36" s="3659">
        <v>100</v>
      </c>
      <c r="R36" s="3659"/>
      <c r="S36" s="3659"/>
      <c r="T36" s="2364"/>
    </row>
    <row r="37" spans="1:20" ht="6" customHeight="1">
      <c r="A37" s="2219"/>
      <c r="B37" s="2183"/>
      <c r="C37" s="2183"/>
      <c r="D37" s="2183"/>
      <c r="E37" s="2183"/>
      <c r="F37" s="2183"/>
      <c r="G37" s="2183"/>
      <c r="H37" s="2183"/>
      <c r="I37" s="2183"/>
      <c r="J37" s="2183"/>
      <c r="K37" s="2183"/>
      <c r="L37" s="584"/>
      <c r="M37" s="584"/>
      <c r="N37" s="584"/>
      <c r="O37" s="3659"/>
      <c r="P37" s="3659"/>
      <c r="Q37" s="3659"/>
      <c r="R37" s="3659"/>
      <c r="S37" s="3659"/>
      <c r="T37" s="2364"/>
    </row>
    <row r="38" spans="1:20" ht="18.75" customHeight="1">
      <c r="A38" s="1209" t="s">
        <v>1172</v>
      </c>
      <c r="B38" s="3688" t="s">
        <v>2024</v>
      </c>
      <c r="C38" s="3688"/>
      <c r="D38" s="3688"/>
      <c r="E38" s="3688"/>
      <c r="F38" s="3688"/>
      <c r="G38" s="3688"/>
      <c r="H38" s="3688"/>
      <c r="I38" s="3688"/>
      <c r="J38" s="3688"/>
      <c r="K38" s="3688"/>
      <c r="L38" s="3688"/>
      <c r="M38" s="3688"/>
      <c r="N38" s="3689"/>
      <c r="O38" s="3658" t="s">
        <v>389</v>
      </c>
      <c r="P38" s="3658"/>
      <c r="Q38" s="3658">
        <v>90</v>
      </c>
      <c r="R38" s="3658"/>
      <c r="S38" s="3658"/>
      <c r="T38" s="2364"/>
    </row>
    <row r="39" spans="1:20" ht="12" customHeight="1">
      <c r="A39" s="2219"/>
      <c r="B39" s="2183"/>
      <c r="C39" s="2183"/>
      <c r="D39" s="2183"/>
      <c r="E39" s="2183"/>
      <c r="F39" s="2183"/>
      <c r="G39" s="2183"/>
      <c r="H39" s="2183"/>
      <c r="I39" s="2183"/>
      <c r="J39" s="2183"/>
      <c r="K39" s="2183"/>
      <c r="L39" s="2183"/>
      <c r="M39" s="2183"/>
      <c r="N39" s="2183"/>
      <c r="O39" s="3658"/>
      <c r="P39" s="3658"/>
      <c r="Q39" s="3658"/>
      <c r="R39" s="3658"/>
      <c r="S39" s="3658"/>
      <c r="T39" s="2364"/>
    </row>
    <row r="40" spans="1:20" ht="24" customHeight="1">
      <c r="A40" s="2219"/>
      <c r="B40" s="2357" t="str">
        <f>G36</f>
        <v/>
      </c>
      <c r="C40" s="2209" t="s">
        <v>2025</v>
      </c>
      <c r="D40" s="2358" t="str">
        <f>IF(ISBLANK(F30),"",H32)</f>
        <v/>
      </c>
      <c r="E40" s="679" t="s">
        <v>2026</v>
      </c>
      <c r="F40" s="584"/>
      <c r="G40" s="3644" t="str">
        <f>IF(ISBLANK(F30),"",B40*D40)</f>
        <v/>
      </c>
      <c r="H40" s="3644"/>
      <c r="I40" s="2183" t="s">
        <v>2013</v>
      </c>
      <c r="J40" s="2186" t="s">
        <v>2027</v>
      </c>
      <c r="K40" s="584"/>
      <c r="L40" s="584"/>
      <c r="M40" s="584"/>
      <c r="N40" s="584"/>
      <c r="O40" s="2183"/>
      <c r="P40" s="2183"/>
      <c r="Q40" s="2183"/>
      <c r="R40" s="2183"/>
      <c r="S40" s="2183"/>
      <c r="T40" s="2185"/>
    </row>
    <row r="41" spans="1:20" ht="6" customHeight="1">
      <c r="A41" s="2219"/>
      <c r="B41" s="2359"/>
      <c r="C41" s="2184"/>
      <c r="D41" s="2213"/>
      <c r="E41" s="2183"/>
      <c r="F41" s="2220"/>
      <c r="G41" s="2220"/>
      <c r="H41" s="2183"/>
      <c r="I41" s="2187"/>
      <c r="J41" s="584"/>
      <c r="K41" s="584"/>
      <c r="L41" s="584"/>
      <c r="M41" s="584"/>
      <c r="N41" s="584"/>
      <c r="O41" s="2183"/>
      <c r="P41" s="2183"/>
      <c r="Q41" s="2183"/>
      <c r="R41" s="2183"/>
      <c r="S41" s="2183"/>
      <c r="T41" s="2185"/>
    </row>
    <row r="42" spans="1:20" ht="6" customHeight="1">
      <c r="A42" s="2219"/>
      <c r="B42" s="2183"/>
      <c r="C42" s="2183"/>
      <c r="D42" s="2183"/>
      <c r="E42" s="2183"/>
      <c r="F42" s="2183"/>
      <c r="G42" s="2183"/>
      <c r="H42" s="2183"/>
      <c r="I42" s="2183"/>
      <c r="J42" s="2183"/>
      <c r="K42" s="2183"/>
      <c r="L42" s="2183"/>
      <c r="M42" s="2183"/>
      <c r="N42" s="2183"/>
      <c r="O42" s="2183"/>
      <c r="P42" s="2183"/>
      <c r="Q42" s="2183"/>
      <c r="R42" s="2183"/>
      <c r="S42" s="2183"/>
      <c r="T42" s="2185"/>
    </row>
    <row r="43" spans="1:20" s="678" customFormat="1" ht="19.5">
      <c r="A43" s="2372" t="s">
        <v>2028</v>
      </c>
      <c r="B43" s="2370"/>
      <c r="C43" s="2370"/>
      <c r="D43" s="2370"/>
      <c r="E43" s="2370"/>
      <c r="F43" s="2370"/>
      <c r="G43" s="2370"/>
      <c r="H43" s="2370"/>
      <c r="I43" s="2370"/>
      <c r="J43" s="2370"/>
      <c r="K43" s="2370"/>
      <c r="L43" s="2370"/>
      <c r="M43" s="2370"/>
      <c r="N43" s="2370"/>
      <c r="O43" s="2370"/>
      <c r="P43" s="2370"/>
      <c r="Q43" s="2370"/>
      <c r="R43" s="2370"/>
      <c r="S43" s="2370"/>
      <c r="T43" s="2371"/>
    </row>
    <row r="44" spans="1:20" ht="6" customHeight="1">
      <c r="A44" s="2219"/>
      <c r="B44" s="2183"/>
      <c r="C44" s="2183"/>
      <c r="D44" s="2183"/>
      <c r="E44" s="2183"/>
      <c r="F44" s="2183"/>
      <c r="G44" s="2183"/>
      <c r="H44" s="2183"/>
      <c r="I44" s="2183"/>
      <c r="J44" s="2183"/>
      <c r="K44" s="2183"/>
      <c r="L44" s="2183"/>
      <c r="M44" s="2183"/>
      <c r="N44" s="2183"/>
      <c r="O44" s="2183"/>
      <c r="P44" s="2183"/>
      <c r="Q44" s="2183"/>
      <c r="R44" s="2183"/>
      <c r="S44" s="2183"/>
      <c r="T44" s="2185"/>
    </row>
    <row r="45" spans="1:20" ht="20.25" customHeight="1">
      <c r="A45" s="2354"/>
      <c r="B45" s="2184" t="s">
        <v>2029</v>
      </c>
      <c r="C45" s="2183"/>
      <c r="D45" s="2183"/>
      <c r="E45" s="2183"/>
      <c r="F45" s="2183"/>
      <c r="G45" s="2183"/>
      <c r="H45" s="2183"/>
      <c r="I45" s="2183"/>
      <c r="J45" s="2183"/>
      <c r="K45" s="2183"/>
      <c r="L45" s="2183"/>
      <c r="M45" s="2183"/>
      <c r="N45" s="2183"/>
      <c r="O45" s="2183"/>
      <c r="P45" s="2183"/>
      <c r="Q45" s="2183"/>
      <c r="R45" s="2183"/>
      <c r="S45" s="2183"/>
      <c r="T45" s="2185"/>
    </row>
    <row r="46" spans="1:20" ht="6" customHeight="1">
      <c r="A46" s="2219"/>
      <c r="B46" s="2183"/>
      <c r="C46" s="2183"/>
      <c r="D46" s="2183"/>
      <c r="E46" s="2183"/>
      <c r="F46" s="2183"/>
      <c r="G46" s="2183"/>
      <c r="H46" s="2183"/>
      <c r="I46" s="2183"/>
      <c r="J46" s="2183"/>
      <c r="K46" s="2183"/>
      <c r="L46" s="2183"/>
      <c r="M46" s="2183"/>
      <c r="N46" s="2183"/>
      <c r="O46" s="2183"/>
      <c r="P46" s="2183"/>
      <c r="Q46" s="2183"/>
      <c r="R46" s="2183"/>
      <c r="S46" s="2183"/>
      <c r="T46" s="2185"/>
    </row>
    <row r="47" spans="1:20" ht="24" customHeight="1">
      <c r="A47" s="2354"/>
      <c r="B47" s="3651" t="str">
        <f>IF(ISBLANK(F30),"",MAX(H21,R21))</f>
        <v/>
      </c>
      <c r="C47" s="3650"/>
      <c r="D47" s="3664" t="s">
        <v>2030</v>
      </c>
      <c r="E47" s="3665"/>
      <c r="F47" s="3665"/>
      <c r="G47" s="3666"/>
      <c r="H47" s="3661" t="str">
        <f>IF(ISBLANK(I8),"",B47*62.4*1.2)</f>
        <v/>
      </c>
      <c r="I47" s="3663"/>
      <c r="J47" s="2183" t="s">
        <v>2013</v>
      </c>
      <c r="K47" s="2183"/>
      <c r="L47" s="2187"/>
      <c r="M47" s="2373"/>
      <c r="N47" s="2183"/>
      <c r="O47" s="2213"/>
      <c r="P47" s="3665"/>
      <c r="Q47" s="3665"/>
      <c r="R47" s="2183"/>
      <c r="S47" s="3685"/>
      <c r="T47" s="3686"/>
    </row>
    <row r="48" spans="1:20" ht="6" customHeight="1">
      <c r="A48" s="2219"/>
      <c r="B48" s="2183"/>
      <c r="C48" s="2183"/>
      <c r="D48" s="2183"/>
      <c r="E48" s="2183"/>
      <c r="F48" s="2183"/>
      <c r="G48" s="2183"/>
      <c r="H48" s="2183"/>
      <c r="I48" s="2183"/>
      <c r="J48" s="2183"/>
      <c r="K48" s="2183"/>
      <c r="L48" s="2183"/>
      <c r="M48" s="2183"/>
      <c r="N48" s="2183"/>
      <c r="O48" s="2183"/>
      <c r="P48" s="2183"/>
      <c r="Q48" s="2183"/>
      <c r="R48" s="2183"/>
      <c r="S48" s="2183"/>
      <c r="T48" s="2185"/>
    </row>
    <row r="49" spans="1:20" s="678" customFormat="1" ht="18">
      <c r="A49" s="2372" t="s">
        <v>2031</v>
      </c>
      <c r="B49" s="2370"/>
      <c r="C49" s="2370"/>
      <c r="D49" s="2370"/>
      <c r="E49" s="2370"/>
      <c r="F49" s="2370"/>
      <c r="G49" s="2370"/>
      <c r="H49" s="2370"/>
      <c r="I49" s="2370"/>
      <c r="J49" s="2370"/>
      <c r="K49" s="2370"/>
      <c r="L49" s="2370"/>
      <c r="M49" s="2370"/>
      <c r="N49" s="2370"/>
      <c r="O49" s="2370"/>
      <c r="P49" s="2370"/>
      <c r="Q49" s="2370"/>
      <c r="R49" s="2370"/>
      <c r="S49" s="2370"/>
      <c r="T49" s="2371"/>
    </row>
    <row r="50" spans="1:20" ht="6" customHeight="1">
      <c r="A50" s="2219"/>
      <c r="B50" s="2183"/>
      <c r="C50" s="2183"/>
      <c r="D50" s="2183"/>
      <c r="E50" s="2183"/>
      <c r="F50" s="2183"/>
      <c r="G50" s="2183"/>
      <c r="H50" s="2183"/>
      <c r="I50" s="2183"/>
      <c r="J50" s="2183"/>
      <c r="K50" s="2183"/>
      <c r="L50" s="2183"/>
      <c r="M50" s="2183"/>
      <c r="N50" s="2183"/>
      <c r="O50" s="2183"/>
      <c r="P50" s="2183"/>
      <c r="Q50" s="2183"/>
      <c r="R50" s="2183"/>
      <c r="S50" s="2183"/>
      <c r="T50" s="2185"/>
    </row>
    <row r="51" spans="1:20" ht="19.5" customHeight="1">
      <c r="A51" s="1209" t="s">
        <v>1011</v>
      </c>
      <c r="B51" s="2183" t="s">
        <v>2032</v>
      </c>
      <c r="C51" s="2183"/>
      <c r="D51" s="2183"/>
      <c r="E51" s="2183"/>
      <c r="F51" s="2183"/>
      <c r="G51" s="2183"/>
      <c r="H51" s="2183"/>
      <c r="I51" s="2183"/>
      <c r="J51" s="2183"/>
      <c r="K51" s="2183"/>
      <c r="L51" s="2183"/>
      <c r="M51" s="2183"/>
      <c r="N51" s="2183"/>
      <c r="O51" s="2183"/>
      <c r="P51" s="2183"/>
      <c r="Q51" s="2183"/>
      <c r="R51" s="2183"/>
      <c r="S51" s="2183"/>
      <c r="T51" s="2185"/>
    </row>
    <row r="52" spans="1:20" ht="6" customHeight="1">
      <c r="A52" s="2219"/>
      <c r="B52" s="2183"/>
      <c r="C52" s="2183"/>
      <c r="D52" s="2183"/>
      <c r="E52" s="2183"/>
      <c r="F52" s="2183"/>
      <c r="G52" s="2183"/>
      <c r="H52" s="2183"/>
      <c r="I52" s="2183"/>
      <c r="J52" s="2183"/>
      <c r="K52" s="2183"/>
      <c r="L52" s="2183"/>
      <c r="M52" s="2183"/>
      <c r="N52" s="2183"/>
      <c r="O52" s="2183"/>
      <c r="P52" s="2183"/>
      <c r="Q52" s="2183"/>
      <c r="R52" s="2183"/>
      <c r="S52" s="2183"/>
      <c r="T52" s="2185"/>
    </row>
    <row r="53" spans="1:20" ht="24" customHeight="1">
      <c r="A53" s="2219"/>
      <c r="B53" s="3651" t="str">
        <f>IF(ISBLANK(I8),"",H25)</f>
        <v/>
      </c>
      <c r="C53" s="3660"/>
      <c r="D53" s="679" t="s">
        <v>2033</v>
      </c>
      <c r="E53" s="3651" t="str">
        <f>G40</f>
        <v/>
      </c>
      <c r="F53" s="3660"/>
      <c r="G53" s="679" t="s">
        <v>2034</v>
      </c>
      <c r="H53" s="3661" t="str">
        <f>IF(ISBLANK(I8),"",B53+E53)</f>
        <v/>
      </c>
      <c r="I53" s="3662"/>
      <c r="J53" s="3687" t="s">
        <v>2013</v>
      </c>
      <c r="K53" s="3687"/>
      <c r="L53" s="2183"/>
      <c r="M53" s="2183"/>
      <c r="N53" s="2183"/>
      <c r="O53" s="2183"/>
      <c r="P53" s="2183"/>
      <c r="Q53" s="2183"/>
      <c r="R53" s="2183"/>
      <c r="S53" s="2183"/>
      <c r="T53" s="2185"/>
    </row>
    <row r="54" spans="1:20" ht="6" customHeight="1">
      <c r="A54" s="2219"/>
      <c r="B54" s="2183"/>
      <c r="C54" s="2183"/>
      <c r="D54" s="2183"/>
      <c r="E54" s="2183"/>
      <c r="F54" s="2183"/>
      <c r="G54" s="2183"/>
      <c r="H54" s="2183"/>
      <c r="I54" s="2183"/>
      <c r="J54" s="2183"/>
      <c r="K54" s="2183"/>
      <c r="L54" s="2183"/>
      <c r="M54" s="2183"/>
      <c r="N54" s="2183"/>
      <c r="O54" s="2183"/>
      <c r="P54" s="2183"/>
      <c r="Q54" s="2183"/>
      <c r="R54" s="2183"/>
      <c r="S54" s="2183"/>
      <c r="T54" s="2185"/>
    </row>
    <row r="55" spans="1:20" ht="15" customHeight="1">
      <c r="A55" s="1209" t="s">
        <v>1019</v>
      </c>
      <c r="B55" s="2183" t="s">
        <v>2035</v>
      </c>
      <c r="C55" s="2183"/>
      <c r="D55" s="2183"/>
      <c r="E55" s="2183"/>
      <c r="F55" s="2183"/>
      <c r="G55" s="2183"/>
      <c r="H55" s="2183"/>
      <c r="I55" s="2183"/>
      <c r="J55" s="2183"/>
      <c r="K55" s="2183"/>
      <c r="L55" s="2183"/>
      <c r="M55" s="2183"/>
      <c r="N55" s="2183"/>
      <c r="O55" s="2183"/>
      <c r="P55" s="2183"/>
      <c r="Q55" s="2183"/>
      <c r="R55" s="2183"/>
      <c r="S55" s="2183"/>
      <c r="T55" s="2185"/>
    </row>
    <row r="56" spans="1:20" ht="6" customHeight="1">
      <c r="A56" s="2219"/>
      <c r="B56" s="2183"/>
      <c r="C56" s="2183"/>
      <c r="D56" s="2183"/>
      <c r="E56" s="2183"/>
      <c r="F56" s="2183"/>
      <c r="G56" s="2183"/>
      <c r="H56" s="2183"/>
      <c r="I56" s="2183"/>
      <c r="J56" s="2183"/>
      <c r="K56" s="2183"/>
      <c r="L56" s="2183"/>
      <c r="M56" s="2183"/>
      <c r="N56" s="2183"/>
      <c r="O56" s="2183"/>
      <c r="P56" s="2183"/>
      <c r="Q56" s="2183"/>
      <c r="R56" s="2183"/>
      <c r="S56" s="2183"/>
      <c r="T56" s="2185"/>
    </row>
    <row r="57" spans="1:20" ht="24" customHeight="1">
      <c r="A57" s="2219"/>
      <c r="B57" s="3651" t="str">
        <f>H53</f>
        <v/>
      </c>
      <c r="C57" s="3650"/>
      <c r="D57" s="2184" t="s">
        <v>2036</v>
      </c>
      <c r="E57" s="3651" t="str">
        <f>H47</f>
        <v/>
      </c>
      <c r="F57" s="3650"/>
      <c r="G57" s="2184" t="s">
        <v>2034</v>
      </c>
      <c r="H57" s="3661" t="str">
        <f>IF(ISBLANK(I8),"",B57-E57)</f>
        <v/>
      </c>
      <c r="I57" s="3663"/>
      <c r="J57" s="2183" t="s">
        <v>2013</v>
      </c>
      <c r="K57" s="2183"/>
      <c r="L57" s="3668" t="str">
        <f>IF(H57&lt;0,"Warning: Tank may float","")</f>
        <v/>
      </c>
      <c r="M57" s="3668"/>
      <c r="N57" s="3668"/>
      <c r="O57" s="3668"/>
      <c r="P57" s="3668"/>
      <c r="Q57" s="2183"/>
      <c r="R57" s="2183"/>
      <c r="S57" s="2183"/>
      <c r="T57" s="2185"/>
    </row>
    <row r="58" spans="1:20" ht="6" customHeight="1">
      <c r="A58" s="2219"/>
      <c r="B58" s="2183"/>
      <c r="C58" s="2183"/>
      <c r="D58" s="2183"/>
      <c r="E58" s="2183"/>
      <c r="F58" s="2183"/>
      <c r="G58" s="2183"/>
      <c r="H58" s="2183"/>
      <c r="I58" s="2183"/>
      <c r="J58" s="2183"/>
      <c r="K58" s="2183"/>
      <c r="L58" s="2183"/>
      <c r="M58" s="2183"/>
      <c r="N58" s="2183"/>
      <c r="O58" s="2183"/>
      <c r="P58" s="2183"/>
      <c r="Q58" s="2183"/>
      <c r="R58" s="2183"/>
      <c r="S58" s="2183"/>
      <c r="T58" s="2185"/>
    </row>
    <row r="59" spans="1:20" ht="15" customHeight="1">
      <c r="A59" s="2219"/>
      <c r="B59" s="3690" t="s">
        <v>2037</v>
      </c>
      <c r="C59" s="3690"/>
      <c r="D59" s="3690"/>
      <c r="E59" s="3690"/>
      <c r="F59" s="3690"/>
      <c r="G59" s="3690"/>
      <c r="H59" s="3690"/>
      <c r="I59" s="3690"/>
      <c r="J59" s="3690"/>
      <c r="K59" s="3690"/>
      <c r="L59" s="3690"/>
      <c r="M59" s="3690"/>
      <c r="N59" s="3690"/>
      <c r="O59" s="3690"/>
      <c r="P59" s="3690"/>
      <c r="Q59" s="3690"/>
      <c r="R59" s="3690"/>
      <c r="S59" s="3690"/>
      <c r="T59" s="3691"/>
    </row>
    <row r="60" spans="1:20" ht="6" customHeight="1">
      <c r="A60" s="2219"/>
      <c r="B60" s="2188"/>
      <c r="C60" s="2188"/>
      <c r="D60" s="2188"/>
      <c r="E60" s="2188"/>
      <c r="F60" s="2188"/>
      <c r="G60" s="2188"/>
      <c r="H60" s="2188"/>
      <c r="I60" s="2188"/>
      <c r="J60" s="2188"/>
      <c r="K60" s="2188"/>
      <c r="L60" s="2188"/>
      <c r="M60" s="2188"/>
      <c r="N60" s="2188"/>
      <c r="O60" s="2188"/>
      <c r="P60" s="2188"/>
      <c r="Q60" s="2188"/>
      <c r="R60" s="2188"/>
      <c r="S60" s="2188"/>
      <c r="T60" s="1512"/>
    </row>
    <row r="61" spans="1:20" s="584" customFormat="1" ht="19.5" customHeight="1">
      <c r="A61" s="2219" t="s">
        <v>1168</v>
      </c>
      <c r="B61" s="359" t="s">
        <v>2038</v>
      </c>
      <c r="C61" s="2188"/>
      <c r="D61" s="2188"/>
      <c r="E61" s="2188"/>
      <c r="F61" s="2188"/>
      <c r="G61" s="2188"/>
      <c r="H61" s="2188"/>
      <c r="I61" s="2188"/>
      <c r="J61" s="2188"/>
      <c r="K61" s="2188"/>
      <c r="L61" s="2188"/>
      <c r="M61" s="2188"/>
      <c r="N61" s="2188"/>
      <c r="O61" s="2188"/>
      <c r="P61" s="2188"/>
      <c r="Q61" s="2188"/>
      <c r="R61" s="2188"/>
      <c r="S61" s="2188"/>
      <c r="T61" s="1512"/>
    </row>
    <row r="62" spans="1:20" s="584" customFormat="1" ht="6" customHeight="1">
      <c r="A62" s="2219"/>
      <c r="B62" s="359"/>
      <c r="C62" s="2188"/>
      <c r="D62" s="2188"/>
      <c r="E62" s="2188"/>
      <c r="F62" s="2188"/>
      <c r="G62" s="2188"/>
      <c r="H62" s="2188"/>
      <c r="I62" s="2188"/>
      <c r="J62" s="2188"/>
      <c r="K62" s="2188"/>
      <c r="L62" s="2188"/>
      <c r="M62" s="2188"/>
      <c r="N62" s="2188"/>
      <c r="O62" s="2188"/>
      <c r="P62" s="2188"/>
      <c r="Q62" s="2188"/>
      <c r="R62" s="2188"/>
      <c r="S62" s="2188"/>
      <c r="T62" s="1512"/>
    </row>
    <row r="63" spans="1:20" s="584" customFormat="1" ht="24" customHeight="1">
      <c r="A63" s="2219"/>
      <c r="B63" s="3651" t="str">
        <f>IF(ISBLANK(F30)," ",(IF(H57&lt;0,ABS(H57),0)))</f>
        <v xml:space="preserve"> </v>
      </c>
      <c r="C63" s="3650"/>
      <c r="D63" s="2184" t="s">
        <v>2039</v>
      </c>
      <c r="E63" s="3651" t="str">
        <f>IF(ISBLANK(H32)," ",(H32))</f>
        <v xml:space="preserve"> </v>
      </c>
      <c r="F63" s="3650"/>
      <c r="G63" s="3692" t="s">
        <v>2040</v>
      </c>
      <c r="H63" s="3693"/>
      <c r="I63" s="3661" t="str">
        <f>D36</f>
        <v/>
      </c>
      <c r="J63" s="3663"/>
      <c r="K63" s="679" t="s">
        <v>2041</v>
      </c>
      <c r="L63" s="2183"/>
      <c r="M63" s="3661" t="str">
        <f>IF(ISBLANK(H32)," ",B63/E63/I63)</f>
        <v xml:space="preserve"> </v>
      </c>
      <c r="N63" s="3694"/>
      <c r="O63" s="3663"/>
      <c r="P63" s="584" t="s">
        <v>2042</v>
      </c>
      <c r="R63" s="2183"/>
      <c r="S63" s="2183"/>
      <c r="T63" s="2185"/>
    </row>
    <row r="64" spans="1:20" s="584" customFormat="1" ht="10.5" customHeight="1">
      <c r="A64" s="2219"/>
      <c r="B64" s="2221"/>
      <c r="C64" s="2213"/>
      <c r="D64" s="2184"/>
      <c r="E64" s="2221"/>
      <c r="F64" s="2213"/>
      <c r="G64" s="2184"/>
      <c r="H64" s="2184"/>
      <c r="I64" s="2220"/>
      <c r="J64" s="2220"/>
      <c r="K64" s="2183"/>
      <c r="L64" s="2183"/>
      <c r="M64" s="2220"/>
      <c r="N64" s="2220"/>
      <c r="O64" s="2220"/>
      <c r="R64" s="2183"/>
      <c r="S64" s="2183"/>
      <c r="T64" s="2185"/>
    </row>
    <row r="65" spans="1:20" ht="15" customHeight="1">
      <c r="A65" s="2219"/>
      <c r="B65" s="3677" t="s">
        <v>2043</v>
      </c>
      <c r="C65" s="3677"/>
      <c r="D65" s="3677"/>
      <c r="E65" s="1513"/>
      <c r="F65" s="2188"/>
      <c r="G65" s="2188"/>
      <c r="H65" s="2188"/>
      <c r="I65" s="2188"/>
      <c r="J65" s="2188"/>
      <c r="K65" s="2188"/>
      <c r="L65" s="2188"/>
      <c r="M65" s="2188"/>
      <c r="N65" s="2188"/>
      <c r="O65" s="2188"/>
      <c r="P65" s="2188"/>
      <c r="Q65" s="2188"/>
      <c r="R65" s="2188"/>
      <c r="S65" s="2188"/>
      <c r="T65" s="1512"/>
    </row>
    <row r="66" spans="1:20" ht="84" customHeight="1">
      <c r="A66" s="2219"/>
      <c r="B66" s="3653"/>
      <c r="C66" s="3654"/>
      <c r="D66" s="3654"/>
      <c r="E66" s="3654"/>
      <c r="F66" s="3654"/>
      <c r="G66" s="3654"/>
      <c r="H66" s="3654"/>
      <c r="I66" s="3654"/>
      <c r="J66" s="3654"/>
      <c r="K66" s="3654"/>
      <c r="L66" s="3654"/>
      <c r="M66" s="3654"/>
      <c r="N66" s="3654"/>
      <c r="O66" s="3654"/>
      <c r="P66" s="3654"/>
      <c r="Q66" s="3654"/>
      <c r="R66" s="3654"/>
      <c r="S66" s="3655"/>
      <c r="T66" s="2374"/>
    </row>
    <row r="67" spans="1:20" ht="18.75" thickBot="1">
      <c r="A67" s="2375"/>
      <c r="B67" s="2376"/>
      <c r="C67" s="2376"/>
      <c r="D67" s="2376"/>
      <c r="E67" s="2376"/>
      <c r="F67" s="2376"/>
      <c r="G67" s="2376"/>
      <c r="H67" s="2376"/>
      <c r="I67" s="2376"/>
      <c r="J67" s="2376"/>
      <c r="K67" s="2376"/>
      <c r="L67" s="2376"/>
      <c r="M67" s="2376"/>
      <c r="N67" s="2376"/>
      <c r="O67" s="2376"/>
      <c r="P67" s="2376"/>
      <c r="Q67" s="2376"/>
      <c r="R67" s="2376"/>
      <c r="S67" s="2376"/>
      <c r="T67" s="2377"/>
    </row>
    <row r="68" spans="1:20" ht="18">
      <c r="A68" s="2183"/>
      <c r="B68" s="2183"/>
      <c r="C68" s="2183"/>
      <c r="D68" s="2183"/>
      <c r="E68" s="2183"/>
      <c r="F68" s="2183"/>
      <c r="G68" s="2183"/>
      <c r="H68" s="2183"/>
      <c r="I68" s="2183"/>
      <c r="J68" s="2183"/>
      <c r="K68" s="2183"/>
      <c r="L68" s="2183"/>
      <c r="M68" s="2183"/>
      <c r="N68" s="2183"/>
      <c r="O68" s="2183"/>
      <c r="P68" s="2183"/>
      <c r="Q68" s="2183"/>
      <c r="R68" s="2183"/>
      <c r="S68" s="2183"/>
      <c r="T68" s="2183"/>
    </row>
  </sheetData>
  <sheetProtection sheet="1" objects="1" scenarios="1"/>
  <mergeCells count="58">
    <mergeCell ref="B65:D65"/>
    <mergeCell ref="B66:S66"/>
    <mergeCell ref="L57:P57"/>
    <mergeCell ref="B59:T59"/>
    <mergeCell ref="B63:C63"/>
    <mergeCell ref="E63:F63"/>
    <mergeCell ref="G63:H63"/>
    <mergeCell ref="I63:J63"/>
    <mergeCell ref="M63:O63"/>
    <mergeCell ref="B53:C53"/>
    <mergeCell ref="E53:F53"/>
    <mergeCell ref="H53:I53"/>
    <mergeCell ref="J53:K53"/>
    <mergeCell ref="B57:C57"/>
    <mergeCell ref="E57:F57"/>
    <mergeCell ref="H57:I57"/>
    <mergeCell ref="S47:T47"/>
    <mergeCell ref="D36:E36"/>
    <mergeCell ref="O36:P37"/>
    <mergeCell ref="Q36:S37"/>
    <mergeCell ref="B38:N38"/>
    <mergeCell ref="O38:P39"/>
    <mergeCell ref="Q38:S39"/>
    <mergeCell ref="G40:H40"/>
    <mergeCell ref="B47:C47"/>
    <mergeCell ref="D47:G47"/>
    <mergeCell ref="H47:I47"/>
    <mergeCell ref="P47:Q47"/>
    <mergeCell ref="A23:J23"/>
    <mergeCell ref="H25:I25"/>
    <mergeCell ref="O30:P33"/>
    <mergeCell ref="Q30:S33"/>
    <mergeCell ref="O34:P35"/>
    <mergeCell ref="Q34:S35"/>
    <mergeCell ref="R21:S21"/>
    <mergeCell ref="B17:C17"/>
    <mergeCell ref="E17:F17"/>
    <mergeCell ref="H17:I17"/>
    <mergeCell ref="L17:M17"/>
    <mergeCell ref="N17:O17"/>
    <mergeCell ref="Q17:R17"/>
    <mergeCell ref="B21:C21"/>
    <mergeCell ref="E21:F21"/>
    <mergeCell ref="H21:I21"/>
    <mergeCell ref="L21:M21"/>
    <mergeCell ref="O21:P21"/>
    <mergeCell ref="N6:R6"/>
    <mergeCell ref="K8:M8"/>
    <mergeCell ref="K10:M10"/>
    <mergeCell ref="A12:T12"/>
    <mergeCell ref="A13:J13"/>
    <mergeCell ref="K13:T13"/>
    <mergeCell ref="E1:O1"/>
    <mergeCell ref="H2:I2"/>
    <mergeCell ref="J2:K2"/>
    <mergeCell ref="S2:T2"/>
    <mergeCell ref="E4:J4"/>
    <mergeCell ref="N4:S4"/>
  </mergeCells>
  <printOptions horizontalCentered="1"/>
  <pageMargins left="0.25" right="0.2" top="0.3" bottom="0.75" header="0.3" footer="0.3"/>
  <pageSetup scale="71" orientation="portrait" blackAndWhite="1"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prompt="Tank Useage" xr:uid="{A4C96970-9C81-4674-9672-28FFCD7A8049}">
          <x14:formula1>
            <xm:f>'Drop-Down Lists'!$AB$2:$AB$7</xm:f>
          </x14:formula1>
          <xm:sqref>N6:R6</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8CDAD-1862-4691-B0DC-E56EC3A4B2D8}">
  <sheetPr>
    <tabColor rgb="FFFF66FF"/>
  </sheetPr>
  <dimension ref="A1:AO68"/>
  <sheetViews>
    <sheetView view="pageBreakPreview" zoomScaleNormal="100" zoomScaleSheetLayoutView="100" workbookViewId="0">
      <selection activeCell="U7" sqref="U7:W7"/>
    </sheetView>
  </sheetViews>
  <sheetFormatPr defaultColWidth="9.140625" defaultRowHeight="15"/>
  <cols>
    <col min="1" max="1" width="2.5703125" style="1686" customWidth="1"/>
    <col min="2" max="21" width="4.5703125" style="1686" customWidth="1"/>
    <col min="22" max="22" width="2.5703125" style="1686" customWidth="1"/>
    <col min="23" max="23" width="9.140625" style="1686"/>
    <col min="24" max="24" width="2.28515625" style="1686" customWidth="1"/>
    <col min="25" max="25" width="9.140625" style="1686"/>
    <col min="26" max="41" width="6.42578125" style="1686" customWidth="1"/>
    <col min="42" max="16384" width="9.140625" style="1686"/>
  </cols>
  <sheetData>
    <row r="1" spans="1:24" s="658" customFormat="1" ht="44.25" customHeight="1">
      <c r="B1" s="547"/>
      <c r="C1" s="547"/>
      <c r="D1" s="547"/>
      <c r="I1" s="3032" t="s">
        <v>2134</v>
      </c>
      <c r="J1" s="3032"/>
      <c r="K1" s="3032"/>
      <c r="L1" s="3032"/>
      <c r="M1" s="3032"/>
      <c r="N1" s="3032"/>
      <c r="O1" s="3032"/>
      <c r="P1" s="3032"/>
      <c r="Q1" s="659"/>
      <c r="R1" s="659"/>
      <c r="S1" s="659"/>
      <c r="T1" s="659"/>
      <c r="U1" s="660"/>
    </row>
    <row r="2" spans="1:24" ht="7.5" customHeight="1" thickBot="1"/>
    <row r="3" spans="1:24" s="609" customFormat="1" ht="15.75" customHeight="1" thickBot="1">
      <c r="A3" s="2204"/>
      <c r="B3" s="2205" t="s">
        <v>642</v>
      </c>
      <c r="C3" s="2206"/>
      <c r="D3" s="2207"/>
      <c r="E3" s="2208"/>
      <c r="F3" s="2208"/>
      <c r="G3" s="2206"/>
      <c r="H3" s="2206"/>
      <c r="I3" s="3035" t="s">
        <v>1164</v>
      </c>
      <c r="J3" s="3035"/>
      <c r="K3" s="3035"/>
      <c r="L3" s="3035"/>
      <c r="M3" s="3035"/>
      <c r="N3" s="3038" t="str">
        <f>IF(ISBLANK('Design Details &amp; Summary'!S3)," ",'Design Details &amp; Summary'!S3)</f>
        <v xml:space="preserve"> </v>
      </c>
      <c r="O3" s="3038"/>
      <c r="P3" s="3038"/>
      <c r="Q3" s="3038"/>
      <c r="R3" s="2206"/>
      <c r="S3" s="2206"/>
      <c r="T3" s="2206"/>
      <c r="U3" s="3734" t="str">
        <f>'Drop-Down Lists'!A2</f>
        <v>v 05.01.2026</v>
      </c>
      <c r="V3" s="3734"/>
      <c r="W3" s="3734"/>
      <c r="X3" s="3735"/>
    </row>
    <row r="4" spans="1:24" s="609" customFormat="1" ht="6" customHeight="1">
      <c r="A4" s="777"/>
      <c r="B4" s="1488"/>
      <c r="C4" s="778"/>
      <c r="D4" s="778"/>
      <c r="E4" s="778"/>
      <c r="F4" s="1491"/>
      <c r="G4" s="1488"/>
      <c r="H4" s="2189"/>
      <c r="I4" s="778"/>
      <c r="J4" s="1491"/>
      <c r="K4" s="778"/>
      <c r="L4" s="778"/>
      <c r="M4" s="778"/>
      <c r="N4" s="778"/>
      <c r="O4" s="778"/>
      <c r="P4" s="778"/>
      <c r="Q4" s="778"/>
      <c r="R4" s="778"/>
      <c r="S4" s="778"/>
      <c r="T4" s="778"/>
      <c r="U4" s="778"/>
      <c r="V4" s="778"/>
      <c r="W4" s="778"/>
      <c r="X4" s="779"/>
    </row>
    <row r="5" spans="1:24" s="609" customFormat="1" ht="18" customHeight="1">
      <c r="A5" s="784"/>
      <c r="B5" s="2475" t="s">
        <v>548</v>
      </c>
      <c r="C5" s="2475"/>
      <c r="D5" s="2475"/>
      <c r="E5" s="2475"/>
      <c r="F5" s="2476"/>
      <c r="G5" s="2472" t="str">
        <f>IF(ISBLANK(Prelim!G3),"  ", Prelim!G3)</f>
        <v xml:space="preserve">  </v>
      </c>
      <c r="H5" s="2473"/>
      <c r="I5" s="2473"/>
      <c r="J5" s="2473"/>
      <c r="K5" s="2473"/>
      <c r="L5" s="2473"/>
      <c r="M5" s="2473"/>
      <c r="N5" s="2473"/>
      <c r="O5" s="2473"/>
      <c r="P5" s="2474"/>
      <c r="R5" s="2487" t="s">
        <v>551</v>
      </c>
      <c r="S5" s="2487"/>
      <c r="T5" s="3627"/>
      <c r="U5" s="2466" t="str">
        <f>IF(ISBLANK(Prelim!S5)," ",Prelim!S5)</f>
        <v xml:space="preserve"> </v>
      </c>
      <c r="V5" s="2467"/>
      <c r="W5" s="2468"/>
      <c r="X5" s="783"/>
    </row>
    <row r="6" spans="1:24" s="609" customFormat="1" ht="4.5" customHeight="1">
      <c r="A6" s="784"/>
      <c r="B6" s="2465"/>
      <c r="C6" s="2465"/>
      <c r="D6" s="2465"/>
      <c r="E6" s="2465"/>
      <c r="F6" s="2465"/>
      <c r="G6" s="2465"/>
      <c r="H6" s="2465"/>
      <c r="I6" s="2465"/>
      <c r="J6" s="2465"/>
      <c r="K6" s="2465"/>
      <c r="L6" s="2465"/>
      <c r="X6" s="783"/>
    </row>
    <row r="7" spans="1:24" s="609" customFormat="1" ht="18" customHeight="1">
      <c r="A7" s="784"/>
      <c r="B7" s="611"/>
      <c r="D7" s="776" t="s">
        <v>550</v>
      </c>
      <c r="E7" s="2472" t="str">
        <f>IF(ISBLANK(Prelim!G5),"  ", Prelim!G5)</f>
        <v xml:space="preserve">  </v>
      </c>
      <c r="F7" s="2473"/>
      <c r="G7" s="2473"/>
      <c r="H7" s="2473"/>
      <c r="I7" s="2473"/>
      <c r="J7" s="2473"/>
      <c r="K7" s="2473"/>
      <c r="L7" s="2473"/>
      <c r="M7" s="2473"/>
      <c r="N7" s="2474"/>
      <c r="Q7" s="2465" t="s">
        <v>549</v>
      </c>
      <c r="R7" s="2465"/>
      <c r="S7" s="2465"/>
      <c r="T7" s="2779"/>
      <c r="U7" s="2469"/>
      <c r="V7" s="2470"/>
      <c r="W7" s="2471"/>
      <c r="X7" s="783"/>
    </row>
    <row r="8" spans="1:24" s="609" customFormat="1" ht="5.25" customHeight="1">
      <c r="A8" s="1701"/>
      <c r="B8" s="1091"/>
      <c r="C8" s="1091"/>
      <c r="D8" s="1091"/>
      <c r="E8" s="1091"/>
      <c r="F8" s="1091"/>
      <c r="G8" s="1091"/>
      <c r="H8" s="1091"/>
      <c r="I8" s="1091"/>
      <c r="J8" s="1091"/>
      <c r="K8" s="1091"/>
      <c r="L8" s="1091"/>
      <c r="M8" s="775"/>
      <c r="N8" s="775"/>
      <c r="O8" s="775"/>
      <c r="P8" s="1091"/>
      <c r="Q8" s="1091"/>
      <c r="R8" s="1091"/>
      <c r="S8" s="1092"/>
      <c r="T8" s="1092"/>
      <c r="U8" s="1092"/>
      <c r="V8" s="775"/>
      <c r="W8" s="775"/>
      <c r="X8" s="1702"/>
    </row>
    <row r="9" spans="1:24" s="609" customFormat="1" ht="21.95" customHeight="1">
      <c r="A9" s="3731" t="s">
        <v>2135</v>
      </c>
      <c r="B9" s="3732"/>
      <c r="C9" s="3732"/>
      <c r="D9" s="3732"/>
      <c r="E9" s="3733" t="s">
        <v>2136</v>
      </c>
      <c r="F9" s="3733"/>
      <c r="G9" s="3733"/>
      <c r="H9" s="3733"/>
      <c r="I9" s="3733"/>
      <c r="J9" s="3733"/>
      <c r="K9" s="3733"/>
      <c r="L9" s="3733"/>
      <c r="M9" s="3733"/>
      <c r="N9" s="3733"/>
      <c r="O9" s="3733"/>
      <c r="P9" s="3733"/>
      <c r="Q9" s="3733"/>
      <c r="R9" s="3733"/>
      <c r="S9" s="3733"/>
      <c r="T9" s="3733"/>
      <c r="U9" s="3733"/>
      <c r="V9" s="3733"/>
      <c r="W9" s="3733"/>
      <c r="X9" s="783"/>
    </row>
    <row r="10" spans="1:24" ht="15.75">
      <c r="A10" s="3696" t="s">
        <v>2137</v>
      </c>
      <c r="B10" s="3697"/>
      <c r="C10" s="2191"/>
      <c r="D10" s="3710"/>
      <c r="E10" s="3710"/>
      <c r="F10" s="2191" t="s">
        <v>1537</v>
      </c>
      <c r="G10" s="2191"/>
      <c r="H10" s="1825"/>
      <c r="I10" s="2191" t="s">
        <v>2138</v>
      </c>
      <c r="J10" s="2191"/>
      <c r="K10" s="2191"/>
      <c r="L10" s="3715" t="s">
        <v>2139</v>
      </c>
      <c r="M10" s="3715"/>
      <c r="N10" s="3716"/>
      <c r="O10" s="3716"/>
      <c r="P10" s="2191"/>
      <c r="Q10" s="1686" t="s">
        <v>2140</v>
      </c>
      <c r="W10" s="1825"/>
      <c r="X10" s="1704"/>
    </row>
    <row r="11" spans="1:24" ht="1.5" customHeight="1">
      <c r="A11" s="1705"/>
      <c r="B11" s="2191"/>
      <c r="C11" s="2191"/>
      <c r="D11" s="2193"/>
      <c r="E11" s="2193"/>
      <c r="F11" s="2191"/>
      <c r="G11" s="2191"/>
      <c r="H11" s="2191"/>
      <c r="I11" s="2191"/>
      <c r="J11" s="2191"/>
      <c r="K11" s="2191"/>
      <c r="L11" s="2191"/>
      <c r="M11" s="2193"/>
      <c r="N11" s="2193"/>
      <c r="O11" s="2191"/>
      <c r="P11" s="2192"/>
      <c r="Q11" s="2192"/>
      <c r="R11" s="2193"/>
      <c r="S11" s="2193"/>
      <c r="T11" s="2191"/>
      <c r="U11" s="2191"/>
      <c r="V11" s="2191"/>
      <c r="W11" s="2191"/>
      <c r="X11" s="1704"/>
    </row>
    <row r="12" spans="1:24" ht="15.75">
      <c r="A12" s="1705"/>
      <c r="B12" s="2191" t="s">
        <v>1840</v>
      </c>
      <c r="C12" s="2191"/>
      <c r="D12" s="2191"/>
      <c r="E12" s="2191"/>
      <c r="F12" s="3707"/>
      <c r="G12" s="3708"/>
      <c r="H12" s="3708"/>
      <c r="I12" s="3708"/>
      <c r="J12" s="3708"/>
      <c r="K12" s="3709"/>
      <c r="L12" s="2191" t="s">
        <v>1841</v>
      </c>
      <c r="M12" s="2191"/>
      <c r="N12" s="2191"/>
      <c r="O12" s="3707"/>
      <c r="P12" s="3708"/>
      <c r="Q12" s="3708"/>
      <c r="R12" s="3709"/>
      <c r="S12" s="2378" t="s">
        <v>2141</v>
      </c>
      <c r="U12" s="3717"/>
      <c r="V12" s="3718"/>
      <c r="W12" s="3719"/>
      <c r="X12" s="1704"/>
    </row>
    <row r="13" spans="1:24" ht="9.9499999999999993" customHeight="1">
      <c r="A13" s="1706"/>
      <c r="B13" s="2191"/>
      <c r="C13" s="2191"/>
      <c r="D13" s="2191"/>
      <c r="E13" s="2191"/>
      <c r="F13" s="2191"/>
      <c r="G13" s="2191"/>
      <c r="H13" s="2191"/>
      <c r="I13" s="2191"/>
      <c r="J13" s="2191"/>
      <c r="K13" s="2191"/>
      <c r="L13" s="2191"/>
      <c r="M13" s="2191"/>
      <c r="N13" s="2191"/>
      <c r="O13" s="2191"/>
      <c r="P13" s="2191"/>
      <c r="Q13" s="2191"/>
      <c r="R13" s="2191"/>
      <c r="S13" s="2191"/>
      <c r="T13" s="2191"/>
      <c r="U13" s="2191"/>
      <c r="V13" s="2191"/>
      <c r="W13" s="2191"/>
      <c r="X13" s="1704"/>
    </row>
    <row r="14" spans="1:24" ht="15.75">
      <c r="A14" s="3696" t="s">
        <v>2142</v>
      </c>
      <c r="B14" s="3697"/>
      <c r="C14" s="2191"/>
      <c r="D14" s="3710"/>
      <c r="E14" s="3710"/>
      <c r="F14" s="2191" t="s">
        <v>1537</v>
      </c>
      <c r="G14" s="2191"/>
      <c r="H14" s="1825"/>
      <c r="I14" s="2191" t="s">
        <v>2138</v>
      </c>
      <c r="J14" s="2191"/>
      <c r="K14" s="2191"/>
      <c r="L14" s="3715" t="s">
        <v>2139</v>
      </c>
      <c r="M14" s="3715"/>
      <c r="N14" s="3716"/>
      <c r="O14" s="3716"/>
      <c r="P14" s="2191"/>
      <c r="Q14" s="1686" t="s">
        <v>2140</v>
      </c>
      <c r="W14" s="1825"/>
      <c r="X14" s="1704"/>
    </row>
    <row r="15" spans="1:24" ht="1.5" customHeight="1">
      <c r="A15" s="1705"/>
      <c r="B15" s="2191"/>
      <c r="C15" s="2191"/>
      <c r="D15" s="2193"/>
      <c r="E15" s="2193"/>
      <c r="F15" s="2191"/>
      <c r="G15" s="2191"/>
      <c r="H15" s="2191"/>
      <c r="I15" s="2191"/>
      <c r="J15" s="2191"/>
      <c r="K15" s="2191"/>
      <c r="L15" s="2191"/>
      <c r="M15" s="2193"/>
      <c r="N15" s="2193"/>
      <c r="O15" s="2191"/>
      <c r="P15" s="2192"/>
      <c r="Q15" s="2192"/>
      <c r="R15" s="2193"/>
      <c r="S15" s="2193"/>
      <c r="T15" s="2191"/>
      <c r="U15" s="2191"/>
      <c r="V15" s="2191"/>
      <c r="W15" s="2191"/>
      <c r="X15" s="1704"/>
    </row>
    <row r="16" spans="1:24" ht="15.75">
      <c r="A16" s="1705"/>
      <c r="B16" s="2191" t="s">
        <v>1840</v>
      </c>
      <c r="C16" s="2191"/>
      <c r="D16" s="2191"/>
      <c r="E16" s="2191"/>
      <c r="F16" s="3707"/>
      <c r="G16" s="3708"/>
      <c r="H16" s="3708"/>
      <c r="I16" s="3708"/>
      <c r="J16" s="3708"/>
      <c r="K16" s="3709"/>
      <c r="L16" s="2191" t="s">
        <v>1841</v>
      </c>
      <c r="M16" s="2191"/>
      <c r="N16" s="2191"/>
      <c r="O16" s="3707"/>
      <c r="P16" s="3708"/>
      <c r="Q16" s="3708"/>
      <c r="R16" s="3709"/>
      <c r="S16" s="2378" t="s">
        <v>2141</v>
      </c>
      <c r="U16" s="3717"/>
      <c r="V16" s="3718"/>
      <c r="W16" s="3719"/>
      <c r="X16" s="1704"/>
    </row>
    <row r="17" spans="1:26" ht="9.9499999999999993" customHeight="1">
      <c r="A17" s="1706"/>
      <c r="B17" s="2191"/>
      <c r="C17" s="2191"/>
      <c r="D17" s="2191"/>
      <c r="E17" s="2191"/>
      <c r="F17" s="2191"/>
      <c r="G17" s="2191"/>
      <c r="H17" s="2191"/>
      <c r="I17" s="2191"/>
      <c r="J17" s="2191"/>
      <c r="K17" s="2191"/>
      <c r="L17" s="2191"/>
      <c r="M17" s="2191"/>
      <c r="N17" s="2191"/>
      <c r="O17" s="2191"/>
      <c r="P17" s="2191"/>
      <c r="Q17" s="2191"/>
      <c r="R17" s="2191"/>
      <c r="S17" s="2191"/>
      <c r="T17" s="2191"/>
      <c r="U17" s="2191"/>
      <c r="V17" s="2191"/>
      <c r="W17" s="2191"/>
      <c r="X17" s="1704"/>
    </row>
    <row r="18" spans="1:26" ht="15.75">
      <c r="A18" s="3696" t="s">
        <v>2143</v>
      </c>
      <c r="B18" s="3697"/>
      <c r="C18" s="2191"/>
      <c r="D18" s="3710"/>
      <c r="E18" s="3710"/>
      <c r="F18" s="2191" t="s">
        <v>1537</v>
      </c>
      <c r="G18" s="2191"/>
      <c r="H18" s="1825"/>
      <c r="I18" s="2191" t="s">
        <v>2138</v>
      </c>
      <c r="J18" s="2191"/>
      <c r="K18" s="2191"/>
      <c r="L18" s="3715" t="s">
        <v>2139</v>
      </c>
      <c r="M18" s="3715"/>
      <c r="N18" s="3716"/>
      <c r="O18" s="3716"/>
      <c r="P18" s="2191"/>
      <c r="Q18" s="1686" t="s">
        <v>2140</v>
      </c>
      <c r="W18" s="1825"/>
      <c r="X18" s="1704"/>
    </row>
    <row r="19" spans="1:26" ht="1.5" customHeight="1">
      <c r="A19" s="1705"/>
      <c r="B19" s="2191"/>
      <c r="C19" s="2191"/>
      <c r="D19" s="2193"/>
      <c r="E19" s="2193"/>
      <c r="F19" s="2191"/>
      <c r="G19" s="2191"/>
      <c r="H19" s="2191"/>
      <c r="I19" s="2191"/>
      <c r="J19" s="2191"/>
      <c r="K19" s="2191"/>
      <c r="L19" s="2191"/>
      <c r="M19" s="2193"/>
      <c r="N19" s="2193"/>
      <c r="O19" s="2191"/>
      <c r="P19" s="2192"/>
      <c r="Q19" s="2192"/>
      <c r="R19" s="2193"/>
      <c r="S19" s="2193"/>
      <c r="T19" s="2191"/>
      <c r="U19" s="2191"/>
      <c r="V19" s="2191"/>
      <c r="W19" s="2191"/>
      <c r="X19" s="1704"/>
    </row>
    <row r="20" spans="1:26" ht="15.75">
      <c r="A20" s="1705"/>
      <c r="B20" s="2191" t="s">
        <v>1840</v>
      </c>
      <c r="C20" s="2191"/>
      <c r="D20" s="2191"/>
      <c r="E20" s="2191"/>
      <c r="F20" s="3707"/>
      <c r="G20" s="3708"/>
      <c r="H20" s="3708"/>
      <c r="I20" s="3708"/>
      <c r="J20" s="3708"/>
      <c r="K20" s="3709"/>
      <c r="L20" s="2191" t="s">
        <v>1841</v>
      </c>
      <c r="M20" s="2191"/>
      <c r="N20" s="2191"/>
      <c r="O20" s="3707"/>
      <c r="P20" s="3708"/>
      <c r="Q20" s="3708"/>
      <c r="R20" s="3709"/>
      <c r="S20" s="2378" t="s">
        <v>2141</v>
      </c>
      <c r="U20" s="3717"/>
      <c r="V20" s="3718"/>
      <c r="W20" s="3719"/>
      <c r="X20" s="1704"/>
    </row>
    <row r="21" spans="1:26" ht="9.9499999999999993" customHeight="1">
      <c r="A21" s="1706"/>
      <c r="B21" s="2191"/>
      <c r="C21" s="2191"/>
      <c r="D21" s="2191"/>
      <c r="E21" s="2191"/>
      <c r="F21" s="2191"/>
      <c r="G21" s="2191"/>
      <c r="H21" s="2191"/>
      <c r="I21" s="2191"/>
      <c r="J21" s="2191"/>
      <c r="K21" s="2191"/>
      <c r="L21" s="2191"/>
      <c r="M21" s="2191"/>
      <c r="N21" s="2191"/>
      <c r="O21" s="2191"/>
      <c r="P21" s="2191"/>
      <c r="Q21" s="2191"/>
      <c r="R21" s="2191"/>
      <c r="S21" s="2191"/>
      <c r="T21" s="2191"/>
      <c r="U21" s="2191"/>
      <c r="V21" s="2191"/>
      <c r="W21" s="2191"/>
      <c r="X21" s="1704"/>
    </row>
    <row r="22" spans="1:26" ht="15.75">
      <c r="A22" s="3696" t="s">
        <v>2144</v>
      </c>
      <c r="B22" s="3697"/>
      <c r="C22" s="2191"/>
      <c r="D22" s="3710"/>
      <c r="E22" s="3710"/>
      <c r="F22" s="2191" t="s">
        <v>1537</v>
      </c>
      <c r="G22" s="2191"/>
      <c r="H22" s="1825"/>
      <c r="I22" s="2191" t="s">
        <v>2138</v>
      </c>
      <c r="J22" s="2191"/>
      <c r="K22" s="2191"/>
      <c r="L22" s="3715" t="s">
        <v>2139</v>
      </c>
      <c r="M22" s="3715"/>
      <c r="N22" s="3716"/>
      <c r="O22" s="3716"/>
      <c r="P22" s="2191"/>
      <c r="Q22" s="1686" t="s">
        <v>2140</v>
      </c>
      <c r="W22" s="1825"/>
      <c r="X22" s="1704"/>
    </row>
    <row r="23" spans="1:26" ht="1.5" customHeight="1">
      <c r="A23" s="1705"/>
      <c r="B23" s="2191"/>
      <c r="C23" s="2191"/>
      <c r="D23" s="2193"/>
      <c r="E23" s="2193"/>
      <c r="F23" s="2191"/>
      <c r="G23" s="2191"/>
      <c r="H23" s="2191"/>
      <c r="I23" s="2191"/>
      <c r="J23" s="2191"/>
      <c r="K23" s="2191"/>
      <c r="L23" s="2191"/>
      <c r="M23" s="2193"/>
      <c r="N23" s="2193"/>
      <c r="O23" s="2191"/>
      <c r="P23" s="2192"/>
      <c r="Q23" s="2192"/>
      <c r="R23" s="2193"/>
      <c r="S23" s="2193"/>
      <c r="T23" s="2191"/>
      <c r="U23" s="2191"/>
      <c r="V23" s="2191"/>
      <c r="W23" s="2191"/>
      <c r="X23" s="1704"/>
    </row>
    <row r="24" spans="1:26" ht="15.75">
      <c r="A24" s="1705"/>
      <c r="B24" s="2191" t="s">
        <v>1840</v>
      </c>
      <c r="C24" s="2191"/>
      <c r="D24" s="2191"/>
      <c r="E24" s="2191"/>
      <c r="F24" s="3707"/>
      <c r="G24" s="3708"/>
      <c r="H24" s="3708"/>
      <c r="I24" s="3708"/>
      <c r="J24" s="3708"/>
      <c r="K24" s="3709"/>
      <c r="L24" s="2191" t="s">
        <v>1841</v>
      </c>
      <c r="M24" s="2191"/>
      <c r="N24" s="2191"/>
      <c r="O24" s="3707"/>
      <c r="P24" s="3708"/>
      <c r="Q24" s="3708"/>
      <c r="R24" s="3709"/>
      <c r="S24" s="2378" t="s">
        <v>2141</v>
      </c>
      <c r="U24" s="3717"/>
      <c r="V24" s="3718"/>
      <c r="W24" s="3719"/>
      <c r="X24" s="1704"/>
      <c r="Z24" s="2378"/>
    </row>
    <row r="25" spans="1:26" ht="9.9499999999999993" customHeight="1">
      <c r="A25" s="1706"/>
      <c r="B25" s="2191"/>
      <c r="C25" s="2191"/>
      <c r="D25" s="2191"/>
      <c r="E25" s="2191"/>
      <c r="F25" s="2191"/>
      <c r="G25" s="2191"/>
      <c r="H25" s="2191"/>
      <c r="I25" s="2191"/>
      <c r="J25" s="2191"/>
      <c r="K25" s="2191"/>
      <c r="L25" s="2191"/>
      <c r="M25" s="2191"/>
      <c r="N25" s="2191"/>
      <c r="O25" s="2191"/>
      <c r="P25" s="2191"/>
      <c r="Q25" s="2191"/>
      <c r="R25" s="2191"/>
      <c r="S25" s="2191"/>
      <c r="T25" s="2191"/>
      <c r="U25" s="2191"/>
      <c r="V25" s="2191"/>
      <c r="W25" s="2191"/>
      <c r="X25" s="1704"/>
    </row>
    <row r="26" spans="1:26" ht="15.75">
      <c r="A26" s="3730" t="s">
        <v>2145</v>
      </c>
      <c r="B26" s="3715"/>
      <c r="C26" s="3715"/>
      <c r="D26" s="3723"/>
      <c r="E26" s="3710"/>
      <c r="F26" s="3710"/>
      <c r="G26" s="3715" t="s">
        <v>2146</v>
      </c>
      <c r="H26" s="3715"/>
      <c r="I26" s="3723"/>
      <c r="J26" s="3710"/>
      <c r="K26" s="3710"/>
      <c r="L26" s="3710"/>
      <c r="M26" s="3710"/>
      <c r="N26" s="3710"/>
      <c r="O26" s="3710"/>
      <c r="P26" s="3721" t="s">
        <v>2147</v>
      </c>
      <c r="Q26" s="3722"/>
      <c r="R26" s="3710"/>
      <c r="S26" s="3710"/>
      <c r="T26" s="2194"/>
      <c r="U26" s="2194"/>
      <c r="V26" s="2194"/>
      <c r="W26" s="2191"/>
      <c r="X26" s="1704"/>
    </row>
    <row r="27" spans="1:26" ht="15.75">
      <c r="A27" s="3696" t="s">
        <v>719</v>
      </c>
      <c r="B27" s="3697"/>
      <c r="C27" s="3697"/>
      <c r="D27" s="2191"/>
      <c r="E27" s="2191"/>
      <c r="F27" s="2191"/>
      <c r="G27" s="2191"/>
      <c r="H27" s="2191"/>
      <c r="I27" s="2191"/>
      <c r="J27" s="2195" t="s">
        <v>2148</v>
      </c>
      <c r="K27" s="2195"/>
      <c r="L27" s="2191"/>
      <c r="M27" s="2191"/>
      <c r="N27" s="2191"/>
      <c r="O27" s="2191"/>
      <c r="P27" s="2191"/>
      <c r="Q27" s="2191"/>
      <c r="R27" s="2191"/>
      <c r="S27" s="2191"/>
      <c r="T27" s="2191"/>
      <c r="U27" s="2191"/>
      <c r="V27" s="2191"/>
      <c r="W27" s="2191"/>
      <c r="X27" s="1704"/>
    </row>
    <row r="28" spans="1:26" ht="31.5" customHeight="1">
      <c r="A28" s="1705"/>
      <c r="B28" s="3698"/>
      <c r="C28" s="3698"/>
      <c r="D28" s="3698"/>
      <c r="E28" s="3698"/>
      <c r="F28" s="3698"/>
      <c r="G28" s="3698"/>
      <c r="H28" s="3698"/>
      <c r="I28" s="3698"/>
      <c r="J28" s="3698"/>
      <c r="K28" s="3698"/>
      <c r="L28" s="3698"/>
      <c r="M28" s="3698"/>
      <c r="N28" s="3698"/>
      <c r="O28" s="3698"/>
      <c r="P28" s="3698"/>
      <c r="Q28" s="3698"/>
      <c r="R28" s="3698"/>
      <c r="S28" s="3698"/>
      <c r="T28" s="3698"/>
      <c r="U28" s="3698"/>
      <c r="V28" s="3698"/>
      <c r="W28" s="3698"/>
      <c r="X28" s="1704"/>
    </row>
    <row r="29" spans="1:26" ht="8.1" customHeight="1">
      <c r="A29" s="1707"/>
      <c r="B29" s="1708"/>
      <c r="C29" s="1708"/>
      <c r="D29" s="1708"/>
      <c r="E29" s="1708"/>
      <c r="F29" s="1708"/>
      <c r="G29" s="1708"/>
      <c r="H29" s="1708"/>
      <c r="I29" s="1708"/>
      <c r="J29" s="1708"/>
      <c r="K29" s="1708"/>
      <c r="L29" s="1708"/>
      <c r="M29" s="1708"/>
      <c r="N29" s="1708"/>
      <c r="O29" s="1708"/>
      <c r="P29" s="1708"/>
      <c r="Q29" s="1708"/>
      <c r="R29" s="1708"/>
      <c r="S29" s="1708"/>
      <c r="T29" s="1708"/>
      <c r="U29" s="1708"/>
      <c r="V29" s="1708"/>
      <c r="W29" s="1708"/>
      <c r="X29" s="1709"/>
    </row>
    <row r="30" spans="1:26" ht="18">
      <c r="A30" s="1710" t="s">
        <v>283</v>
      </c>
      <c r="B30" s="2191"/>
      <c r="C30" s="2191"/>
      <c r="D30" s="2191"/>
      <c r="E30" s="2191"/>
      <c r="F30" s="2196" t="s">
        <v>999</v>
      </c>
      <c r="G30" s="2197"/>
      <c r="H30" s="2191"/>
      <c r="I30" s="2191"/>
      <c r="J30" s="2191"/>
      <c r="K30" s="2191"/>
      <c r="L30" s="2191"/>
      <c r="M30" s="2191"/>
      <c r="N30" s="2191"/>
      <c r="O30" s="2191"/>
      <c r="P30" s="2191"/>
      <c r="Q30" s="2191"/>
      <c r="R30" s="2191"/>
      <c r="S30" s="2191"/>
      <c r="T30" s="2191"/>
      <c r="U30" s="2191"/>
      <c r="V30" s="2191"/>
      <c r="W30" s="2191"/>
      <c r="X30" s="783"/>
    </row>
    <row r="31" spans="1:26" ht="3" customHeight="1">
      <c r="A31" s="1706"/>
      <c r="B31" s="2191"/>
      <c r="C31" s="2191"/>
      <c r="D31" s="2191"/>
      <c r="E31" s="2191"/>
      <c r="F31" s="2191"/>
      <c r="G31" s="2191"/>
      <c r="H31" s="2191"/>
      <c r="I31" s="2191"/>
      <c r="J31" s="2191"/>
      <c r="K31" s="2191"/>
      <c r="L31" s="2191"/>
      <c r="M31" s="2191"/>
      <c r="N31" s="2191"/>
      <c r="O31" s="2191"/>
      <c r="P31" s="2191"/>
      <c r="Q31" s="2191"/>
      <c r="R31" s="2191"/>
      <c r="S31" s="2191"/>
      <c r="T31" s="2191"/>
      <c r="U31" s="2191"/>
      <c r="V31" s="2191"/>
      <c r="W31" s="2191"/>
      <c r="X31" s="1704"/>
    </row>
    <row r="32" spans="1:26" ht="15.75">
      <c r="A32" s="3696" t="s">
        <v>2149</v>
      </c>
      <c r="B32" s="3697"/>
      <c r="C32" s="2191"/>
      <c r="D32" s="3707"/>
      <c r="E32" s="3709"/>
      <c r="F32" s="2191" t="s">
        <v>1537</v>
      </c>
      <c r="G32" s="2191"/>
      <c r="H32" s="1825"/>
      <c r="I32" s="2191" t="s">
        <v>2138</v>
      </c>
      <c r="J32" s="2191"/>
      <c r="K32" s="2191"/>
      <c r="L32" s="3715" t="s">
        <v>2139</v>
      </c>
      <c r="M32" s="3715"/>
      <c r="N32" s="3716"/>
      <c r="O32" s="3716"/>
      <c r="P32" s="3715" t="s">
        <v>2150</v>
      </c>
      <c r="Q32" s="3715"/>
      <c r="R32" s="3723"/>
      <c r="S32" s="1825"/>
      <c r="T32" s="3728" t="s">
        <v>2151</v>
      </c>
      <c r="U32" s="3729"/>
      <c r="V32" s="2191"/>
      <c r="W32" s="1825"/>
      <c r="X32" s="1704" t="s">
        <v>624</v>
      </c>
    </row>
    <row r="33" spans="1:41" ht="1.5" customHeight="1">
      <c r="A33" s="1705"/>
      <c r="B33" s="2191"/>
      <c r="C33" s="2191"/>
      <c r="D33" s="2193"/>
      <c r="E33" s="2193"/>
      <c r="F33" s="2191"/>
      <c r="G33" s="2191"/>
      <c r="H33" s="2191"/>
      <c r="I33" s="2191"/>
      <c r="J33" s="2191"/>
      <c r="K33" s="2191"/>
      <c r="L33" s="2191"/>
      <c r="M33" s="2193"/>
      <c r="N33" s="2193"/>
      <c r="O33" s="2191"/>
      <c r="P33" s="2192"/>
      <c r="Q33" s="2192"/>
      <c r="R33" s="2193"/>
      <c r="S33" s="2193"/>
      <c r="T33" s="2191"/>
      <c r="U33" s="2191"/>
      <c r="V33" s="2191"/>
      <c r="W33" s="2191"/>
      <c r="X33" s="1704"/>
    </row>
    <row r="34" spans="1:41" ht="15.75">
      <c r="A34" s="1705"/>
      <c r="B34" s="2191" t="s">
        <v>1840</v>
      </c>
      <c r="C34" s="2191"/>
      <c r="D34" s="2191"/>
      <c r="E34" s="2191"/>
      <c r="F34" s="3707"/>
      <c r="G34" s="3708"/>
      <c r="H34" s="3708"/>
      <c r="I34" s="3708"/>
      <c r="J34" s="3708"/>
      <c r="K34" s="3709"/>
      <c r="L34" s="2191" t="s">
        <v>1841</v>
      </c>
      <c r="M34" s="2191"/>
      <c r="N34" s="2191"/>
      <c r="O34" s="3707"/>
      <c r="P34" s="3708"/>
      <c r="Q34" s="3708"/>
      <c r="R34" s="3709"/>
      <c r="S34" s="2378" t="s">
        <v>2141</v>
      </c>
      <c r="U34" s="3717"/>
      <c r="V34" s="3718"/>
      <c r="W34" s="3719"/>
      <c r="X34" s="1704"/>
    </row>
    <row r="35" spans="1:41" ht="2.1" customHeight="1">
      <c r="A35" s="1705"/>
      <c r="B35" s="2191"/>
      <c r="C35" s="2191"/>
      <c r="D35" s="2191"/>
      <c r="E35" s="2191"/>
      <c r="F35" s="2199"/>
      <c r="G35" s="2199"/>
      <c r="H35" s="1711"/>
      <c r="I35" s="1712"/>
      <c r="J35" s="1713"/>
      <c r="K35" s="1713"/>
      <c r="L35" s="2191"/>
      <c r="M35" s="2191"/>
      <c r="N35" s="2191"/>
      <c r="O35" s="2199"/>
      <c r="P35" s="2199"/>
      <c r="Q35" s="2199"/>
      <c r="R35" s="2199"/>
      <c r="S35" s="2199"/>
      <c r="T35" s="2191"/>
      <c r="U35" s="2191"/>
      <c r="V35" s="2191"/>
      <c r="W35" s="2191"/>
      <c r="X35" s="1704"/>
    </row>
    <row r="36" spans="1:41" ht="15.75">
      <c r="A36" s="3696" t="s">
        <v>2152</v>
      </c>
      <c r="B36" s="3697"/>
      <c r="C36" s="2191"/>
      <c r="D36" s="3707"/>
      <c r="E36" s="3709"/>
      <c r="F36" s="2191" t="s">
        <v>1537</v>
      </c>
      <c r="G36" s="2191"/>
      <c r="H36" s="1825"/>
      <c r="I36" s="2191" t="s">
        <v>2138</v>
      </c>
      <c r="J36" s="2191"/>
      <c r="K36" s="2191"/>
      <c r="L36" s="3715" t="s">
        <v>2139</v>
      </c>
      <c r="M36" s="3715"/>
      <c r="N36" s="3716"/>
      <c r="O36" s="3716"/>
      <c r="P36" s="3715" t="s">
        <v>2150</v>
      </c>
      <c r="Q36" s="3715"/>
      <c r="R36" s="3723"/>
      <c r="S36" s="1825"/>
      <c r="T36" s="3728" t="s">
        <v>2151</v>
      </c>
      <c r="U36" s="3729"/>
      <c r="V36" s="2191"/>
      <c r="W36" s="1825"/>
      <c r="X36" s="1704" t="s">
        <v>624</v>
      </c>
    </row>
    <row r="37" spans="1:41" ht="1.5" customHeight="1">
      <c r="A37" s="1705"/>
      <c r="B37" s="2191"/>
      <c r="C37" s="2191"/>
      <c r="D37" s="2193"/>
      <c r="E37" s="2193"/>
      <c r="F37" s="2191"/>
      <c r="G37" s="2191"/>
      <c r="H37" s="2191"/>
      <c r="I37" s="2191"/>
      <c r="J37" s="2191"/>
      <c r="K37" s="2191"/>
      <c r="L37" s="2191"/>
      <c r="M37" s="2193"/>
      <c r="N37" s="2193"/>
      <c r="O37" s="2191"/>
      <c r="P37" s="2192"/>
      <c r="Q37" s="2192"/>
      <c r="R37" s="2193"/>
      <c r="S37" s="2193"/>
      <c r="T37" s="2191"/>
      <c r="U37" s="2191"/>
      <c r="V37" s="2191"/>
      <c r="W37" s="2191"/>
      <c r="X37" s="1704"/>
    </row>
    <row r="38" spans="1:41" ht="15.75">
      <c r="A38" s="1705"/>
      <c r="B38" s="2191" t="s">
        <v>1840</v>
      </c>
      <c r="C38" s="2191"/>
      <c r="D38" s="2191"/>
      <c r="E38" s="2191"/>
      <c r="F38" s="3707"/>
      <c r="G38" s="3708"/>
      <c r="H38" s="3708"/>
      <c r="I38" s="3708"/>
      <c r="J38" s="3708"/>
      <c r="K38" s="3709"/>
      <c r="L38" s="2191" t="s">
        <v>1841</v>
      </c>
      <c r="M38" s="2191"/>
      <c r="N38" s="2191"/>
      <c r="O38" s="3707"/>
      <c r="P38" s="3708"/>
      <c r="Q38" s="3708"/>
      <c r="R38" s="3709"/>
      <c r="S38" s="2378" t="s">
        <v>2141</v>
      </c>
      <c r="U38" s="3717"/>
      <c r="V38" s="3718"/>
      <c r="W38" s="3719"/>
      <c r="X38" s="1704"/>
    </row>
    <row r="39" spans="1:41" ht="5.45" customHeight="1">
      <c r="A39" s="1705"/>
      <c r="B39" s="2191"/>
      <c r="C39" s="2191"/>
      <c r="D39" s="2191"/>
      <c r="E39" s="2191"/>
      <c r="F39" s="2193"/>
      <c r="G39" s="2193"/>
      <c r="H39" s="2193"/>
      <c r="I39" s="2193"/>
      <c r="J39" s="2193"/>
      <c r="K39" s="2193"/>
      <c r="L39" s="2191"/>
      <c r="M39" s="2191"/>
      <c r="N39" s="2191"/>
      <c r="O39" s="2193"/>
      <c r="P39" s="2193"/>
      <c r="Q39" s="2193"/>
      <c r="R39" s="2193"/>
      <c r="S39" s="2193"/>
      <c r="T39" s="2191"/>
      <c r="U39" s="2191"/>
      <c r="V39" s="2191"/>
      <c r="W39" s="2191"/>
      <c r="X39" s="1704"/>
    </row>
    <row r="40" spans="1:41" ht="15" customHeight="1">
      <c r="A40" s="1705"/>
      <c r="B40" s="3715" t="s">
        <v>2153</v>
      </c>
      <c r="C40" s="3715"/>
      <c r="D40" s="3715"/>
      <c r="E40" s="3715"/>
      <c r="F40" s="3715"/>
      <c r="G40" s="3715"/>
      <c r="H40" s="3723"/>
      <c r="I40" s="3710"/>
      <c r="J40" s="3710"/>
      <c r="K40" s="3710"/>
      <c r="N40" s="2191"/>
      <c r="O40" s="2193"/>
      <c r="P40" s="2193"/>
      <c r="Q40" s="2193"/>
      <c r="R40" s="2193"/>
      <c r="S40" s="2193"/>
      <c r="T40" s="2191"/>
      <c r="U40" s="2191"/>
      <c r="V40" s="2191"/>
      <c r="W40" s="2191"/>
      <c r="X40" s="1704"/>
      <c r="Z40" s="1714" t="s">
        <v>2154</v>
      </c>
    </row>
    <row r="41" spans="1:41" ht="5.45" customHeight="1">
      <c r="A41" s="1705"/>
      <c r="B41" s="2191"/>
      <c r="C41" s="2191"/>
      <c r="D41" s="2191"/>
      <c r="E41" s="2191"/>
      <c r="F41" s="2193"/>
      <c r="G41" s="2193"/>
      <c r="H41" s="2193"/>
      <c r="I41" s="2193"/>
      <c r="J41" s="2193"/>
      <c r="K41" s="2193"/>
      <c r="L41" s="2191"/>
      <c r="M41" s="2191"/>
      <c r="N41" s="2191"/>
      <c r="O41" s="2193"/>
      <c r="P41" s="2193"/>
      <c r="Q41" s="2193"/>
      <c r="R41" s="2193"/>
      <c r="S41" s="2193"/>
      <c r="T41" s="2191"/>
      <c r="U41" s="2191"/>
      <c r="V41" s="2191"/>
      <c r="W41" s="2191"/>
      <c r="X41" s="1704"/>
    </row>
    <row r="42" spans="1:41" ht="15.75">
      <c r="A42" s="1706"/>
      <c r="B42" s="3729" t="s">
        <v>2155</v>
      </c>
      <c r="C42" s="3729"/>
      <c r="D42" s="3729"/>
      <c r="E42" s="3729"/>
      <c r="F42" s="3729"/>
      <c r="G42" s="3729"/>
      <c r="H42" s="3710"/>
      <c r="I42" s="3710"/>
      <c r="J42" s="3710"/>
      <c r="K42" s="3710"/>
      <c r="L42" s="3710"/>
      <c r="M42" s="3710"/>
      <c r="N42" s="3721" t="s">
        <v>2156</v>
      </c>
      <c r="O42" s="3721"/>
      <c r="P42" s="3721"/>
      <c r="Q42" s="3721"/>
      <c r="R42" s="3722"/>
      <c r="S42" s="3710"/>
      <c r="T42" s="3710"/>
      <c r="U42" s="3710"/>
      <c r="V42" s="3710"/>
      <c r="W42" s="3710"/>
      <c r="X42" s="1704"/>
      <c r="Z42" s="1715" t="s">
        <v>1832</v>
      </c>
    </row>
    <row r="43" spans="1:41" ht="5.0999999999999996" customHeight="1">
      <c r="A43" s="1706"/>
      <c r="B43" s="2191"/>
      <c r="C43" s="2191"/>
      <c r="D43" s="2191"/>
      <c r="E43" s="2191"/>
      <c r="F43" s="2191"/>
      <c r="G43" s="2191"/>
      <c r="H43" s="2191"/>
      <c r="I43" s="2191"/>
      <c r="J43" s="2191"/>
      <c r="K43" s="2191"/>
      <c r="L43" s="2191"/>
      <c r="M43" s="2191"/>
      <c r="N43" s="2191"/>
      <c r="O43" s="2191"/>
      <c r="P43" s="2191"/>
      <c r="Q43" s="2191"/>
      <c r="R43" s="2191"/>
      <c r="S43" s="2191"/>
      <c r="T43" s="2191"/>
      <c r="U43" s="2191"/>
      <c r="V43" s="2191"/>
      <c r="W43" s="2191"/>
      <c r="X43" s="1704"/>
    </row>
    <row r="44" spans="1:41" ht="15.75">
      <c r="A44" s="3696" t="s">
        <v>719</v>
      </c>
      <c r="B44" s="3697"/>
      <c r="C44" s="3697"/>
      <c r="D44" s="2191"/>
      <c r="E44" s="2191"/>
      <c r="F44" s="2191"/>
      <c r="G44" s="2191"/>
      <c r="H44" s="2191"/>
      <c r="I44" s="2191"/>
      <c r="J44" s="2195" t="s">
        <v>2148</v>
      </c>
      <c r="K44" s="2191"/>
      <c r="L44" s="2191"/>
      <c r="M44" s="2191"/>
      <c r="N44" s="2191"/>
      <c r="O44" s="2191"/>
      <c r="P44" s="2191"/>
      <c r="Q44" s="2191"/>
      <c r="R44" s="2191"/>
      <c r="S44" s="2191"/>
      <c r="T44" s="2191"/>
      <c r="U44" s="2191"/>
      <c r="V44" s="2191"/>
      <c r="W44" s="2191"/>
      <c r="X44" s="1704"/>
      <c r="Z44" s="1716" t="s">
        <v>1834</v>
      </c>
      <c r="AB44" s="1716"/>
      <c r="AC44" s="1716"/>
      <c r="AD44" s="1716"/>
      <c r="AE44" s="1716"/>
      <c r="AF44" s="1716"/>
      <c r="AG44" s="1716"/>
      <c r="AH44" s="1717"/>
      <c r="AI44" s="1717"/>
      <c r="AJ44" s="1718"/>
      <c r="AK44" s="1718"/>
      <c r="AL44" s="1716"/>
      <c r="AM44" s="1716"/>
      <c r="AN44" s="1716"/>
      <c r="AO44" s="1716"/>
    </row>
    <row r="45" spans="1:41" ht="31.5" customHeight="1">
      <c r="A45" s="1705"/>
      <c r="B45" s="3698"/>
      <c r="C45" s="3698"/>
      <c r="D45" s="3698"/>
      <c r="E45" s="3698"/>
      <c r="F45" s="3698"/>
      <c r="G45" s="3698"/>
      <c r="H45" s="3698"/>
      <c r="I45" s="3698"/>
      <c r="J45" s="3698"/>
      <c r="K45" s="3698"/>
      <c r="L45" s="3698"/>
      <c r="M45" s="3698"/>
      <c r="N45" s="3698"/>
      <c r="O45" s="3698"/>
      <c r="P45" s="3698"/>
      <c r="Q45" s="3698"/>
      <c r="R45" s="3698"/>
      <c r="S45" s="3698"/>
      <c r="T45" s="3698"/>
      <c r="U45" s="3698"/>
      <c r="V45" s="3698"/>
      <c r="W45" s="3698"/>
      <c r="X45" s="1704"/>
      <c r="Z45" s="1719" t="s">
        <v>1011</v>
      </c>
      <c r="AA45" s="1720" t="s">
        <v>1837</v>
      </c>
      <c r="AB45" s="1720"/>
      <c r="AC45" s="1720"/>
      <c r="AD45" s="1720"/>
      <c r="AE45" s="1720"/>
      <c r="AF45" s="1720"/>
      <c r="AG45" s="1720"/>
      <c r="AH45" s="1720"/>
      <c r="AI45" s="1720"/>
      <c r="AJ45" s="1720"/>
      <c r="AK45" s="1720"/>
      <c r="AL45" s="1721"/>
      <c r="AM45" s="1721"/>
      <c r="AN45" s="1721"/>
      <c r="AO45" s="1721"/>
    </row>
    <row r="46" spans="1:41" ht="5.0999999999999996" customHeight="1">
      <c r="A46" s="1722"/>
      <c r="B46" s="1723"/>
      <c r="C46" s="1723"/>
      <c r="D46" s="1723"/>
      <c r="E46" s="1723"/>
      <c r="F46" s="1723"/>
      <c r="G46" s="1723"/>
      <c r="H46" s="1723"/>
      <c r="I46" s="1723"/>
      <c r="J46" s="1723"/>
      <c r="K46" s="1723"/>
      <c r="L46" s="1723"/>
      <c r="M46" s="1723"/>
      <c r="N46" s="1723"/>
      <c r="O46" s="1723"/>
      <c r="P46" s="1723"/>
      <c r="Q46" s="1723"/>
      <c r="R46" s="1723"/>
      <c r="S46" s="1723"/>
      <c r="T46" s="1723"/>
      <c r="U46" s="1723"/>
      <c r="V46" s="1724"/>
      <c r="W46" s="1724"/>
      <c r="X46" s="1725"/>
      <c r="Z46" s="1720"/>
      <c r="AA46" s="1720"/>
      <c r="AB46" s="1720"/>
      <c r="AC46" s="1720"/>
      <c r="AD46" s="1720"/>
      <c r="AE46" s="1720"/>
      <c r="AF46" s="1720"/>
      <c r="AG46" s="1720"/>
      <c r="AH46" s="1720"/>
      <c r="AI46" s="1720"/>
      <c r="AJ46" s="1720"/>
      <c r="AK46" s="1720"/>
      <c r="AL46" s="1720"/>
      <c r="AM46" s="1720"/>
      <c r="AN46" s="1720"/>
      <c r="AO46" s="1720"/>
    </row>
    <row r="47" spans="1:41" ht="18">
      <c r="A47" s="1710" t="s">
        <v>2157</v>
      </c>
      <c r="B47" s="2200"/>
      <c r="C47" s="2191"/>
      <c r="D47" s="2191"/>
      <c r="E47" s="2201" t="s">
        <v>2158</v>
      </c>
      <c r="F47" s="2191"/>
      <c r="G47" s="2191"/>
      <c r="H47" s="2191"/>
      <c r="I47" s="2191"/>
      <c r="J47" s="2191"/>
      <c r="K47" s="2191"/>
      <c r="L47" s="2191"/>
      <c r="M47" s="2191"/>
      <c r="N47" s="2191"/>
      <c r="O47" s="2191"/>
      <c r="P47" s="2191"/>
      <c r="Q47" s="2191"/>
      <c r="R47" s="2191"/>
      <c r="S47" s="2191"/>
      <c r="T47" s="2191"/>
      <c r="U47" s="2191"/>
      <c r="V47" s="2191"/>
      <c r="W47" s="2191"/>
      <c r="X47" s="783"/>
      <c r="Z47" s="1720"/>
      <c r="AA47" s="3724"/>
      <c r="AB47" s="3725"/>
      <c r="AC47" s="1720" t="s">
        <v>609</v>
      </c>
      <c r="AD47" s="1726" t="s">
        <v>1343</v>
      </c>
      <c r="AE47" s="3724"/>
      <c r="AF47" s="3725"/>
      <c r="AG47" s="1719" t="s">
        <v>609</v>
      </c>
      <c r="AH47" s="1726" t="s">
        <v>1240</v>
      </c>
      <c r="AI47" s="3726" t="s">
        <v>977</v>
      </c>
      <c r="AJ47" s="3727"/>
      <c r="AK47" s="1720" t="s">
        <v>801</v>
      </c>
      <c r="AL47" s="1720"/>
      <c r="AM47" s="1720"/>
      <c r="AN47" s="1720"/>
      <c r="AO47" s="1720"/>
    </row>
    <row r="48" spans="1:41" ht="3" customHeight="1">
      <c r="A48" s="1706"/>
      <c r="B48" s="2191"/>
      <c r="C48" s="2191"/>
      <c r="D48" s="2202"/>
      <c r="E48" s="2191"/>
      <c r="F48" s="2191"/>
      <c r="G48" s="2191"/>
      <c r="H48" s="2191"/>
      <c r="I48" s="2191"/>
      <c r="J48" s="2191"/>
      <c r="K48" s="2191"/>
      <c r="L48" s="2191"/>
      <c r="M48" s="2191"/>
      <c r="N48" s="2191"/>
      <c r="O48" s="2191"/>
      <c r="P48" s="2191"/>
      <c r="Q48" s="2191"/>
      <c r="R48" s="2191"/>
      <c r="S48" s="2191"/>
      <c r="T48" s="2191"/>
      <c r="U48" s="2191"/>
      <c r="V48" s="2191"/>
      <c r="W48" s="2191"/>
      <c r="X48" s="1704"/>
      <c r="Z48" s="1720"/>
      <c r="AA48" s="1720"/>
      <c r="AB48" s="1720"/>
      <c r="AC48" s="1720"/>
      <c r="AD48" s="1720"/>
      <c r="AE48" s="1720"/>
      <c r="AF48" s="1720"/>
      <c r="AG48" s="1720"/>
      <c r="AH48" s="1720"/>
      <c r="AI48" s="1720"/>
      <c r="AJ48" s="1720"/>
      <c r="AK48" s="1720"/>
      <c r="AL48" s="1720"/>
      <c r="AM48" s="1720"/>
      <c r="AN48" s="1720"/>
      <c r="AO48" s="1720"/>
    </row>
    <row r="49" spans="1:41" ht="15.75">
      <c r="A49" s="3696" t="s">
        <v>841</v>
      </c>
      <c r="B49" s="3697"/>
      <c r="C49" s="2191" t="s">
        <v>2159</v>
      </c>
      <c r="D49" s="3716"/>
      <c r="E49" s="3716"/>
      <c r="F49" s="3716"/>
      <c r="G49" s="2191"/>
      <c r="H49" s="3710"/>
      <c r="I49" s="3710"/>
      <c r="J49" s="2191" t="s">
        <v>1537</v>
      </c>
      <c r="K49" s="2191"/>
      <c r="L49" s="3715" t="s">
        <v>2150</v>
      </c>
      <c r="M49" s="3715"/>
      <c r="N49" s="3723"/>
      <c r="O49" s="1824"/>
      <c r="P49" s="3720" t="s">
        <v>2160</v>
      </c>
      <c r="Q49" s="3721"/>
      <c r="R49" s="3722"/>
      <c r="S49" s="3710"/>
      <c r="T49" s="3710"/>
      <c r="U49" s="3710"/>
      <c r="V49" s="3710"/>
      <c r="W49" s="3710"/>
      <c r="X49" s="1704"/>
      <c r="AL49" s="1720"/>
      <c r="AM49" s="1720"/>
      <c r="AN49" s="1720"/>
      <c r="AO49" s="1720"/>
    </row>
    <row r="50" spans="1:41" ht="3" customHeight="1">
      <c r="A50" s="1703"/>
      <c r="B50" s="2190"/>
      <c r="C50" s="2191"/>
      <c r="D50" s="2191"/>
      <c r="E50" s="2193"/>
      <c r="F50" s="2193"/>
      <c r="G50" s="2191"/>
      <c r="H50" s="2191"/>
      <c r="I50" s="2202"/>
      <c r="J50" s="2191"/>
      <c r="K50" s="2191"/>
      <c r="L50" s="2192"/>
      <c r="M50" s="2192"/>
      <c r="N50" s="2192"/>
      <c r="O50" s="2191"/>
      <c r="P50" s="2191"/>
      <c r="Q50" s="2191"/>
      <c r="R50" s="2191"/>
      <c r="S50" s="2198"/>
      <c r="T50" s="2198"/>
      <c r="U50" s="2198"/>
      <c r="V50" s="2191"/>
      <c r="W50" s="2191"/>
      <c r="X50" s="1704"/>
      <c r="Z50" s="1720"/>
      <c r="AA50" s="1720"/>
      <c r="AB50" s="1720"/>
      <c r="AC50" s="1720"/>
      <c r="AD50" s="1720"/>
      <c r="AE50" s="1720"/>
      <c r="AF50" s="1720"/>
      <c r="AG50" s="1720"/>
      <c r="AH50" s="1720"/>
      <c r="AI50" s="1720"/>
      <c r="AJ50" s="1720"/>
      <c r="AK50" s="1720"/>
      <c r="AL50" s="1720"/>
      <c r="AM50" s="1720"/>
      <c r="AN50" s="1720"/>
      <c r="AO50" s="1720"/>
    </row>
    <row r="51" spans="1:41" ht="17.25">
      <c r="A51" s="1705"/>
      <c r="B51" s="2191" t="s">
        <v>1840</v>
      </c>
      <c r="C51" s="2191"/>
      <c r="D51" s="2191"/>
      <c r="E51" s="2191"/>
      <c r="F51" s="3707"/>
      <c r="G51" s="3708"/>
      <c r="H51" s="3708"/>
      <c r="I51" s="3708"/>
      <c r="J51" s="3708"/>
      <c r="K51" s="3709"/>
      <c r="L51" s="2191" t="s">
        <v>1841</v>
      </c>
      <c r="M51" s="2191"/>
      <c r="N51" s="2191"/>
      <c r="O51" s="3707"/>
      <c r="P51" s="3708"/>
      <c r="Q51" s="3708"/>
      <c r="R51" s="3709"/>
      <c r="S51" s="2378" t="s">
        <v>2141</v>
      </c>
      <c r="U51" s="3717"/>
      <c r="V51" s="3718"/>
      <c r="W51" s="3719"/>
      <c r="X51" s="1704"/>
      <c r="Z51" s="1719" t="s">
        <v>1019</v>
      </c>
      <c r="AA51" s="1720" t="s">
        <v>1842</v>
      </c>
      <c r="AB51" s="1720"/>
      <c r="AC51" s="1720"/>
      <c r="AD51" s="1720"/>
      <c r="AE51" s="1720"/>
      <c r="AF51" s="1720"/>
      <c r="AG51" s="1720"/>
      <c r="AH51" s="1720"/>
      <c r="AI51" s="1720"/>
      <c r="AJ51" s="1720"/>
      <c r="AK51" s="1720"/>
      <c r="AL51" s="1720"/>
      <c r="AM51" s="1720"/>
      <c r="AN51" s="1720"/>
      <c r="AO51" s="1720"/>
    </row>
    <row r="52" spans="1:41" ht="3" customHeight="1">
      <c r="A52" s="1705"/>
      <c r="B52" s="2191"/>
      <c r="C52" s="2191"/>
      <c r="D52" s="2191"/>
      <c r="E52" s="2191"/>
      <c r="F52" s="2193"/>
      <c r="G52" s="2193"/>
      <c r="H52" s="2193"/>
      <c r="I52" s="2193"/>
      <c r="J52" s="2193"/>
      <c r="K52" s="2193"/>
      <c r="L52" s="2191"/>
      <c r="M52" s="2191"/>
      <c r="N52" s="2191"/>
      <c r="O52" s="2193"/>
      <c r="P52" s="2193"/>
      <c r="Q52" s="2193"/>
      <c r="R52" s="2193"/>
      <c r="S52" s="2193"/>
      <c r="T52" s="2191"/>
      <c r="U52" s="2191"/>
      <c r="V52" s="2191"/>
      <c r="W52" s="2191"/>
      <c r="X52" s="1704"/>
      <c r="AK52" s="1720"/>
      <c r="AL52" s="1720"/>
      <c r="AM52" s="1720"/>
      <c r="AN52" s="1720"/>
      <c r="AO52" s="1727"/>
    </row>
    <row r="53" spans="1:41" ht="18">
      <c r="A53" s="1705"/>
      <c r="B53" s="2191" t="s">
        <v>2161</v>
      </c>
      <c r="C53" s="2191"/>
      <c r="D53" s="2191"/>
      <c r="E53" s="2191"/>
      <c r="F53" s="2191"/>
      <c r="G53" s="2191"/>
      <c r="H53" s="2191"/>
      <c r="I53" s="2191"/>
      <c r="J53" s="3710"/>
      <c r="K53" s="3710"/>
      <c r="L53" s="2191"/>
      <c r="M53" s="3715" t="s">
        <v>2139</v>
      </c>
      <c r="N53" s="3715"/>
      <c r="O53" s="3716"/>
      <c r="P53" s="3716"/>
      <c r="Q53" s="2191"/>
      <c r="R53" s="2191"/>
      <c r="S53" s="2191"/>
      <c r="T53" s="2191"/>
      <c r="U53" s="2191"/>
      <c r="V53" s="2191"/>
      <c r="W53" s="2191"/>
      <c r="X53" s="1704"/>
      <c r="Z53" s="1720"/>
      <c r="AA53" s="1720"/>
      <c r="AB53" s="1726" t="s">
        <v>1845</v>
      </c>
      <c r="AC53" s="1720"/>
      <c r="AD53" s="3711"/>
      <c r="AE53" s="3712"/>
      <c r="AF53" s="1728">
        <v>2</v>
      </c>
      <c r="AG53" s="1720" t="s">
        <v>609</v>
      </c>
      <c r="AH53" s="1726" t="s">
        <v>1240</v>
      </c>
      <c r="AI53" s="3713" t="str">
        <f>IF(ISBLANK(AD53)," ",PI()*AD53*AD53)</f>
        <v xml:space="preserve"> </v>
      </c>
      <c r="AJ53" s="3714"/>
      <c r="AK53" s="1720" t="s">
        <v>801</v>
      </c>
      <c r="AL53" s="1720"/>
      <c r="AM53" s="1720"/>
      <c r="AN53" s="1720"/>
      <c r="AO53" s="1727"/>
    </row>
    <row r="54" spans="1:41" ht="3" customHeight="1">
      <c r="A54" s="1705"/>
      <c r="B54" s="2191"/>
      <c r="C54" s="2191"/>
      <c r="D54" s="2191"/>
      <c r="E54" s="2191"/>
      <c r="F54" s="2191"/>
      <c r="G54" s="2191"/>
      <c r="H54" s="2191"/>
      <c r="I54" s="2191"/>
      <c r="J54" s="2191"/>
      <c r="K54" s="2191"/>
      <c r="L54" s="2191"/>
      <c r="M54" s="2191"/>
      <c r="N54" s="2191"/>
      <c r="O54" s="2191"/>
      <c r="P54" s="2191"/>
      <c r="Q54" s="2191"/>
      <c r="R54" s="2191"/>
      <c r="S54" s="2191"/>
      <c r="T54" s="2191"/>
      <c r="U54" s="2191"/>
      <c r="V54" s="2191"/>
      <c r="W54" s="2191"/>
      <c r="X54" s="1704"/>
      <c r="Z54" s="1720"/>
      <c r="AL54" s="1720"/>
      <c r="AM54" s="1720"/>
      <c r="AN54" s="1720"/>
      <c r="AO54" s="1720"/>
    </row>
    <row r="55" spans="1:41" ht="15.75">
      <c r="A55" s="3696" t="s">
        <v>843</v>
      </c>
      <c r="B55" s="3697"/>
      <c r="C55" s="2191" t="s">
        <v>2159</v>
      </c>
      <c r="D55" s="3716"/>
      <c r="E55" s="3716"/>
      <c r="F55" s="3716"/>
      <c r="G55" s="2191"/>
      <c r="H55" s="3710"/>
      <c r="I55" s="3710"/>
      <c r="J55" s="2191" t="s">
        <v>1537</v>
      </c>
      <c r="K55" s="2191"/>
      <c r="L55" s="3715" t="s">
        <v>2150</v>
      </c>
      <c r="M55" s="3715"/>
      <c r="N55" s="3723"/>
      <c r="O55" s="1824"/>
      <c r="P55" s="3720" t="s">
        <v>2160</v>
      </c>
      <c r="Q55" s="3721"/>
      <c r="R55" s="3722"/>
      <c r="S55" s="3710"/>
      <c r="T55" s="3710"/>
      <c r="U55" s="3710"/>
      <c r="V55" s="3710"/>
      <c r="W55" s="3710"/>
      <c r="X55" s="1704"/>
      <c r="Z55" s="1729"/>
      <c r="AA55" s="1720"/>
      <c r="AB55" s="1720"/>
      <c r="AC55" s="1720"/>
      <c r="AD55" s="1720"/>
      <c r="AE55" s="1720"/>
      <c r="AF55" s="1720"/>
      <c r="AG55" s="1720"/>
      <c r="AH55" s="1720"/>
      <c r="AI55" s="1720"/>
      <c r="AJ55" s="1720"/>
      <c r="AK55" s="1720"/>
      <c r="AL55" s="1720"/>
      <c r="AM55" s="1720"/>
      <c r="AN55" s="1720"/>
      <c r="AO55" s="1719"/>
    </row>
    <row r="56" spans="1:41" ht="3" customHeight="1">
      <c r="A56" s="1703"/>
      <c r="B56" s="2190"/>
      <c r="C56" s="2191"/>
      <c r="D56" s="2191"/>
      <c r="E56" s="2193"/>
      <c r="F56" s="2193"/>
      <c r="G56" s="2191"/>
      <c r="H56" s="2191"/>
      <c r="I56" s="2202"/>
      <c r="J56" s="2191"/>
      <c r="K56" s="2191"/>
      <c r="L56" s="2192"/>
      <c r="M56" s="2192"/>
      <c r="N56" s="2192"/>
      <c r="O56" s="2191"/>
      <c r="P56" s="2191"/>
      <c r="Q56" s="2191"/>
      <c r="R56" s="2191"/>
      <c r="S56" s="2198"/>
      <c r="T56" s="2198"/>
      <c r="U56" s="2198"/>
      <c r="V56" s="2191"/>
      <c r="W56" s="2191"/>
      <c r="X56" s="1704"/>
      <c r="AA56" s="3706" t="s">
        <v>1847</v>
      </c>
      <c r="AB56" s="3706"/>
      <c r="AC56" s="3706"/>
      <c r="AD56" s="3706"/>
      <c r="AE56" s="3706"/>
      <c r="AF56" s="3706"/>
      <c r="AG56" s="3706"/>
      <c r="AH56" s="3706"/>
      <c r="AI56" s="3706"/>
      <c r="AJ56" s="3706"/>
      <c r="AK56" s="3706"/>
      <c r="AL56" s="3706"/>
      <c r="AM56" s="3706"/>
      <c r="AN56" s="3706"/>
      <c r="AO56" s="3706"/>
    </row>
    <row r="57" spans="1:41" ht="15.75">
      <c r="A57" s="1705"/>
      <c r="B57" s="2191" t="s">
        <v>1840</v>
      </c>
      <c r="C57" s="2191"/>
      <c r="D57" s="2191"/>
      <c r="E57" s="2191"/>
      <c r="F57" s="3707"/>
      <c r="G57" s="3708"/>
      <c r="H57" s="3708"/>
      <c r="I57" s="3708"/>
      <c r="J57" s="3708"/>
      <c r="K57" s="3709"/>
      <c r="L57" s="2191" t="s">
        <v>1841</v>
      </c>
      <c r="M57" s="2191"/>
      <c r="N57" s="2191"/>
      <c r="O57" s="3707"/>
      <c r="P57" s="3708"/>
      <c r="Q57" s="3708"/>
      <c r="R57" s="3709"/>
      <c r="S57" s="2378" t="s">
        <v>2141</v>
      </c>
      <c r="U57" s="3717"/>
      <c r="V57" s="3718"/>
      <c r="W57" s="3719"/>
      <c r="X57" s="1704"/>
      <c r="Z57" s="1719" t="s">
        <v>1168</v>
      </c>
      <c r="AA57" s="3706"/>
      <c r="AB57" s="3706"/>
      <c r="AC57" s="3706"/>
      <c r="AD57" s="3706"/>
      <c r="AE57" s="3706"/>
      <c r="AF57" s="3706"/>
      <c r="AG57" s="3706"/>
      <c r="AH57" s="3706"/>
      <c r="AI57" s="3706"/>
      <c r="AJ57" s="3706"/>
      <c r="AK57" s="3706"/>
      <c r="AL57" s="3706"/>
      <c r="AM57" s="3706"/>
      <c r="AN57" s="3706"/>
      <c r="AO57" s="3706"/>
    </row>
    <row r="58" spans="1:41" ht="3" customHeight="1">
      <c r="A58" s="1705"/>
      <c r="B58" s="2191"/>
      <c r="C58" s="2191"/>
      <c r="D58" s="2191"/>
      <c r="E58" s="2191"/>
      <c r="F58" s="2193"/>
      <c r="G58" s="2193"/>
      <c r="H58" s="2193"/>
      <c r="I58" s="2193"/>
      <c r="J58" s="2193"/>
      <c r="K58" s="2193"/>
      <c r="L58" s="2191"/>
      <c r="M58" s="2191"/>
      <c r="N58" s="2191"/>
      <c r="O58" s="2193"/>
      <c r="P58" s="2193"/>
      <c r="Q58" s="2193"/>
      <c r="R58" s="2193"/>
      <c r="S58" s="2193"/>
      <c r="T58" s="2191"/>
      <c r="U58" s="2191"/>
      <c r="V58" s="2191"/>
      <c r="W58" s="2191"/>
      <c r="X58" s="1704"/>
      <c r="Z58" s="1719"/>
      <c r="AA58" s="3706"/>
      <c r="AB58" s="3706"/>
      <c r="AC58" s="3706"/>
      <c r="AD58" s="3706"/>
      <c r="AE58" s="3706"/>
      <c r="AF58" s="3706"/>
      <c r="AG58" s="3706"/>
      <c r="AH58" s="3706"/>
      <c r="AI58" s="3706"/>
      <c r="AJ58" s="3706"/>
      <c r="AK58" s="3706"/>
      <c r="AL58" s="3706"/>
      <c r="AM58" s="3706"/>
      <c r="AN58" s="3706"/>
      <c r="AO58" s="3706"/>
    </row>
    <row r="59" spans="1:41" ht="15.75">
      <c r="A59" s="1705"/>
      <c r="B59" s="2191" t="s">
        <v>2161</v>
      </c>
      <c r="C59" s="2191"/>
      <c r="D59" s="2191"/>
      <c r="E59" s="2191"/>
      <c r="F59" s="2191"/>
      <c r="G59" s="2191"/>
      <c r="H59" s="2191"/>
      <c r="I59" s="2191"/>
      <c r="J59" s="3710"/>
      <c r="K59" s="3710"/>
      <c r="L59" s="2191"/>
      <c r="M59" s="3715" t="s">
        <v>2139</v>
      </c>
      <c r="N59" s="3715"/>
      <c r="O59" s="3716"/>
      <c r="P59" s="3716"/>
      <c r="Q59" s="2191"/>
      <c r="R59" s="2191"/>
      <c r="S59" s="2191"/>
      <c r="T59" s="2191"/>
      <c r="U59" s="2191"/>
      <c r="V59" s="2191"/>
      <c r="W59" s="2191"/>
      <c r="X59" s="1704"/>
      <c r="AA59" s="3706"/>
      <c r="AB59" s="3706"/>
      <c r="AC59" s="3706"/>
      <c r="AD59" s="3706"/>
      <c r="AE59" s="3706"/>
      <c r="AF59" s="3706"/>
      <c r="AG59" s="3706"/>
      <c r="AH59" s="3706"/>
      <c r="AI59" s="3706"/>
      <c r="AJ59" s="3706"/>
      <c r="AK59" s="3706"/>
      <c r="AL59" s="3706"/>
      <c r="AM59" s="3706"/>
      <c r="AN59" s="3706"/>
      <c r="AO59" s="3706"/>
    </row>
    <row r="60" spans="1:41" ht="15" customHeight="1">
      <c r="A60" s="1730"/>
      <c r="J60" s="2195" t="s">
        <v>2148</v>
      </c>
      <c r="X60" s="1731"/>
      <c r="AA60" s="3711"/>
      <c r="AB60" s="3712"/>
      <c r="AC60" s="1719" t="s">
        <v>801</v>
      </c>
      <c r="AD60" s="1726" t="s">
        <v>1850</v>
      </c>
      <c r="AE60" s="1732" t="s">
        <v>1851</v>
      </c>
      <c r="AF60" s="1733"/>
      <c r="AG60" s="1734"/>
      <c r="AH60" s="1734"/>
      <c r="AI60" s="1726" t="s">
        <v>1240</v>
      </c>
      <c r="AJ60" s="3713" t="str">
        <f>IF(ISBLANK(AA60)," ",AA60*7.5/12)</f>
        <v xml:space="preserve"> </v>
      </c>
      <c r="AK60" s="3714"/>
      <c r="AL60" s="1720" t="s">
        <v>1849</v>
      </c>
      <c r="AM60" s="1720"/>
      <c r="AN60" s="1720"/>
      <c r="AO60" s="1720"/>
    </row>
    <row r="61" spans="1:41">
      <c r="A61" s="1730"/>
      <c r="B61" s="2203" t="s">
        <v>2162</v>
      </c>
      <c r="X61" s="1731"/>
      <c r="AO61" s="1720"/>
    </row>
    <row r="62" spans="1:41" ht="15" customHeight="1">
      <c r="A62" s="3696" t="s">
        <v>719</v>
      </c>
      <c r="B62" s="3697"/>
      <c r="C62" s="3697"/>
      <c r="D62" s="3697"/>
      <c r="E62" s="2191"/>
      <c r="F62" s="2191"/>
      <c r="G62" s="2191"/>
      <c r="H62" s="2191"/>
      <c r="I62" s="2191"/>
      <c r="J62" s="2191"/>
      <c r="K62" s="2191"/>
      <c r="L62" s="2191"/>
      <c r="M62" s="2191"/>
      <c r="N62" s="2191"/>
      <c r="O62" s="2191"/>
      <c r="P62" s="2191"/>
      <c r="Q62" s="2191"/>
      <c r="R62" s="2191"/>
      <c r="S62" s="2191"/>
      <c r="T62" s="2191"/>
      <c r="U62" s="2191"/>
      <c r="V62" s="2191"/>
      <c r="W62" s="2191"/>
      <c r="X62" s="1704"/>
      <c r="Z62" s="1719" t="s">
        <v>1172</v>
      </c>
      <c r="AA62" s="1720" t="s">
        <v>1853</v>
      </c>
      <c r="AB62" s="1720"/>
      <c r="AC62" s="1720"/>
      <c r="AD62" s="1720"/>
      <c r="AE62" s="1735"/>
      <c r="AF62" s="1735"/>
      <c r="AG62" s="1736"/>
      <c r="AH62" s="1720"/>
      <c r="AI62" s="1719"/>
      <c r="AJ62" s="1735"/>
      <c r="AK62" s="1735"/>
      <c r="AL62" s="1719"/>
      <c r="AM62" s="1720"/>
      <c r="AN62" s="1732"/>
      <c r="AO62" s="1720"/>
    </row>
    <row r="63" spans="1:41" ht="28.5" customHeight="1">
      <c r="A63" s="1705"/>
      <c r="B63" s="3698"/>
      <c r="C63" s="3698"/>
      <c r="D63" s="3698"/>
      <c r="E63" s="3698"/>
      <c r="F63" s="3698"/>
      <c r="G63" s="3698"/>
      <c r="H63" s="3698"/>
      <c r="I63" s="3698"/>
      <c r="J63" s="3698"/>
      <c r="K63" s="3698"/>
      <c r="L63" s="3698"/>
      <c r="M63" s="3698"/>
      <c r="N63" s="3698"/>
      <c r="O63" s="3698"/>
      <c r="P63" s="3698"/>
      <c r="Q63" s="3698"/>
      <c r="R63" s="3698"/>
      <c r="S63" s="3698"/>
      <c r="T63" s="3698"/>
      <c r="U63" s="3698"/>
      <c r="V63" s="3698"/>
      <c r="W63" s="3698"/>
      <c r="X63" s="1704"/>
      <c r="Z63" s="1720"/>
      <c r="AA63" s="1737" t="s">
        <v>1855</v>
      </c>
      <c r="AB63" s="1720"/>
      <c r="AC63" s="1720"/>
      <c r="AD63" s="1720"/>
      <c r="AE63" s="1720"/>
      <c r="AF63" s="1720"/>
      <c r="AG63" s="1720"/>
      <c r="AH63" s="1720"/>
      <c r="AI63" s="1720"/>
      <c r="AJ63" s="3699"/>
      <c r="AK63" s="3700"/>
      <c r="AL63" s="1720" t="s">
        <v>629</v>
      </c>
      <c r="AM63" s="1732"/>
      <c r="AN63" s="1720"/>
      <c r="AO63" s="1720"/>
    </row>
    <row r="64" spans="1:41" ht="6" customHeight="1" thickBot="1">
      <c r="A64" s="1738"/>
      <c r="B64" s="1739"/>
      <c r="C64" s="1739"/>
      <c r="D64" s="1739"/>
      <c r="E64" s="1739"/>
      <c r="F64" s="1739"/>
      <c r="G64" s="1739"/>
      <c r="H64" s="1739"/>
      <c r="I64" s="1739"/>
      <c r="J64" s="1739"/>
      <c r="K64" s="1739"/>
      <c r="L64" s="1739"/>
      <c r="M64" s="1739"/>
      <c r="N64" s="1739"/>
      <c r="O64" s="1739"/>
      <c r="P64" s="1739"/>
      <c r="Q64" s="1739"/>
      <c r="R64" s="1739"/>
      <c r="S64" s="1739"/>
      <c r="T64" s="1739"/>
      <c r="U64" s="1739"/>
      <c r="V64" s="1739"/>
      <c r="W64" s="1739"/>
      <c r="X64" s="1740"/>
      <c r="AA64" s="3701" t="s">
        <v>2163</v>
      </c>
      <c r="AB64" s="3701"/>
      <c r="AC64" s="3701"/>
      <c r="AD64" s="3701"/>
      <c r="AE64" s="3701"/>
      <c r="AF64" s="3701"/>
      <c r="AG64" s="3701"/>
      <c r="AH64" s="3701"/>
      <c r="AI64" s="3701"/>
      <c r="AJ64" s="3701"/>
      <c r="AK64" s="3701"/>
      <c r="AL64" s="3701"/>
      <c r="AM64" s="3701"/>
    </row>
    <row r="65" spans="26:39" ht="9.9499999999999993" customHeight="1">
      <c r="Z65" s="1720"/>
      <c r="AA65" s="3701"/>
      <c r="AB65" s="3701"/>
      <c r="AC65" s="3701"/>
      <c r="AD65" s="3701"/>
      <c r="AE65" s="3701"/>
      <c r="AF65" s="3701"/>
      <c r="AG65" s="3701"/>
      <c r="AH65" s="3701"/>
      <c r="AI65" s="3701"/>
      <c r="AJ65" s="3701"/>
      <c r="AK65" s="3701"/>
      <c r="AL65" s="3701"/>
      <c r="AM65" s="3701"/>
    </row>
    <row r="66" spans="26:39">
      <c r="AA66" s="3701"/>
      <c r="AB66" s="3701"/>
      <c r="AC66" s="3701"/>
      <c r="AD66" s="3701"/>
      <c r="AE66" s="3701"/>
      <c r="AF66" s="3701"/>
      <c r="AG66" s="3701"/>
      <c r="AH66" s="3701"/>
      <c r="AI66" s="3701"/>
      <c r="AJ66" s="3701"/>
      <c r="AK66" s="3701"/>
      <c r="AL66" s="3701"/>
      <c r="AM66" s="3701"/>
    </row>
    <row r="67" spans="26:39">
      <c r="AA67" s="3702" t="str">
        <f>IF(ISBLANK(AJ63)," ",(AJ63))</f>
        <v xml:space="preserve"> </v>
      </c>
      <c r="AB67" s="3702"/>
      <c r="AC67" s="3695" t="s">
        <v>629</v>
      </c>
      <c r="AD67" s="3703" t="s">
        <v>1343</v>
      </c>
      <c r="AE67" s="3704">
        <f>IF(ISBLANK(AJ60),"",MAX(M56,AJ60))</f>
        <v>0</v>
      </c>
      <c r="AF67" s="3704"/>
      <c r="AG67" s="3705" t="s">
        <v>1858</v>
      </c>
      <c r="AH67" s="3695"/>
      <c r="AI67" s="3695"/>
      <c r="AJ67" s="3704" t="str">
        <f>IF(ISBLANK(AJ63)," ",(AA67*AE67))</f>
        <v xml:space="preserve"> </v>
      </c>
      <c r="AK67" s="3704"/>
      <c r="AL67" s="3695" t="s">
        <v>1002</v>
      </c>
    </row>
    <row r="68" spans="26:39">
      <c r="AA68" s="3702"/>
      <c r="AB68" s="3702"/>
      <c r="AC68" s="3695"/>
      <c r="AD68" s="3703"/>
      <c r="AE68" s="3704"/>
      <c r="AF68" s="3704"/>
      <c r="AG68" s="3705"/>
      <c r="AH68" s="3695"/>
      <c r="AI68" s="3695"/>
      <c r="AJ68" s="3704"/>
      <c r="AK68" s="3704"/>
      <c r="AL68" s="3695"/>
    </row>
  </sheetData>
  <sheetProtection sheet="1" objects="1" scenarios="1"/>
  <mergeCells count="119">
    <mergeCell ref="I1:P1"/>
    <mergeCell ref="B5:F5"/>
    <mergeCell ref="G5:P5"/>
    <mergeCell ref="R5:T5"/>
    <mergeCell ref="U5:W5"/>
    <mergeCell ref="A10:B10"/>
    <mergeCell ref="D10:E10"/>
    <mergeCell ref="L10:M10"/>
    <mergeCell ref="N10:O10"/>
    <mergeCell ref="B6:L6"/>
    <mergeCell ref="E7:N7"/>
    <mergeCell ref="Q7:T7"/>
    <mergeCell ref="U7:W7"/>
    <mergeCell ref="A9:D9"/>
    <mergeCell ref="E9:W9"/>
    <mergeCell ref="N3:Q3"/>
    <mergeCell ref="I3:M3"/>
    <mergeCell ref="U3:X3"/>
    <mergeCell ref="U24:W24"/>
    <mergeCell ref="A18:B18"/>
    <mergeCell ref="D18:E18"/>
    <mergeCell ref="L18:M18"/>
    <mergeCell ref="N18:O18"/>
    <mergeCell ref="O12:R12"/>
    <mergeCell ref="U12:W12"/>
    <mergeCell ref="F12:K12"/>
    <mergeCell ref="A14:B14"/>
    <mergeCell ref="D14:E14"/>
    <mergeCell ref="L14:M14"/>
    <mergeCell ref="N14:O14"/>
    <mergeCell ref="F16:K16"/>
    <mergeCell ref="O16:R16"/>
    <mergeCell ref="U16:W16"/>
    <mergeCell ref="F20:K20"/>
    <mergeCell ref="O20:R20"/>
    <mergeCell ref="U20:W20"/>
    <mergeCell ref="A26:D26"/>
    <mergeCell ref="E26:F26"/>
    <mergeCell ref="G26:I26"/>
    <mergeCell ref="J26:O26"/>
    <mergeCell ref="P26:Q26"/>
    <mergeCell ref="R26:S26"/>
    <mergeCell ref="A22:B22"/>
    <mergeCell ref="D22:E22"/>
    <mergeCell ref="L22:M22"/>
    <mergeCell ref="N22:O22"/>
    <mergeCell ref="F24:K24"/>
    <mergeCell ref="O24:R24"/>
    <mergeCell ref="F34:K34"/>
    <mergeCell ref="A36:B36"/>
    <mergeCell ref="D36:E36"/>
    <mergeCell ref="L36:M36"/>
    <mergeCell ref="N36:O36"/>
    <mergeCell ref="P36:R36"/>
    <mergeCell ref="A27:C27"/>
    <mergeCell ref="B28:W28"/>
    <mergeCell ref="A32:B32"/>
    <mergeCell ref="D32:E32"/>
    <mergeCell ref="L32:M32"/>
    <mergeCell ref="N32:O32"/>
    <mergeCell ref="P32:R32"/>
    <mergeCell ref="T32:U32"/>
    <mergeCell ref="O34:R34"/>
    <mergeCell ref="U34:W34"/>
    <mergeCell ref="AI47:AJ47"/>
    <mergeCell ref="A49:B49"/>
    <mergeCell ref="D49:F49"/>
    <mergeCell ref="H49:I49"/>
    <mergeCell ref="L49:N49"/>
    <mergeCell ref="T36:U36"/>
    <mergeCell ref="F38:K38"/>
    <mergeCell ref="B40:H40"/>
    <mergeCell ref="I40:K40"/>
    <mergeCell ref="B42:G42"/>
    <mergeCell ref="H42:M42"/>
    <mergeCell ref="N42:R42"/>
    <mergeCell ref="O38:R38"/>
    <mergeCell ref="U38:W38"/>
    <mergeCell ref="S42:W42"/>
    <mergeCell ref="A55:B55"/>
    <mergeCell ref="D55:F55"/>
    <mergeCell ref="H55:I55"/>
    <mergeCell ref="L55:N55"/>
    <mergeCell ref="A44:C44"/>
    <mergeCell ref="B45:W45"/>
    <mergeCell ref="AA47:AB47"/>
    <mergeCell ref="AE47:AF47"/>
    <mergeCell ref="S49:W49"/>
    <mergeCell ref="P49:R49"/>
    <mergeCell ref="AA56:AO59"/>
    <mergeCell ref="F57:K57"/>
    <mergeCell ref="J59:K59"/>
    <mergeCell ref="AA60:AB60"/>
    <mergeCell ref="AJ60:AK60"/>
    <mergeCell ref="F51:K51"/>
    <mergeCell ref="J53:K53"/>
    <mergeCell ref="AD53:AE53"/>
    <mergeCell ref="AI53:AJ53"/>
    <mergeCell ref="M53:N53"/>
    <mergeCell ref="O53:P53"/>
    <mergeCell ref="M59:N59"/>
    <mergeCell ref="O59:P59"/>
    <mergeCell ref="O51:R51"/>
    <mergeCell ref="U51:W51"/>
    <mergeCell ref="O57:R57"/>
    <mergeCell ref="U57:W57"/>
    <mergeCell ref="S55:W55"/>
    <mergeCell ref="P55:R55"/>
    <mergeCell ref="AL67:AL68"/>
    <mergeCell ref="A62:D62"/>
    <mergeCell ref="B63:W63"/>
    <mergeCell ref="AJ63:AK63"/>
    <mergeCell ref="AA64:AM66"/>
    <mergeCell ref="AA67:AB68"/>
    <mergeCell ref="AC67:AC68"/>
    <mergeCell ref="AD67:AD68"/>
    <mergeCell ref="AE67:AF68"/>
    <mergeCell ref="AG67:AI68"/>
    <mergeCell ref="AJ67:AK68"/>
  </mergeCells>
  <dataValidations count="1">
    <dataValidation allowBlank="1" showInputMessage="1" showErrorMessage="1" prompt="Value from Pump Tank STA" sqref="H49:I49 O49 H55:I55 O55" xr:uid="{CEC113F0-3799-4C9E-A8AB-5524393C764E}"/>
  </dataValidations>
  <pageMargins left="0.25" right="0.25" top="0.5" bottom="0.5" header="0.3" footer="0.3"/>
  <pageSetup scale="93"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promptTitle="Is this a combination tank" prompt="Is this a combination septic/pump compartmented tank" xr:uid="{ABD98382-6E0E-4748-BF4F-67C2C41A942B}">
          <x14:formula1>
            <xm:f>'Drop-Down Lists'!$B$2:$B$3</xm:f>
          </x14:formula1>
          <xm:sqref>W10 W22 W18 W14</xm:sqref>
        </x14:dataValidation>
        <x14:dataValidation type="list" allowBlank="1" showInputMessage="1" showErrorMessage="1" promptTitle="Alarm Yes or No" prompt="Is a screen alarm to be installed?" xr:uid="{DA372063-FAA3-401E-91D1-7E9E677C2E4B}">
          <x14:formula1>
            <xm:f>'Drop-Down Lists'!$B$2:$B$3</xm:f>
          </x14:formula1>
          <xm:sqref>R26:S26</xm:sqref>
        </x14:dataValidation>
        <x14:dataValidation type="list" allowBlank="1" showInputMessage="1" showErrorMessage="1" promptTitle="Effluent Screen?  Yes or No" prompt="Is an effluent screen to be installed?" xr:uid="{B6AF91EC-E2BD-465A-8ECF-AFE09E8C60CB}">
          <x14:formula1>
            <xm:f>'Drop-Down Lists'!$B$2:$B$3</xm:f>
          </x14:formula1>
          <xm:sqref>E26:F26</xm:sqref>
        </x14:dataValidation>
        <x14:dataValidation type="list" allowBlank="1" showInputMessage="1" showErrorMessage="1" promptTitle="Tank Status" prompt="Is this a New or an Existing Tank" xr:uid="{50B4D376-41A7-4DF0-B67E-E71C0DD027F1}">
          <x14:formula1>
            <xm:f>'Drop-Down Lists'!$BU$2:$BU$3</xm:f>
          </x14:formula1>
          <xm:sqref>O59:P59 N10:O10 O53:P53 N36:O36 N32:O32 N22:O22 N18:O18 N14:O14</xm:sqref>
        </x14:dataValidation>
        <x14:dataValidation type="list" allowBlank="1" showInputMessage="1" showErrorMessage="1" xr:uid="{7102CF3A-4EB2-4F80-8CC3-1AF58AE65F13}">
          <x14:formula1>
            <xm:f>'Drop-Down Lists'!$AE$2:$AE$3</xm:f>
          </x14:formula1>
          <xm:sqref>I40:K40</xm:sqref>
        </x14:dataValidation>
        <x14:dataValidation type="list" allowBlank="1" showInputMessage="1" showErrorMessage="1" xr:uid="{B24E357C-6A10-4BC0-A577-75D9A17C5529}">
          <x14:formula1>
            <xm:f>'Drop-Down Lists'!$AF$2:$AF$3</xm:f>
          </x14:formula1>
          <xm:sqref>S42 S49 S55</xm:sqref>
        </x14:dataValidation>
        <x14:dataValidation type="list" allowBlank="1" showInputMessage="1" showErrorMessage="1" xr:uid="{037B550C-7710-4722-9A95-BAF8881B4A34}">
          <x14:formula1>
            <xm:f>'Drop-Down Lists'!$BW$2:$BW$5</xm:f>
          </x14:formula1>
          <xm:sqref>D49:F49 D55:F55</xm:sqref>
        </x14:dataValidation>
        <x14:dataValidation type="list" allowBlank="1" showInputMessage="1" showErrorMessage="1" xr:uid="{0B10BCC6-0D20-4DD9-95A8-B09FA5F5B545}">
          <x14:formula1>
            <xm:f>'Drop-Down Lists'!$AG$2:$AG$4</xm:f>
          </x14:formula1>
          <xm:sqref>U12:W12 U16:W16 U20:W20 U24:W24 U34:W34 U38:W38 U51:W51 U57:W57</xm:sqref>
        </x14:dataValidation>
        <x14:dataValidation type="list" allowBlank="1" showInputMessage="1" showErrorMessage="1" xr:uid="{CEC2970A-E1F7-4781-9CB3-DEEF3193DBB4}">
          <x14:formula1>
            <xm:f>'Drop-Down Lists'!$C$2:$C$3</xm:f>
          </x14:formula1>
          <xm:sqref>J53:K53 J59:K59</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1A92E-0B31-433E-BC5B-BD1AD6353CB8}">
  <sheetPr>
    <tabColor rgb="FFFF66FF"/>
  </sheetPr>
  <dimension ref="A1:AQ146"/>
  <sheetViews>
    <sheetView view="pageBreakPreview" zoomScaleNormal="100" zoomScaleSheetLayoutView="100" workbookViewId="0">
      <selection activeCell="G6" sqref="G6:J6"/>
    </sheetView>
  </sheetViews>
  <sheetFormatPr defaultColWidth="9.140625" defaultRowHeight="15"/>
  <cols>
    <col min="1" max="1" width="0.85546875" style="1686" customWidth="1"/>
    <col min="2" max="22" width="4.7109375" style="1686" customWidth="1"/>
    <col min="23" max="23" width="0.85546875" style="1686" customWidth="1"/>
    <col min="24" max="24" width="4.7109375" style="1686" customWidth="1"/>
    <col min="25" max="25" width="6" style="1686" customWidth="1"/>
    <col min="26" max="16384" width="9.140625" style="1686"/>
  </cols>
  <sheetData>
    <row r="1" spans="1:37" s="520" customFormat="1" ht="54.95" customHeight="1" thickBot="1">
      <c r="C1" s="820"/>
      <c r="D1" s="820"/>
      <c r="E1" s="820"/>
      <c r="G1" s="2701" t="s">
        <v>2044</v>
      </c>
      <c r="H1" s="2701"/>
      <c r="I1" s="2701"/>
      <c r="J1" s="2701"/>
      <c r="K1" s="2701"/>
      <c r="L1" s="2701"/>
      <c r="M1" s="2701"/>
      <c r="N1" s="2701"/>
      <c r="O1" s="2701"/>
      <c r="P1" s="2701"/>
      <c r="Q1" s="1796"/>
      <c r="R1" s="1796"/>
      <c r="S1" s="820"/>
      <c r="T1" s="820"/>
      <c r="U1" s="820"/>
      <c r="V1" s="820"/>
      <c r="W1" s="820"/>
      <c r="X1" s="820"/>
      <c r="Y1" s="2305"/>
      <c r="Z1" s="820"/>
      <c r="AA1" s="820"/>
      <c r="AB1" s="820"/>
      <c r="AC1" s="820"/>
      <c r="AD1" s="820"/>
      <c r="AE1" s="820"/>
      <c r="AF1" s="820"/>
      <c r="AG1" s="820"/>
      <c r="AH1" s="820"/>
      <c r="AI1" s="820"/>
      <c r="AJ1" s="820"/>
      <c r="AK1" s="820"/>
    </row>
    <row r="2" spans="1:37" s="520" customFormat="1" ht="15.75" customHeight="1" thickBot="1">
      <c r="A2" s="822"/>
      <c r="B2" s="542"/>
      <c r="C2" s="824"/>
      <c r="D2" s="824"/>
      <c r="E2" s="824"/>
      <c r="F2" s="824"/>
      <c r="G2" s="1795"/>
      <c r="H2" s="1795"/>
      <c r="I2" s="1795"/>
      <c r="J2" s="2688" t="s">
        <v>551</v>
      </c>
      <c r="K2" s="2688"/>
      <c r="L2" s="2688"/>
      <c r="M2" s="2690" t="str">
        <f>IF(ISBLANK('Design Details &amp; Summary'!S3)," ",'Design Details &amp; Summary'!S3)</f>
        <v xml:space="preserve"> </v>
      </c>
      <c r="N2" s="2690"/>
      <c r="O2" s="2690"/>
      <c r="P2" s="2690"/>
      <c r="Q2" s="2690"/>
      <c r="R2" s="2690"/>
      <c r="S2" s="2688" t="str">
        <f>'Drop-Down Lists'!A2</f>
        <v>v 05.01.2026</v>
      </c>
      <c r="T2" s="2688"/>
      <c r="U2" s="2688"/>
      <c r="V2" s="2688"/>
      <c r="W2" s="1794"/>
      <c r="X2" s="1793"/>
      <c r="Y2" s="1793"/>
      <c r="Z2" s="821"/>
      <c r="AA2" s="3738"/>
      <c r="AB2" s="3738"/>
      <c r="AC2" s="3738"/>
      <c r="AD2" s="821"/>
      <c r="AE2" s="821"/>
      <c r="AF2" s="821"/>
      <c r="AG2" s="821"/>
    </row>
    <row r="3" spans="1:37" s="520" customFormat="1" ht="3.95" customHeight="1">
      <c r="A3" s="554"/>
      <c r="B3" s="529"/>
      <c r="C3" s="1203"/>
      <c r="D3" s="1203"/>
      <c r="E3" s="635"/>
      <c r="F3" s="635"/>
      <c r="G3" s="635"/>
      <c r="H3" s="635"/>
      <c r="I3" s="635"/>
      <c r="J3" s="635"/>
      <c r="K3" s="636"/>
      <c r="L3" s="636"/>
      <c r="M3" s="636"/>
      <c r="N3" s="636"/>
      <c r="O3" s="636"/>
      <c r="P3" s="636"/>
      <c r="Q3" s="636"/>
      <c r="R3" s="637"/>
      <c r="S3" s="637"/>
      <c r="T3" s="637"/>
      <c r="U3" s="637"/>
      <c r="V3" s="637"/>
      <c r="W3" s="832"/>
      <c r="X3" s="637"/>
      <c r="Y3" s="637"/>
      <c r="Z3" s="637"/>
      <c r="AA3" s="637"/>
      <c r="AB3" s="637"/>
      <c r="AC3" s="637"/>
    </row>
    <row r="4" spans="1:37" s="520" customFormat="1" ht="18" customHeight="1">
      <c r="A4" s="554"/>
      <c r="B4" s="2693" t="s">
        <v>750</v>
      </c>
      <c r="C4" s="2693"/>
      <c r="D4" s="2693"/>
      <c r="E4" s="2693"/>
      <c r="F4" s="2693"/>
      <c r="G4" s="2693"/>
      <c r="H4" s="2693"/>
      <c r="I4" s="2694" t="str">
        <f>IF(ISBLANK(Prelim!G3)," ",Prelim!G3)</f>
        <v xml:space="preserve"> </v>
      </c>
      <c r="J4" s="2694"/>
      <c r="K4" s="2694"/>
      <c r="L4" s="2694"/>
      <c r="M4" s="2694"/>
      <c r="N4" s="2694"/>
      <c r="O4" s="2694"/>
      <c r="P4" s="2694"/>
      <c r="Q4" s="2694"/>
      <c r="R4" s="2694"/>
      <c r="S4" s="2694"/>
      <c r="T4" s="2694"/>
      <c r="U4" s="2694"/>
      <c r="V4" s="2694"/>
      <c r="W4" s="531"/>
      <c r="X4" s="528"/>
      <c r="Y4" s="1558" t="s">
        <v>2045</v>
      </c>
      <c r="Z4" s="1244"/>
      <c r="AA4" s="1792"/>
      <c r="AB4" s="1244"/>
      <c r="AC4" s="1244"/>
      <c r="AD4" s="1244"/>
      <c r="AE4" s="1244"/>
      <c r="AF4" s="1244"/>
      <c r="AG4" s="1244"/>
      <c r="AH4" s="1244"/>
      <c r="AI4" s="1244"/>
      <c r="AJ4" s="1244"/>
      <c r="AK4" s="1244"/>
    </row>
    <row r="5" spans="1:37" s="520" customFormat="1" ht="6" customHeight="1">
      <c r="A5" s="554"/>
      <c r="B5" s="1636"/>
      <c r="C5" s="1636"/>
      <c r="D5" s="1636"/>
      <c r="E5" s="1636"/>
      <c r="F5" s="1636"/>
      <c r="G5" s="1636"/>
      <c r="H5" s="1636"/>
      <c r="I5" s="1203"/>
      <c r="J5" s="1203"/>
      <c r="K5" s="1203"/>
      <c r="L5" s="1203"/>
      <c r="M5" s="1203"/>
      <c r="N5" s="1203"/>
      <c r="O5" s="1203"/>
      <c r="P5" s="1203"/>
      <c r="Q5" s="1203"/>
      <c r="R5" s="1203"/>
      <c r="S5" s="1203"/>
      <c r="T5" s="1203"/>
      <c r="U5" s="1203"/>
      <c r="V5" s="1203"/>
      <c r="W5" s="1791"/>
      <c r="X5" s="1203"/>
      <c r="Y5" s="528"/>
      <c r="Z5" s="1244"/>
      <c r="AA5" s="1244"/>
      <c r="AB5" s="1244"/>
      <c r="AC5" s="1244"/>
      <c r="AD5" s="1244"/>
      <c r="AE5" s="1244"/>
      <c r="AF5" s="1244"/>
      <c r="AG5" s="1244"/>
      <c r="AH5" s="1244"/>
      <c r="AI5" s="1244"/>
      <c r="AJ5" s="1244"/>
      <c r="AK5" s="1244"/>
    </row>
    <row r="6" spans="1:37" s="520" customFormat="1" ht="15" customHeight="1">
      <c r="A6" s="554"/>
      <c r="C6" s="520" t="s">
        <v>549</v>
      </c>
      <c r="G6" s="2676"/>
      <c r="H6" s="2677"/>
      <c r="I6" s="2677"/>
      <c r="J6" s="2678"/>
      <c r="W6" s="526"/>
      <c r="Y6" s="3746" t="s">
        <v>2046</v>
      </c>
      <c r="Z6" s="3748">
        <v>1525</v>
      </c>
      <c r="AA6" s="3750" t="s">
        <v>587</v>
      </c>
    </row>
    <row r="7" spans="1:37" ht="3.95" customHeight="1">
      <c r="A7" s="1730"/>
      <c r="W7" s="1731"/>
      <c r="Y7" s="3747"/>
      <c r="Z7" s="3749"/>
      <c r="AA7" s="3751"/>
    </row>
    <row r="8" spans="1:37" ht="16.5">
      <c r="A8" s="1730"/>
      <c r="B8" s="1857" t="s">
        <v>475</v>
      </c>
      <c r="C8" s="1745" t="s">
        <v>2047</v>
      </c>
      <c r="D8" s="1745"/>
      <c r="E8" s="1745"/>
      <c r="F8" s="1745"/>
      <c r="G8" s="1745"/>
      <c r="H8" s="1745"/>
      <c r="I8" s="1745"/>
      <c r="J8" s="1858"/>
      <c r="K8" s="1860"/>
      <c r="L8" s="1860"/>
      <c r="M8" s="1745"/>
      <c r="N8" s="1745"/>
      <c r="O8" s="1745"/>
      <c r="P8" s="1745"/>
      <c r="Q8" s="1745"/>
      <c r="R8" s="1745"/>
      <c r="S8" s="1396"/>
      <c r="T8" s="1396"/>
      <c r="U8" s="1745"/>
      <c r="V8" s="1859"/>
      <c r="W8" s="1731"/>
      <c r="Y8" s="1864" t="s">
        <v>183</v>
      </c>
      <c r="Z8" s="1865">
        <v>670</v>
      </c>
      <c r="AA8" s="1866" t="s">
        <v>587</v>
      </c>
    </row>
    <row r="9" spans="1:37" ht="16.5">
      <c r="A9" s="1730"/>
      <c r="B9" s="1790"/>
      <c r="C9" s="672"/>
      <c r="D9" s="1755" t="s">
        <v>2048</v>
      </c>
      <c r="E9" s="528"/>
      <c r="F9" s="528"/>
      <c r="G9" s="528"/>
      <c r="H9" s="528"/>
      <c r="I9" s="528"/>
      <c r="J9" s="528"/>
      <c r="K9" s="528"/>
      <c r="L9" s="1553"/>
      <c r="M9" s="1553"/>
      <c r="N9" s="1553"/>
      <c r="O9" s="1553"/>
      <c r="P9" s="1553"/>
      <c r="Q9" s="1553"/>
      <c r="R9" s="1553"/>
      <c r="S9" s="1553"/>
      <c r="T9" s="1553"/>
      <c r="U9" s="537"/>
      <c r="V9" s="1747"/>
      <c r="W9" s="1731"/>
      <c r="Y9" s="1864" t="s">
        <v>229</v>
      </c>
      <c r="Z9" s="1865">
        <v>200</v>
      </c>
      <c r="AA9" s="1866" t="s">
        <v>587</v>
      </c>
    </row>
    <row r="10" spans="1:37">
      <c r="A10" s="1730"/>
      <c r="B10" s="3010" t="s">
        <v>2049</v>
      </c>
      <c r="C10" s="3010"/>
      <c r="D10" s="3007"/>
      <c r="E10" s="2932" t="str">
        <f>IF(ISBLANK(Prelim!I40), "",Prelim!I40)</f>
        <v/>
      </c>
      <c r="F10" s="2933"/>
      <c r="G10" s="528" t="s">
        <v>583</v>
      </c>
      <c r="H10" s="3029" t="s">
        <v>2050</v>
      </c>
      <c r="I10" s="3029"/>
      <c r="J10" s="3029"/>
      <c r="K10" s="2441"/>
      <c r="L10" s="2430"/>
      <c r="M10" s="2432"/>
      <c r="N10" s="528" t="s">
        <v>583</v>
      </c>
      <c r="R10" s="2308" t="s">
        <v>2051</v>
      </c>
      <c r="S10" s="2430"/>
      <c r="T10" s="2432"/>
      <c r="U10" s="528" t="s">
        <v>583</v>
      </c>
      <c r="W10" s="1731"/>
    </row>
    <row r="11" spans="1:37" ht="3.95" customHeight="1">
      <c r="A11" s="1730"/>
      <c r="B11" s="672"/>
      <c r="C11" s="528"/>
      <c r="D11" s="528"/>
      <c r="E11" s="528"/>
      <c r="F11" s="528"/>
      <c r="G11" s="528"/>
      <c r="H11" s="528"/>
      <c r="I11" s="528"/>
      <c r="J11" s="528"/>
      <c r="K11" s="528"/>
      <c r="L11" s="528"/>
      <c r="M11" s="528"/>
      <c r="N11" s="528"/>
      <c r="O11" s="528"/>
      <c r="P11" s="528"/>
      <c r="Q11" s="528"/>
      <c r="V11" s="1747"/>
      <c r="W11" s="1731"/>
    </row>
    <row r="12" spans="1:37" ht="15.75">
      <c r="A12" s="1730"/>
      <c r="B12" s="2755" t="s">
        <v>2052</v>
      </c>
      <c r="C12" s="3739"/>
      <c r="D12" s="2430"/>
      <c r="E12" s="2432"/>
      <c r="F12" s="1789" t="s">
        <v>587</v>
      </c>
      <c r="H12" s="776" t="s">
        <v>2053</v>
      </c>
      <c r="I12" s="2430"/>
      <c r="J12" s="2432"/>
      <c r="K12" s="1789" t="s">
        <v>587</v>
      </c>
      <c r="L12" s="2433" t="s">
        <v>2054</v>
      </c>
      <c r="M12" s="2433"/>
      <c r="N12" s="2439"/>
      <c r="O12" s="2430"/>
      <c r="P12" s="2432"/>
      <c r="Q12" s="1789" t="s">
        <v>587</v>
      </c>
      <c r="R12" s="3743" t="s">
        <v>2055</v>
      </c>
      <c r="S12" s="3743"/>
      <c r="T12" s="2430"/>
      <c r="U12" s="2432"/>
      <c r="V12" s="1789" t="s">
        <v>587</v>
      </c>
      <c r="W12" s="1731"/>
      <c r="Y12" s="1861" t="s">
        <v>2056</v>
      </c>
    </row>
    <row r="13" spans="1:37" ht="3.95" customHeight="1">
      <c r="A13" s="1730"/>
      <c r="B13" s="672"/>
      <c r="C13" s="528"/>
      <c r="D13" s="528"/>
      <c r="E13" s="528"/>
      <c r="F13" s="528"/>
      <c r="G13" s="528"/>
      <c r="H13" s="528"/>
      <c r="I13" s="528"/>
      <c r="J13" s="528"/>
      <c r="K13" s="528"/>
      <c r="L13" s="528"/>
      <c r="M13" s="528"/>
      <c r="N13" s="528"/>
      <c r="O13" s="528"/>
      <c r="P13" s="528"/>
      <c r="Q13" s="528"/>
      <c r="V13" s="1747"/>
      <c r="W13" s="1731"/>
    </row>
    <row r="14" spans="1:37">
      <c r="A14" s="1730"/>
      <c r="B14" s="3744" t="s">
        <v>2057</v>
      </c>
      <c r="C14" s="3744"/>
      <c r="D14" s="3744"/>
      <c r="E14" s="3744"/>
      <c r="F14" s="3745"/>
      <c r="G14" s="3008"/>
      <c r="H14" s="3009"/>
      <c r="I14" s="1203" t="s">
        <v>1089</v>
      </c>
      <c r="J14" s="652"/>
      <c r="K14" s="652"/>
      <c r="L14" s="652"/>
      <c r="M14" s="652"/>
      <c r="N14" s="1104" t="s">
        <v>584</v>
      </c>
      <c r="O14" s="3770" t="str">
        <f>IF(ISBLANK(Prelim!R40)," ",Prelim!R40)</f>
        <v xml:space="preserve"> </v>
      </c>
      <c r="P14" s="3771"/>
      <c r="Q14" s="3772"/>
      <c r="W14" s="1731"/>
    </row>
    <row r="15" spans="1:37" ht="3.95" customHeight="1">
      <c r="A15" s="1730"/>
      <c r="B15" s="528"/>
      <c r="C15" s="528"/>
      <c r="D15" s="528"/>
      <c r="E15" s="528"/>
      <c r="F15" s="528"/>
      <c r="G15" s="528"/>
      <c r="H15" s="1788"/>
      <c r="I15" s="528"/>
      <c r="J15" s="528"/>
      <c r="K15" s="1553"/>
      <c r="L15" s="1553"/>
      <c r="M15" s="1553"/>
      <c r="N15" s="1553"/>
      <c r="O15" s="1553"/>
      <c r="P15" s="1553"/>
      <c r="Q15" s="1553"/>
      <c r="R15" s="1553"/>
      <c r="S15" s="1553"/>
      <c r="T15" s="537"/>
      <c r="U15" s="528"/>
      <c r="V15" s="1747"/>
      <c r="W15" s="1731"/>
    </row>
    <row r="16" spans="1:37">
      <c r="A16" s="1730"/>
      <c r="B16" s="1857" t="s">
        <v>481</v>
      </c>
      <c r="C16" s="1745" t="s">
        <v>2058</v>
      </c>
      <c r="D16" s="1745"/>
      <c r="E16" s="1745"/>
      <c r="F16" s="1745"/>
      <c r="G16" s="1745"/>
      <c r="H16" s="1745"/>
      <c r="I16" s="1745"/>
      <c r="J16" s="1858"/>
      <c r="K16" s="1745"/>
      <c r="L16" s="1745"/>
      <c r="M16" s="1745"/>
      <c r="N16" s="1745"/>
      <c r="O16" s="1745"/>
      <c r="P16" s="1745"/>
      <c r="Q16" s="1745"/>
      <c r="R16" s="1745"/>
      <c r="S16" s="1396"/>
      <c r="T16" s="1396"/>
      <c r="U16" s="1745"/>
      <c r="V16" s="1859"/>
      <c r="W16" s="1731"/>
    </row>
    <row r="17" spans="1:42" ht="3.95" customHeight="1">
      <c r="A17" s="1730"/>
      <c r="B17" s="528"/>
      <c r="C17" s="528"/>
      <c r="D17" s="528"/>
      <c r="E17" s="528"/>
      <c r="F17" s="528"/>
      <c r="G17" s="528"/>
      <c r="H17" s="1788"/>
      <c r="I17" s="528"/>
      <c r="J17" s="528"/>
      <c r="K17" s="1553"/>
      <c r="L17" s="1553"/>
      <c r="M17" s="1553"/>
      <c r="N17" s="1553"/>
      <c r="O17" s="1553"/>
      <c r="P17" s="1553"/>
      <c r="Q17" s="1553"/>
      <c r="R17" s="1553"/>
      <c r="S17" s="1553"/>
      <c r="T17" s="537"/>
      <c r="U17" s="528"/>
      <c r="V17" s="1747"/>
      <c r="W17" s="1731"/>
    </row>
    <row r="18" spans="1:42" ht="15.75">
      <c r="A18" s="1730"/>
      <c r="B18" s="609"/>
      <c r="C18" s="520"/>
      <c r="D18" s="520"/>
      <c r="E18" s="776" t="s">
        <v>1071</v>
      </c>
      <c r="F18" s="520"/>
      <c r="G18" s="3740"/>
      <c r="H18" s="3741"/>
      <c r="I18" s="3741"/>
      <c r="J18" s="3741"/>
      <c r="K18" s="3742"/>
      <c r="U18" s="520"/>
      <c r="W18" s="1731"/>
    </row>
    <row r="19" spans="1:42" ht="3.95" customHeight="1">
      <c r="A19" s="1730"/>
      <c r="B19" s="609"/>
      <c r="C19" s="520"/>
      <c r="D19" s="520"/>
      <c r="E19" s="776"/>
      <c r="F19" s="520"/>
      <c r="G19" s="1786"/>
      <c r="H19" s="1786"/>
      <c r="I19" s="1786"/>
      <c r="J19" s="1786"/>
      <c r="K19" s="1786"/>
      <c r="L19" s="1785"/>
      <c r="M19" s="1785"/>
      <c r="N19" s="1785"/>
      <c r="O19" s="1785"/>
      <c r="P19" s="1785"/>
      <c r="Q19" s="1785"/>
      <c r="R19" s="1787"/>
      <c r="S19" s="1787"/>
      <c r="T19" s="1784"/>
      <c r="U19" s="520"/>
      <c r="W19" s="1731"/>
    </row>
    <row r="20" spans="1:42" ht="15.75">
      <c r="A20" s="1730"/>
      <c r="B20" s="609"/>
      <c r="C20" s="3765" t="s">
        <v>2059</v>
      </c>
      <c r="D20" s="3765"/>
      <c r="E20" s="3765"/>
      <c r="F20" s="3765"/>
      <c r="G20" s="3765"/>
      <c r="H20" s="3765"/>
      <c r="I20" s="3765"/>
      <c r="J20" s="3765"/>
      <c r="K20" s="1826" t="s">
        <v>2060</v>
      </c>
      <c r="M20" s="1785"/>
      <c r="N20" s="1785"/>
      <c r="O20" s="1785"/>
      <c r="P20" s="1785"/>
      <c r="Q20" s="1785"/>
      <c r="R20" s="1787"/>
      <c r="S20" s="1787"/>
      <c r="T20" s="1784"/>
      <c r="U20" s="520"/>
      <c r="W20" s="1731"/>
    </row>
    <row r="21" spans="1:42" ht="15.75">
      <c r="A21" s="1730"/>
      <c r="B21" s="609"/>
      <c r="C21" s="520"/>
      <c r="D21" s="520"/>
      <c r="E21" s="776"/>
      <c r="F21" s="520" t="s">
        <v>2061</v>
      </c>
      <c r="G21" s="1786"/>
      <c r="H21" s="1786"/>
      <c r="I21" s="3769"/>
      <c r="J21" s="3769"/>
      <c r="K21" s="1784" t="s">
        <v>2062</v>
      </c>
      <c r="L21" s="1785"/>
      <c r="M21" s="1785"/>
      <c r="O21" s="1686" t="s">
        <v>183</v>
      </c>
      <c r="Q21" s="3766"/>
      <c r="R21" s="3767"/>
      <c r="S21" s="1784" t="s">
        <v>2062</v>
      </c>
      <c r="W21" s="1731"/>
    </row>
    <row r="22" spans="1:42" ht="9.9499999999999993" customHeight="1">
      <c r="A22" s="1730"/>
      <c r="W22" s="1731"/>
    </row>
    <row r="23" spans="1:42">
      <c r="A23" s="1730"/>
      <c r="F23" s="1686" t="s">
        <v>229</v>
      </c>
      <c r="I23" s="3766"/>
      <c r="J23" s="3767"/>
      <c r="K23" s="1784" t="s">
        <v>2062</v>
      </c>
      <c r="O23" s="1686" t="s">
        <v>2063</v>
      </c>
      <c r="Q23" s="3766"/>
      <c r="R23" s="3767"/>
      <c r="S23" s="1784" t="s">
        <v>2062</v>
      </c>
      <c r="W23" s="1731"/>
    </row>
    <row r="24" spans="1:42" ht="9.9499999999999993" customHeight="1">
      <c r="A24" s="1730"/>
      <c r="W24" s="1731"/>
    </row>
    <row r="25" spans="1:42">
      <c r="A25" s="1730"/>
      <c r="B25" s="672" t="s">
        <v>2064</v>
      </c>
      <c r="C25" s="672"/>
      <c r="D25" s="528"/>
      <c r="E25" s="528"/>
      <c r="F25" s="2307" t="b">
        <v>0</v>
      </c>
      <c r="G25" s="528" t="s">
        <v>2065</v>
      </c>
      <c r="H25" s="528"/>
      <c r="I25" s="1556" t="s">
        <v>2066</v>
      </c>
      <c r="J25" s="528"/>
      <c r="K25" s="528"/>
      <c r="L25" s="528"/>
      <c r="M25" s="528"/>
      <c r="N25" s="528"/>
      <c r="P25" s="528"/>
      <c r="S25" s="1203"/>
      <c r="T25" s="1203"/>
      <c r="U25" s="1203"/>
      <c r="V25" s="1747"/>
      <c r="W25" s="1731"/>
      <c r="AA25" s="1756" t="s">
        <v>2067</v>
      </c>
    </row>
    <row r="26" spans="1:42">
      <c r="A26" s="1730"/>
      <c r="B26" s="1751" t="s">
        <v>475</v>
      </c>
      <c r="C26" s="1754" t="s">
        <v>2068</v>
      </c>
      <c r="D26" s="1753"/>
      <c r="E26" s="1753"/>
      <c r="F26" s="1753"/>
      <c r="G26" s="1753"/>
      <c r="H26" s="1753"/>
      <c r="I26" s="1753"/>
      <c r="J26" s="1753"/>
      <c r="K26" s="1753"/>
      <c r="L26" s="1753"/>
      <c r="M26" s="1753"/>
      <c r="N26" s="1753"/>
      <c r="O26" s="1753"/>
      <c r="P26" s="1753"/>
      <c r="Q26" s="1753"/>
      <c r="R26" s="1753"/>
      <c r="S26" s="1753"/>
      <c r="T26" s="1203"/>
      <c r="U26" s="1203"/>
      <c r="V26" s="1747"/>
      <c r="W26" s="1731"/>
      <c r="AA26" s="1714"/>
    </row>
    <row r="27" spans="1:42" ht="3.95" customHeight="1">
      <c r="A27" s="1730"/>
      <c r="B27" s="1190"/>
      <c r="C27" s="672"/>
      <c r="D27" s="528"/>
      <c r="E27" s="528"/>
      <c r="F27" s="528"/>
      <c r="G27" s="528"/>
      <c r="H27" s="528"/>
      <c r="I27" s="528"/>
      <c r="J27" s="528"/>
      <c r="K27" s="528"/>
      <c r="L27" s="528"/>
      <c r="M27" s="528"/>
      <c r="N27" s="528"/>
      <c r="O27" s="528"/>
      <c r="P27" s="528"/>
      <c r="Q27" s="528"/>
      <c r="R27" s="528"/>
      <c r="S27" s="528"/>
      <c r="T27" s="527"/>
      <c r="U27" s="527"/>
      <c r="V27" s="1747"/>
      <c r="W27" s="1731"/>
      <c r="AC27" s="1781"/>
      <c r="AD27" s="653"/>
      <c r="AE27" s="653"/>
      <c r="AF27" s="653"/>
      <c r="AG27" s="1557"/>
      <c r="AH27" s="1557"/>
      <c r="AI27" s="745"/>
      <c r="AJ27" s="745"/>
      <c r="AK27" s="1093"/>
      <c r="AL27" s="1093"/>
      <c r="AM27" s="917"/>
      <c r="AN27" s="528"/>
      <c r="AO27" s="528"/>
      <c r="AP27" s="528"/>
    </row>
    <row r="28" spans="1:42">
      <c r="A28" s="1730"/>
      <c r="B28" s="1555"/>
      <c r="C28" s="3062" t="str">
        <f>IF(ISBLANK(D12),"",MAX(L10,S10))</f>
        <v/>
      </c>
      <c r="D28" s="3063"/>
      <c r="E28" s="3006" t="s">
        <v>2069</v>
      </c>
      <c r="F28" s="3007"/>
      <c r="G28" s="2958" t="str">
        <f>IF(ISBLANK(D12)," ",D12)</f>
        <v xml:space="preserve"> </v>
      </c>
      <c r="H28" s="2959"/>
      <c r="I28" s="2486" t="s">
        <v>2070</v>
      </c>
      <c r="J28" s="2487"/>
      <c r="K28" s="2487"/>
      <c r="L28" s="2487"/>
      <c r="M28" s="3627"/>
      <c r="N28" s="3752" t="str">
        <f>IF(ISBLANK(D12)," ",((C28*G28)*8.35/1000000))</f>
        <v xml:space="preserve"> </v>
      </c>
      <c r="O28" s="3753"/>
      <c r="P28" s="1203" t="s">
        <v>2071</v>
      </c>
      <c r="Q28" s="1752"/>
      <c r="R28" s="1260"/>
      <c r="S28" s="1260"/>
      <c r="T28" s="1203"/>
      <c r="U28" s="1203"/>
      <c r="V28" s="1747"/>
      <c r="W28" s="1731"/>
      <c r="AC28" s="1552"/>
    </row>
    <row r="29" spans="1:42" ht="3.95" customHeight="1">
      <c r="A29" s="1730"/>
      <c r="B29" s="1555"/>
      <c r="C29" s="1093"/>
      <c r="D29" s="1093"/>
      <c r="E29" s="1203"/>
      <c r="F29" s="1203"/>
      <c r="G29" s="527"/>
      <c r="H29" s="527"/>
      <c r="I29" s="1203"/>
      <c r="J29" s="528"/>
      <c r="K29" s="528"/>
      <c r="L29" s="528"/>
      <c r="M29" s="1554"/>
      <c r="N29" s="1554"/>
      <c r="O29" s="1203"/>
      <c r="P29" s="1203"/>
      <c r="Q29" s="1752"/>
      <c r="R29" s="1260"/>
      <c r="S29" s="1260"/>
      <c r="T29" s="1203"/>
      <c r="U29" s="1203"/>
      <c r="V29" s="1747"/>
      <c r="W29" s="1731"/>
    </row>
    <row r="30" spans="1:42" ht="15.75">
      <c r="A30" s="1730"/>
      <c r="B30" s="1751" t="s">
        <v>481</v>
      </c>
      <c r="C30" s="1750" t="s">
        <v>2072</v>
      </c>
      <c r="D30" s="530"/>
      <c r="E30" s="527"/>
      <c r="F30" s="527"/>
      <c r="G30" s="533"/>
      <c r="H30" s="533"/>
      <c r="I30" s="1203"/>
      <c r="J30" s="520"/>
      <c r="K30" s="520"/>
      <c r="L30" s="520"/>
      <c r="M30" s="520"/>
      <c r="N30" s="520"/>
      <c r="O30" s="520"/>
      <c r="P30" s="520"/>
      <c r="Q30" s="520"/>
      <c r="R30" s="528"/>
      <c r="S30" s="528"/>
      <c r="T30" s="1203"/>
      <c r="U30" s="1203"/>
      <c r="V30" s="1747"/>
      <c r="W30" s="1731"/>
    </row>
    <row r="31" spans="1:42" ht="3.95" customHeight="1">
      <c r="A31" s="1730"/>
      <c r="B31" s="1555"/>
      <c r="C31" s="672"/>
      <c r="D31" s="533"/>
      <c r="E31" s="527"/>
      <c r="F31" s="533"/>
      <c r="G31" s="533"/>
      <c r="H31" s="527"/>
      <c r="I31" s="527"/>
      <c r="J31" s="528"/>
      <c r="K31" s="528"/>
      <c r="L31" s="533"/>
      <c r="M31" s="533"/>
      <c r="N31" s="527"/>
      <c r="O31" s="528"/>
      <c r="P31" s="528"/>
      <c r="Q31" s="528"/>
      <c r="R31" s="528"/>
      <c r="S31" s="528"/>
      <c r="T31" s="1203"/>
      <c r="U31" s="1203"/>
      <c r="V31" s="1747"/>
      <c r="W31" s="1731"/>
    </row>
    <row r="32" spans="1:42" ht="15" customHeight="1">
      <c r="A32" s="1730"/>
      <c r="B32" s="1555"/>
      <c r="C32" s="3062" t="str">
        <f>IF(ISBLANK(D12)," ",D12)</f>
        <v xml:space="preserve"> </v>
      </c>
      <c r="D32" s="3063"/>
      <c r="E32" s="1203" t="s">
        <v>2073</v>
      </c>
      <c r="F32" s="1203"/>
      <c r="G32" s="3062" t="str">
        <f>IF(ISBLANK(D12),"",MAX(L10,S10))</f>
        <v/>
      </c>
      <c r="H32" s="3063"/>
      <c r="I32" s="3754" t="s">
        <v>2074</v>
      </c>
      <c r="J32" s="2846"/>
      <c r="K32" s="2846"/>
      <c r="L32" s="2846"/>
      <c r="M32" s="2860"/>
      <c r="N32" s="3065" t="str">
        <f>IF(ISBLANK(D12),"",G14)</f>
        <v/>
      </c>
      <c r="O32" s="3066"/>
      <c r="P32" s="1203" t="s">
        <v>1089</v>
      </c>
      <c r="Q32" s="1589" t="s">
        <v>1240</v>
      </c>
      <c r="R32" s="3736" t="str">
        <f>IF(ISBLANK(D12),"",(C32*G32)*0.7*8.35/1000000/N32)</f>
        <v/>
      </c>
      <c r="S32" s="3737"/>
      <c r="T32" s="917" t="s">
        <v>2075</v>
      </c>
      <c r="U32" s="528"/>
      <c r="V32" s="1747"/>
      <c r="W32" s="1731"/>
    </row>
    <row r="33" spans="1:43" ht="3.95" customHeight="1">
      <c r="A33" s="1730"/>
      <c r="B33" s="1555"/>
      <c r="C33" s="1093"/>
      <c r="D33" s="1093"/>
      <c r="E33" s="1203"/>
      <c r="F33" s="1203"/>
      <c r="G33" s="527"/>
      <c r="H33" s="527"/>
      <c r="I33" s="1203"/>
      <c r="J33" s="528"/>
      <c r="K33" s="528"/>
      <c r="L33" s="528"/>
      <c r="M33" s="1554"/>
      <c r="N33" s="1554"/>
      <c r="O33" s="1203"/>
      <c r="P33" s="1203"/>
      <c r="Q33" s="1752"/>
      <c r="R33" s="1260"/>
      <c r="S33" s="1260"/>
      <c r="T33" s="1203"/>
      <c r="U33" s="1203"/>
      <c r="V33" s="1747"/>
      <c r="W33" s="1731"/>
      <c r="AQ33" s="528"/>
    </row>
    <row r="34" spans="1:43">
      <c r="A34" s="1730"/>
      <c r="B34" s="1751" t="s">
        <v>487</v>
      </c>
      <c r="C34" s="1203" t="s">
        <v>2076</v>
      </c>
      <c r="D34" s="653"/>
      <c r="E34" s="653"/>
      <c r="F34" s="1557"/>
      <c r="G34" s="1557"/>
      <c r="H34" s="745"/>
      <c r="I34" s="745"/>
      <c r="J34" s="1093"/>
      <c r="K34" s="1093"/>
      <c r="L34" s="917"/>
      <c r="M34" s="528"/>
      <c r="N34" s="528"/>
      <c r="O34" s="528"/>
      <c r="P34" s="1203"/>
      <c r="Q34" s="1752"/>
      <c r="R34" s="1260"/>
      <c r="S34" s="1260"/>
      <c r="T34" s="1203"/>
      <c r="U34" s="1203"/>
      <c r="V34" s="1747"/>
      <c r="W34" s="1731"/>
      <c r="AQ34" s="528"/>
    </row>
    <row r="35" spans="1:43" ht="15" customHeight="1">
      <c r="A35" s="1730"/>
      <c r="B35" s="1555"/>
      <c r="C35" s="3757" t="str">
        <f>IF(ISBLANK(D12),"",N28)</f>
        <v/>
      </c>
      <c r="D35" s="3757"/>
      <c r="E35" s="3755" t="s">
        <v>2077</v>
      </c>
      <c r="F35" s="3755"/>
      <c r="G35" s="3756" t="str">
        <f>IF(ISBLANK(D12),"",I21)</f>
        <v/>
      </c>
      <c r="H35" s="3756"/>
      <c r="I35" s="3756"/>
      <c r="J35" s="3705" t="s">
        <v>2078</v>
      </c>
      <c r="K35" s="3695"/>
      <c r="L35" s="3695"/>
      <c r="M35" s="3758"/>
      <c r="N35" s="3065" t="str">
        <f>IF(ISBLANK(D12)," ",(C35/G35))</f>
        <v xml:space="preserve"> </v>
      </c>
      <c r="O35" s="3066"/>
      <c r="P35" s="528" t="s">
        <v>1089</v>
      </c>
      <c r="Q35" s="1752"/>
      <c r="R35" s="1260"/>
      <c r="S35" s="1260"/>
      <c r="T35" s="1203"/>
      <c r="U35" s="1203"/>
      <c r="V35" s="1747"/>
      <c r="W35" s="1731"/>
      <c r="AQ35" s="528"/>
    </row>
    <row r="36" spans="1:43" ht="9.9499999999999993" customHeight="1">
      <c r="A36" s="1730"/>
      <c r="B36" s="1555"/>
      <c r="C36" s="1093"/>
      <c r="D36" s="1093"/>
      <c r="E36" s="1203"/>
      <c r="F36" s="1203"/>
      <c r="G36" s="527"/>
      <c r="H36" s="527"/>
      <c r="I36" s="1203"/>
      <c r="J36" s="528"/>
      <c r="K36" s="528"/>
      <c r="L36" s="528"/>
      <c r="M36" s="1554"/>
      <c r="N36" s="1554"/>
      <c r="O36" s="1203"/>
      <c r="P36" s="1203"/>
      <c r="Q36" s="1752"/>
      <c r="R36" s="1260"/>
      <c r="S36" s="1260"/>
      <c r="T36" s="1203"/>
      <c r="U36" s="1203"/>
      <c r="V36" s="1747"/>
      <c r="W36" s="1731"/>
      <c r="AQ36" s="528"/>
    </row>
    <row r="37" spans="1:43">
      <c r="A37" s="1730"/>
      <c r="B37" s="672" t="s">
        <v>2079</v>
      </c>
      <c r="C37" s="672"/>
      <c r="D37" s="528"/>
      <c r="E37" s="528"/>
      <c r="F37" s="2307" t="b">
        <v>0</v>
      </c>
      <c r="G37" s="528" t="s">
        <v>2065</v>
      </c>
      <c r="H37" s="528"/>
      <c r="I37" s="528"/>
      <c r="J37" s="528"/>
      <c r="K37" s="528"/>
      <c r="L37" s="528"/>
      <c r="O37" s="528"/>
      <c r="P37" s="528"/>
      <c r="Q37" s="528"/>
      <c r="R37" s="528"/>
      <c r="S37" s="1203"/>
      <c r="T37" s="1203"/>
      <c r="U37" s="1203"/>
      <c r="V37" s="1747"/>
      <c r="W37" s="1731"/>
    </row>
    <row r="38" spans="1:43">
      <c r="A38" s="1730"/>
      <c r="B38" s="1751" t="s">
        <v>475</v>
      </c>
      <c r="C38" s="1754" t="s">
        <v>2080</v>
      </c>
      <c r="D38" s="1753"/>
      <c r="E38" s="1753"/>
      <c r="F38" s="1753"/>
      <c r="G38" s="1753"/>
      <c r="H38" s="1753"/>
      <c r="I38" s="1753"/>
      <c r="J38" s="1753"/>
      <c r="K38" s="1753"/>
      <c r="L38" s="1753"/>
      <c r="M38" s="1753"/>
      <c r="N38" s="1753"/>
      <c r="O38" s="1753"/>
      <c r="P38" s="1753"/>
      <c r="Q38" s="1753"/>
      <c r="R38" s="1753"/>
      <c r="S38" s="1753"/>
      <c r="T38" s="1203"/>
      <c r="U38" s="1203"/>
      <c r="V38" s="1747"/>
      <c r="W38" s="1731"/>
      <c r="AA38" s="1714"/>
    </row>
    <row r="39" spans="1:43" ht="3.95" customHeight="1">
      <c r="A39" s="1730"/>
      <c r="B39" s="1190"/>
      <c r="C39" s="672"/>
      <c r="D39" s="528"/>
      <c r="E39" s="528"/>
      <c r="F39" s="528"/>
      <c r="G39" s="528"/>
      <c r="H39" s="528"/>
      <c r="I39" s="528"/>
      <c r="J39" s="528"/>
      <c r="K39" s="528"/>
      <c r="L39" s="528"/>
      <c r="M39" s="528"/>
      <c r="N39" s="528"/>
      <c r="O39" s="528"/>
      <c r="P39" s="528"/>
      <c r="Q39" s="528"/>
      <c r="R39" s="528"/>
      <c r="S39" s="528"/>
      <c r="T39" s="527"/>
      <c r="U39" s="527"/>
      <c r="V39" s="1747"/>
      <c r="W39" s="1731"/>
      <c r="AC39" s="1781"/>
      <c r="AD39" s="653"/>
      <c r="AE39" s="653"/>
      <c r="AF39" s="653"/>
      <c r="AG39" s="1557"/>
      <c r="AH39" s="1557"/>
      <c r="AI39" s="745"/>
      <c r="AJ39" s="745"/>
      <c r="AK39" s="1093"/>
      <c r="AL39" s="1093"/>
      <c r="AM39" s="917"/>
      <c r="AN39" s="528"/>
      <c r="AO39" s="528"/>
      <c r="AP39" s="528"/>
    </row>
    <row r="40" spans="1:43">
      <c r="A40" s="1730"/>
      <c r="B40" s="1555"/>
      <c r="C40" s="3062" t="str">
        <f>IF(ISBLANK(I12),"",MAX(L10,S10))</f>
        <v/>
      </c>
      <c r="D40" s="3063"/>
      <c r="E40" s="3006" t="s">
        <v>2069</v>
      </c>
      <c r="F40" s="3007"/>
      <c r="G40" s="2958" t="str">
        <f>IF(ISBLANK(I12)," ",I12)</f>
        <v xml:space="preserve"> </v>
      </c>
      <c r="H40" s="2959"/>
      <c r="I40" s="2486" t="s">
        <v>2070</v>
      </c>
      <c r="J40" s="2487"/>
      <c r="K40" s="2487"/>
      <c r="L40" s="2487"/>
      <c r="M40" s="3627"/>
      <c r="N40" s="3752" t="str">
        <f>IF(ISBLANK(I12)," ",((C40*G40)*8.35/1000000))</f>
        <v xml:space="preserve"> </v>
      </c>
      <c r="O40" s="3753"/>
      <c r="P40" s="1203" t="s">
        <v>2081</v>
      </c>
      <c r="Q40" s="1752"/>
      <c r="R40" s="1260"/>
      <c r="S40" s="1260"/>
      <c r="T40" s="1203"/>
      <c r="U40" s="1203"/>
      <c r="V40" s="1747"/>
      <c r="W40" s="1731"/>
      <c r="AC40" s="1552"/>
    </row>
    <row r="41" spans="1:43" ht="3.95" customHeight="1">
      <c r="A41" s="1730"/>
      <c r="B41" s="1555"/>
      <c r="C41" s="1093"/>
      <c r="D41" s="1093"/>
      <c r="E41" s="1203"/>
      <c r="F41" s="1203"/>
      <c r="G41" s="527"/>
      <c r="H41" s="527"/>
      <c r="I41" s="1203"/>
      <c r="J41" s="528"/>
      <c r="K41" s="528"/>
      <c r="L41" s="528"/>
      <c r="M41" s="1554"/>
      <c r="N41" s="1554"/>
      <c r="O41" s="1203"/>
      <c r="P41" s="1203"/>
      <c r="Q41" s="1752"/>
      <c r="R41" s="1260"/>
      <c r="S41" s="1260"/>
      <c r="T41" s="1203"/>
      <c r="U41" s="1203"/>
      <c r="V41" s="1747"/>
      <c r="W41" s="1731"/>
    </row>
    <row r="42" spans="1:43" ht="15.75">
      <c r="A42" s="1730"/>
      <c r="B42" s="1751" t="s">
        <v>481</v>
      </c>
      <c r="C42" s="1750" t="s">
        <v>2072</v>
      </c>
      <c r="D42" s="530"/>
      <c r="E42" s="527"/>
      <c r="F42" s="527"/>
      <c r="G42" s="533"/>
      <c r="H42" s="533"/>
      <c r="I42" s="1203"/>
      <c r="J42" s="520"/>
      <c r="K42" s="520"/>
      <c r="L42" s="520"/>
      <c r="M42" s="520"/>
      <c r="N42" s="520"/>
      <c r="O42" s="520"/>
      <c r="P42" s="520"/>
      <c r="Q42" s="520"/>
      <c r="R42" s="528"/>
      <c r="S42" s="528"/>
      <c r="T42" s="1203"/>
      <c r="U42" s="1203"/>
      <c r="V42" s="1747"/>
      <c r="W42" s="1731"/>
    </row>
    <row r="43" spans="1:43" ht="3.95" customHeight="1">
      <c r="A43" s="1730"/>
      <c r="B43" s="1555"/>
      <c r="C43" s="672"/>
      <c r="D43" s="533"/>
      <c r="E43" s="527"/>
      <c r="F43" s="533"/>
      <c r="G43" s="533"/>
      <c r="H43" s="527"/>
      <c r="I43" s="527"/>
      <c r="J43" s="528"/>
      <c r="K43" s="528"/>
      <c r="L43" s="533"/>
      <c r="M43" s="533"/>
      <c r="N43" s="527"/>
      <c r="O43" s="528"/>
      <c r="P43" s="528"/>
      <c r="Q43" s="528"/>
      <c r="R43" s="528"/>
      <c r="S43" s="528"/>
      <c r="T43" s="1203"/>
      <c r="U43" s="1203"/>
      <c r="V43" s="1747"/>
      <c r="W43" s="1731"/>
      <c r="AA43" s="1686" t="s">
        <v>2082</v>
      </c>
    </row>
    <row r="44" spans="1:43" ht="15" customHeight="1">
      <c r="A44" s="1730"/>
      <c r="B44" s="1555"/>
      <c r="C44" s="3062" t="str">
        <f>IF(ISBLANK(I12)," ",I12)</f>
        <v xml:space="preserve"> </v>
      </c>
      <c r="D44" s="3063"/>
      <c r="E44" s="1203" t="s">
        <v>2083</v>
      </c>
      <c r="F44" s="1203"/>
      <c r="G44" s="3062" t="str">
        <f>IF(ISBLANK(I12),"",MAX(L10,S10))</f>
        <v/>
      </c>
      <c r="H44" s="3063"/>
      <c r="I44" s="3754" t="s">
        <v>2074</v>
      </c>
      <c r="J44" s="2846"/>
      <c r="K44" s="2846"/>
      <c r="L44" s="2846"/>
      <c r="M44" s="2860"/>
      <c r="N44" s="3065" t="str">
        <f>IF(ISBLANK(I12),"",G14)</f>
        <v/>
      </c>
      <c r="O44" s="3066"/>
      <c r="P44" s="1203" t="s">
        <v>1089</v>
      </c>
      <c r="Q44" s="1589" t="s">
        <v>1240</v>
      </c>
      <c r="R44" s="3736" t="str">
        <f>IF(ISBLANK(I12),"",(C44*G44)*0.7*8.35/1000000/N32)</f>
        <v/>
      </c>
      <c r="S44" s="3737"/>
      <c r="T44" s="917" t="s">
        <v>2075</v>
      </c>
      <c r="U44" s="528"/>
      <c r="V44" s="1747"/>
      <c r="W44" s="1731"/>
    </row>
    <row r="45" spans="1:43" ht="3.95" customHeight="1">
      <c r="A45" s="1730"/>
      <c r="B45" s="1555"/>
      <c r="C45" s="1093"/>
      <c r="D45" s="1093"/>
      <c r="E45" s="1203"/>
      <c r="F45" s="1203"/>
      <c r="G45" s="527"/>
      <c r="H45" s="527"/>
      <c r="I45" s="1203"/>
      <c r="J45" s="528"/>
      <c r="K45" s="528"/>
      <c r="L45" s="528"/>
      <c r="M45" s="1554"/>
      <c r="N45" s="1554"/>
      <c r="O45" s="1203"/>
      <c r="P45" s="1203"/>
      <c r="Q45" s="1752"/>
      <c r="R45" s="1260"/>
      <c r="S45" s="1260"/>
      <c r="T45" s="1203"/>
      <c r="U45" s="1203"/>
      <c r="V45" s="1747"/>
      <c r="W45" s="1731"/>
      <c r="AQ45" s="528"/>
    </row>
    <row r="46" spans="1:43">
      <c r="A46" s="1730"/>
      <c r="B46" s="1751" t="s">
        <v>487</v>
      </c>
      <c r="C46" s="1203" t="s">
        <v>2084</v>
      </c>
      <c r="D46" s="653"/>
      <c r="E46" s="653"/>
      <c r="F46" s="1557"/>
      <c r="G46" s="1557"/>
      <c r="H46" s="745"/>
      <c r="I46" s="745"/>
      <c r="J46" s="1093"/>
      <c r="K46" s="1093"/>
      <c r="L46" s="917"/>
      <c r="M46" s="528"/>
      <c r="N46" s="528"/>
      <c r="O46" s="528"/>
      <c r="P46" s="1203"/>
      <c r="Q46" s="1752"/>
      <c r="R46" s="1260"/>
      <c r="S46" s="1260"/>
      <c r="T46" s="1203"/>
      <c r="U46" s="1203"/>
      <c r="V46" s="1747"/>
      <c r="W46" s="1731"/>
      <c r="AQ46" s="528"/>
    </row>
    <row r="47" spans="1:43">
      <c r="A47" s="1730"/>
      <c r="B47" s="1555"/>
      <c r="C47" s="3757" t="str">
        <f>IF(ISBLANK(I12)," ",N40)</f>
        <v xml:space="preserve"> </v>
      </c>
      <c r="D47" s="3757"/>
      <c r="E47" s="3755" t="s">
        <v>2085</v>
      </c>
      <c r="F47" s="3755"/>
      <c r="G47" s="3756" t="str">
        <f>IF(ISBLANK(I12),"",Q21)</f>
        <v/>
      </c>
      <c r="H47" s="3756"/>
      <c r="I47" s="3756"/>
      <c r="J47" s="3705" t="s">
        <v>2086</v>
      </c>
      <c r="K47" s="3695"/>
      <c r="L47" s="3695"/>
      <c r="M47" s="3758"/>
      <c r="N47" s="3065" t="str">
        <f>IF(ISBLANK(I12)," ",(C47/G47))</f>
        <v xml:space="preserve"> </v>
      </c>
      <c r="O47" s="3066"/>
      <c r="P47" s="528" t="s">
        <v>1089</v>
      </c>
      <c r="Q47" s="1752"/>
      <c r="R47" s="1260"/>
      <c r="S47" s="1260"/>
      <c r="T47" s="1203"/>
      <c r="U47" s="1203"/>
      <c r="V47" s="1747"/>
      <c r="W47" s="1731"/>
      <c r="AQ47" s="528"/>
    </row>
    <row r="48" spans="1:43" ht="9.9499999999999993" customHeight="1">
      <c r="A48" s="1730"/>
      <c r="B48" s="1555"/>
      <c r="C48" s="1093"/>
      <c r="D48" s="1093"/>
      <c r="E48" s="1203"/>
      <c r="F48" s="1203"/>
      <c r="G48" s="527"/>
      <c r="H48" s="527"/>
      <c r="I48" s="1203"/>
      <c r="J48" s="528"/>
      <c r="K48" s="528"/>
      <c r="L48" s="528"/>
      <c r="M48" s="1554"/>
      <c r="N48" s="1554"/>
      <c r="O48" s="1203"/>
      <c r="P48" s="1203"/>
      <c r="Q48" s="1752"/>
      <c r="R48" s="1260"/>
      <c r="S48" s="1260"/>
      <c r="T48" s="1203"/>
      <c r="U48" s="1203"/>
      <c r="V48" s="1747"/>
      <c r="W48" s="1731"/>
      <c r="AQ48" s="528"/>
    </row>
    <row r="49" spans="1:43">
      <c r="A49" s="1730"/>
      <c r="B49" s="672" t="s">
        <v>2087</v>
      </c>
      <c r="C49" s="672"/>
      <c r="D49" s="528"/>
      <c r="E49" s="528"/>
      <c r="F49" s="2307" t="b">
        <v>0</v>
      </c>
      <c r="G49" s="528" t="s">
        <v>2065</v>
      </c>
      <c r="H49" s="528"/>
      <c r="I49" s="528"/>
      <c r="J49" s="528"/>
      <c r="K49" s="528"/>
      <c r="N49" s="528"/>
      <c r="O49" s="528"/>
      <c r="P49" s="528"/>
      <c r="Q49" s="528"/>
      <c r="R49" s="528"/>
      <c r="S49" s="1203"/>
      <c r="T49" s="1203"/>
      <c r="U49" s="1203"/>
      <c r="V49" s="1747"/>
      <c r="W49" s="1731"/>
    </row>
    <row r="50" spans="1:43">
      <c r="A50" s="1730"/>
      <c r="B50" s="1751" t="s">
        <v>475</v>
      </c>
      <c r="C50" s="1754" t="s">
        <v>2088</v>
      </c>
      <c r="D50" s="1753"/>
      <c r="E50" s="1753"/>
      <c r="F50" s="1753"/>
      <c r="G50" s="1753"/>
      <c r="H50" s="1753"/>
      <c r="I50" s="1753"/>
      <c r="J50" s="1753"/>
      <c r="K50" s="1753"/>
      <c r="L50" s="1753"/>
      <c r="M50" s="1753"/>
      <c r="N50" s="1753"/>
      <c r="O50" s="1753"/>
      <c r="P50" s="1753"/>
      <c r="Q50" s="1753"/>
      <c r="R50" s="1753"/>
      <c r="S50" s="1753"/>
      <c r="T50" s="1203"/>
      <c r="U50" s="1203"/>
      <c r="V50" s="1747"/>
      <c r="W50" s="1731"/>
      <c r="AA50" s="1714"/>
    </row>
    <row r="51" spans="1:43" ht="3.95" customHeight="1">
      <c r="A51" s="1730"/>
      <c r="B51" s="1190"/>
      <c r="C51" s="672"/>
      <c r="D51" s="528"/>
      <c r="E51" s="528"/>
      <c r="F51" s="528"/>
      <c r="G51" s="528"/>
      <c r="H51" s="528"/>
      <c r="I51" s="528"/>
      <c r="J51" s="528"/>
      <c r="K51" s="528"/>
      <c r="L51" s="528"/>
      <c r="M51" s="528"/>
      <c r="N51" s="528"/>
      <c r="O51" s="528"/>
      <c r="P51" s="528"/>
      <c r="Q51" s="528"/>
      <c r="R51" s="528"/>
      <c r="S51" s="528"/>
      <c r="T51" s="527"/>
      <c r="U51" s="527"/>
      <c r="V51" s="1747"/>
      <c r="W51" s="1731"/>
      <c r="AC51" s="1781"/>
      <c r="AD51" s="653"/>
      <c r="AE51" s="653"/>
      <c r="AF51" s="653"/>
      <c r="AG51" s="1557"/>
      <c r="AH51" s="1557"/>
      <c r="AI51" s="745"/>
      <c r="AJ51" s="745"/>
      <c r="AK51" s="1093"/>
      <c r="AL51" s="1093"/>
      <c r="AM51" s="917"/>
      <c r="AN51" s="528"/>
      <c r="AO51" s="528"/>
      <c r="AP51" s="528"/>
    </row>
    <row r="52" spans="1:43">
      <c r="A52" s="1730"/>
      <c r="B52" s="1555"/>
      <c r="C52" s="3062" t="str">
        <f>IF(ISBLANK(O12),"",MAX(L10,S10))</f>
        <v/>
      </c>
      <c r="D52" s="3063"/>
      <c r="E52" s="3006" t="s">
        <v>2069</v>
      </c>
      <c r="F52" s="3007"/>
      <c r="G52" s="2958" t="str">
        <f>IF(ISBLANK(O12)," ",O12)</f>
        <v xml:space="preserve"> </v>
      </c>
      <c r="H52" s="2959"/>
      <c r="I52" s="2486" t="s">
        <v>2070</v>
      </c>
      <c r="J52" s="2487"/>
      <c r="K52" s="2487"/>
      <c r="L52" s="2487"/>
      <c r="M52" s="3627"/>
      <c r="N52" s="3752" t="str">
        <f>IF(ISBLANK(O12)," ",((C52*G52)*8.35/1000000))</f>
        <v xml:space="preserve"> </v>
      </c>
      <c r="O52" s="3753"/>
      <c r="P52" s="1203" t="s">
        <v>2089</v>
      </c>
      <c r="Q52" s="1752"/>
      <c r="R52" s="1260"/>
      <c r="S52" s="1260"/>
      <c r="T52" s="1203"/>
      <c r="U52" s="1203"/>
      <c r="V52" s="1747"/>
      <c r="W52" s="1731"/>
      <c r="AC52" s="1552"/>
    </row>
    <row r="53" spans="1:43" ht="3.95" customHeight="1">
      <c r="A53" s="1730"/>
      <c r="B53" s="1555"/>
      <c r="C53" s="1093"/>
      <c r="D53" s="1093"/>
      <c r="E53" s="1203"/>
      <c r="F53" s="1203"/>
      <c r="G53" s="527"/>
      <c r="H53" s="527"/>
      <c r="I53" s="1203"/>
      <c r="J53" s="528"/>
      <c r="K53" s="528"/>
      <c r="L53" s="528"/>
      <c r="M53" s="1554"/>
      <c r="N53" s="1554"/>
      <c r="O53" s="1203"/>
      <c r="P53" s="1203"/>
      <c r="Q53" s="1752"/>
      <c r="R53" s="1260"/>
      <c r="S53" s="1260"/>
      <c r="T53" s="1203"/>
      <c r="U53" s="1203"/>
      <c r="V53" s="1747"/>
      <c r="W53" s="1731"/>
    </row>
    <row r="54" spans="1:43" ht="15.75">
      <c r="A54" s="1730"/>
      <c r="B54" s="1751" t="s">
        <v>481</v>
      </c>
      <c r="C54" s="1750" t="s">
        <v>2072</v>
      </c>
      <c r="D54" s="530"/>
      <c r="E54" s="527"/>
      <c r="F54" s="527"/>
      <c r="G54" s="533"/>
      <c r="H54" s="533"/>
      <c r="I54" s="1203"/>
      <c r="J54" s="520"/>
      <c r="K54" s="520"/>
      <c r="L54" s="520"/>
      <c r="M54" s="520"/>
      <c r="N54" s="520"/>
      <c r="O54" s="520"/>
      <c r="P54" s="520"/>
      <c r="Q54" s="520"/>
      <c r="R54" s="528"/>
      <c r="S54" s="528"/>
      <c r="T54" s="1203"/>
      <c r="U54" s="1203"/>
      <c r="V54" s="1747"/>
      <c r="W54" s="1731"/>
    </row>
    <row r="55" spans="1:43" ht="3.95" customHeight="1">
      <c r="A55" s="1730"/>
      <c r="B55" s="1555"/>
      <c r="C55" s="672"/>
      <c r="D55" s="533"/>
      <c r="E55" s="527"/>
      <c r="F55" s="533"/>
      <c r="G55" s="533"/>
      <c r="H55" s="527"/>
      <c r="I55" s="527"/>
      <c r="J55" s="528"/>
      <c r="K55" s="528"/>
      <c r="L55" s="533"/>
      <c r="M55" s="533"/>
      <c r="N55" s="527"/>
      <c r="O55" s="528"/>
      <c r="P55" s="528"/>
      <c r="Q55" s="528"/>
      <c r="R55" s="528"/>
      <c r="S55" s="528"/>
      <c r="T55" s="1203"/>
      <c r="U55" s="1203"/>
      <c r="V55" s="1747"/>
      <c r="W55" s="1731"/>
    </row>
    <row r="56" spans="1:43" ht="15" customHeight="1">
      <c r="A56" s="1730"/>
      <c r="B56" s="1555"/>
      <c r="C56" s="3062" t="str">
        <f>IF(ISBLANK(O12)," ",O12)</f>
        <v xml:space="preserve"> </v>
      </c>
      <c r="D56" s="3063"/>
      <c r="E56" s="1203" t="s">
        <v>2073</v>
      </c>
      <c r="F56" s="1203"/>
      <c r="G56" s="3062" t="str">
        <f>IF(ISBLANK(O12),"",MAX(L10,S10))</f>
        <v/>
      </c>
      <c r="H56" s="3063"/>
      <c r="I56" s="3754" t="s">
        <v>2074</v>
      </c>
      <c r="J56" s="2846"/>
      <c r="K56" s="2846"/>
      <c r="L56" s="2846"/>
      <c r="M56" s="2860"/>
      <c r="N56" s="3065" t="str">
        <f>IF(ISBLANK(O12),"",G14)</f>
        <v/>
      </c>
      <c r="O56" s="3066"/>
      <c r="P56" s="1203" t="s">
        <v>1089</v>
      </c>
      <c r="Q56" s="1589" t="s">
        <v>1240</v>
      </c>
      <c r="R56" s="3736" t="str">
        <f>IF(ISBLANK(O12),"",(C56*G56)*0.7*8.35/1000000/N32)</f>
        <v/>
      </c>
      <c r="S56" s="3737"/>
      <c r="T56" s="917" t="s">
        <v>2075</v>
      </c>
      <c r="U56" s="528"/>
      <c r="V56" s="1747"/>
      <c r="W56" s="1731"/>
    </row>
    <row r="57" spans="1:43" ht="3.95" customHeight="1">
      <c r="A57" s="1730"/>
      <c r="B57" s="1555"/>
      <c r="C57" s="1093"/>
      <c r="D57" s="1093"/>
      <c r="E57" s="1203"/>
      <c r="F57" s="1203"/>
      <c r="G57" s="527"/>
      <c r="H57" s="527"/>
      <c r="I57" s="1203"/>
      <c r="J57" s="528"/>
      <c r="K57" s="528"/>
      <c r="L57" s="528"/>
      <c r="M57" s="1554"/>
      <c r="N57" s="1554"/>
      <c r="O57" s="1203"/>
      <c r="P57" s="1203"/>
      <c r="Q57" s="1752"/>
      <c r="R57" s="1260"/>
      <c r="S57" s="1260"/>
      <c r="T57" s="1203"/>
      <c r="U57" s="1203"/>
      <c r="V57" s="1747"/>
      <c r="W57" s="1731"/>
      <c r="AQ57" s="528"/>
    </row>
    <row r="58" spans="1:43">
      <c r="A58" s="1730"/>
      <c r="B58" s="1751" t="s">
        <v>487</v>
      </c>
      <c r="C58" s="1203" t="s">
        <v>2090</v>
      </c>
      <c r="D58" s="653"/>
      <c r="E58" s="653"/>
      <c r="F58" s="1557"/>
      <c r="G58" s="1557"/>
      <c r="H58" s="745"/>
      <c r="I58" s="745"/>
      <c r="J58" s="1093"/>
      <c r="K58" s="1093"/>
      <c r="L58" s="917"/>
      <c r="M58" s="528"/>
      <c r="N58" s="528"/>
      <c r="O58" s="528"/>
      <c r="P58" s="1203"/>
      <c r="Q58" s="1752"/>
      <c r="R58" s="1260"/>
      <c r="S58" s="1260"/>
      <c r="T58" s="1203"/>
      <c r="U58" s="1203"/>
      <c r="V58" s="1747"/>
      <c r="W58" s="1731"/>
      <c r="AQ58" s="528"/>
    </row>
    <row r="59" spans="1:43">
      <c r="A59" s="1730"/>
      <c r="B59" s="1555"/>
      <c r="C59" s="3757" t="str">
        <f>IF(ISBLANK(O12)," ",N52)</f>
        <v xml:space="preserve"> </v>
      </c>
      <c r="D59" s="3757"/>
      <c r="E59" s="3755" t="s">
        <v>2091</v>
      </c>
      <c r="F59" s="3755"/>
      <c r="G59" s="3756" t="str">
        <f>IF(ISBLANK(O12),"",I23)</f>
        <v/>
      </c>
      <c r="H59" s="3756"/>
      <c r="I59" s="3756"/>
      <c r="J59" s="3705" t="s">
        <v>2092</v>
      </c>
      <c r="K59" s="3695"/>
      <c r="L59" s="3695"/>
      <c r="M59" s="3758"/>
      <c r="N59" s="3065" t="str">
        <f>IF(ISBLANK(O12)," ",(C59/G59))</f>
        <v xml:space="preserve"> </v>
      </c>
      <c r="O59" s="3066"/>
      <c r="P59" s="528" t="s">
        <v>1089</v>
      </c>
      <c r="Q59" s="1752"/>
      <c r="R59" s="1260"/>
      <c r="S59" s="1260"/>
      <c r="T59" s="1203"/>
      <c r="U59" s="1203"/>
      <c r="V59" s="1747"/>
      <c r="W59" s="1731"/>
      <c r="AQ59" s="528"/>
    </row>
    <row r="60" spans="1:43" ht="9.9499999999999993" customHeight="1">
      <c r="A60" s="1730"/>
      <c r="B60" s="1555"/>
      <c r="C60" s="1783"/>
      <c r="D60" s="1783"/>
      <c r="E60" s="1720"/>
      <c r="F60" s="1720"/>
      <c r="G60" s="1782"/>
      <c r="H60" s="1782"/>
      <c r="I60" s="1782"/>
      <c r="J60" s="1719"/>
      <c r="K60" s="1719"/>
      <c r="L60" s="1719"/>
      <c r="M60" s="1093"/>
      <c r="N60" s="1093"/>
      <c r="O60" s="528"/>
      <c r="P60" s="1203"/>
      <c r="Q60" s="1752"/>
      <c r="R60" s="1260"/>
      <c r="S60" s="1260"/>
      <c r="T60" s="1203"/>
      <c r="U60" s="1203"/>
      <c r="V60" s="1747"/>
      <c r="W60" s="1731"/>
      <c r="AQ60" s="528"/>
    </row>
    <row r="61" spans="1:43">
      <c r="A61" s="1730"/>
      <c r="B61" s="672" t="s">
        <v>2093</v>
      </c>
      <c r="C61" s="672"/>
      <c r="D61" s="528"/>
      <c r="E61" s="528"/>
      <c r="F61" s="2307" t="b">
        <v>0</v>
      </c>
      <c r="G61" s="528" t="s">
        <v>2065</v>
      </c>
      <c r="H61" s="528"/>
      <c r="I61" s="528"/>
      <c r="J61" s="528"/>
      <c r="K61" s="528"/>
      <c r="L61" s="528"/>
      <c r="M61" s="528"/>
      <c r="N61" s="528"/>
      <c r="O61" s="528"/>
      <c r="P61" s="528"/>
      <c r="Q61" s="528"/>
      <c r="R61" s="528"/>
      <c r="S61" s="1203"/>
      <c r="T61" s="1203"/>
      <c r="U61" s="1203"/>
      <c r="V61" s="1747"/>
      <c r="W61" s="1731"/>
    </row>
    <row r="62" spans="1:43">
      <c r="A62" s="1730"/>
      <c r="B62" s="1751" t="s">
        <v>475</v>
      </c>
      <c r="C62" s="1754" t="s">
        <v>2094</v>
      </c>
      <c r="D62" s="1753"/>
      <c r="E62" s="1753"/>
      <c r="F62" s="1753"/>
      <c r="G62" s="1753"/>
      <c r="H62" s="1753"/>
      <c r="I62" s="1753"/>
      <c r="J62" s="1753"/>
      <c r="K62" s="1753"/>
      <c r="L62" s="1753"/>
      <c r="M62" s="1753"/>
      <c r="N62" s="1753"/>
      <c r="O62" s="1753"/>
      <c r="P62" s="1753"/>
      <c r="Q62" s="1753"/>
      <c r="R62" s="1753"/>
      <c r="S62" s="1753"/>
      <c r="T62" s="1203"/>
      <c r="U62" s="1203"/>
      <c r="V62" s="1747"/>
      <c r="W62" s="1731"/>
      <c r="AA62" s="1714"/>
    </row>
    <row r="63" spans="1:43" ht="3.95" customHeight="1">
      <c r="A63" s="1730"/>
      <c r="B63" s="1190"/>
      <c r="C63" s="672"/>
      <c r="D63" s="528"/>
      <c r="E63" s="528"/>
      <c r="F63" s="528"/>
      <c r="G63" s="528"/>
      <c r="H63" s="528"/>
      <c r="I63" s="528"/>
      <c r="J63" s="528"/>
      <c r="K63" s="528"/>
      <c r="L63" s="528"/>
      <c r="M63" s="528"/>
      <c r="N63" s="528"/>
      <c r="O63" s="528"/>
      <c r="P63" s="528"/>
      <c r="Q63" s="528"/>
      <c r="R63" s="528"/>
      <c r="S63" s="528"/>
      <c r="T63" s="527"/>
      <c r="U63" s="527"/>
      <c r="V63" s="1747"/>
      <c r="W63" s="1731"/>
      <c r="AC63" s="1781"/>
      <c r="AD63" s="653"/>
      <c r="AE63" s="653"/>
      <c r="AF63" s="653"/>
      <c r="AG63" s="1557"/>
      <c r="AH63" s="1557"/>
      <c r="AI63" s="745"/>
      <c r="AJ63" s="745"/>
      <c r="AK63" s="1093"/>
      <c r="AL63" s="1093"/>
      <c r="AM63" s="917"/>
      <c r="AN63" s="528"/>
      <c r="AO63" s="528"/>
      <c r="AP63" s="528"/>
    </row>
    <row r="64" spans="1:43">
      <c r="A64" s="1730"/>
      <c r="B64" s="1555"/>
      <c r="C64" s="3062" t="str">
        <f>IF(ISBLANK(T12),"",MAX(L10,S10))</f>
        <v/>
      </c>
      <c r="D64" s="3063"/>
      <c r="E64" s="3006" t="s">
        <v>2069</v>
      </c>
      <c r="F64" s="3007"/>
      <c r="G64" s="2958" t="str">
        <f>IF(ISBLANK(T12)," ",T12)</f>
        <v xml:space="preserve"> </v>
      </c>
      <c r="H64" s="2959"/>
      <c r="I64" s="2486" t="s">
        <v>2070</v>
      </c>
      <c r="J64" s="2487"/>
      <c r="K64" s="2487"/>
      <c r="L64" s="2487"/>
      <c r="M64" s="3627"/>
      <c r="N64" s="3752" t="str">
        <f>IF(ISBLANK(T12)," ",((C64*G64)*8.35/1000000))</f>
        <v xml:space="preserve"> </v>
      </c>
      <c r="O64" s="3753"/>
      <c r="P64" s="1203" t="s">
        <v>2095</v>
      </c>
      <c r="Q64" s="1752"/>
      <c r="R64" s="1260"/>
      <c r="S64" s="1260"/>
      <c r="T64" s="1203"/>
      <c r="U64" s="1203"/>
      <c r="V64" s="1747"/>
      <c r="W64" s="1731"/>
      <c r="AC64" s="1552"/>
    </row>
    <row r="65" spans="1:43" ht="3.95" customHeight="1">
      <c r="A65" s="1730"/>
      <c r="B65" s="1555"/>
      <c r="C65" s="1093"/>
      <c r="D65" s="1093"/>
      <c r="E65" s="1203"/>
      <c r="F65" s="1203"/>
      <c r="G65" s="527"/>
      <c r="H65" s="527"/>
      <c r="I65" s="1203"/>
      <c r="J65" s="528"/>
      <c r="K65" s="528"/>
      <c r="L65" s="528"/>
      <c r="M65" s="1554"/>
      <c r="N65" s="1554"/>
      <c r="O65" s="1203"/>
      <c r="P65" s="1203"/>
      <c r="Q65" s="1752"/>
      <c r="R65" s="1260"/>
      <c r="S65" s="1260"/>
      <c r="T65" s="1203"/>
      <c r="U65" s="1203"/>
      <c r="V65" s="1747"/>
      <c r="W65" s="1731"/>
    </row>
    <row r="66" spans="1:43" ht="15.75">
      <c r="A66" s="1730"/>
      <c r="B66" s="1751" t="s">
        <v>481</v>
      </c>
      <c r="C66" s="1750" t="s">
        <v>2072</v>
      </c>
      <c r="D66" s="530"/>
      <c r="E66" s="527"/>
      <c r="F66" s="527"/>
      <c r="G66" s="533"/>
      <c r="H66" s="533"/>
      <c r="I66" s="1203"/>
      <c r="J66" s="520"/>
      <c r="K66" s="520"/>
      <c r="L66" s="520"/>
      <c r="M66" s="520"/>
      <c r="N66" s="520"/>
      <c r="O66" s="520"/>
      <c r="P66" s="520"/>
      <c r="Q66" s="520"/>
      <c r="R66" s="528"/>
      <c r="S66" s="528"/>
      <c r="T66" s="1203"/>
      <c r="U66" s="1203"/>
      <c r="V66" s="1747"/>
      <c r="W66" s="1731"/>
    </row>
    <row r="67" spans="1:43" ht="3.95" customHeight="1">
      <c r="A67" s="1730"/>
      <c r="B67" s="1555"/>
      <c r="C67" s="672"/>
      <c r="D67" s="533"/>
      <c r="E67" s="527"/>
      <c r="F67" s="533"/>
      <c r="G67" s="533"/>
      <c r="H67" s="527"/>
      <c r="I67" s="527"/>
      <c r="J67" s="528"/>
      <c r="K67" s="528"/>
      <c r="L67" s="533"/>
      <c r="M67" s="533"/>
      <c r="N67" s="527"/>
      <c r="O67" s="528"/>
      <c r="P67" s="528"/>
      <c r="Q67" s="528"/>
      <c r="R67" s="528"/>
      <c r="S67" s="528"/>
      <c r="T67" s="1203"/>
      <c r="U67" s="1203"/>
      <c r="V67" s="1747"/>
      <c r="W67" s="1731"/>
    </row>
    <row r="68" spans="1:43" ht="16.5">
      <c r="A68" s="1730"/>
      <c r="B68" s="1555"/>
      <c r="C68" s="3062" t="str">
        <f>IF(ISBLANK(T12)," ",T12)</f>
        <v xml:space="preserve"> </v>
      </c>
      <c r="D68" s="3063"/>
      <c r="E68" s="1203" t="s">
        <v>2073</v>
      </c>
      <c r="F68" s="1203"/>
      <c r="G68" s="3062" t="str">
        <f>IF(ISBLANK(T12),"",MAX(L10,S10))</f>
        <v/>
      </c>
      <c r="H68" s="3063"/>
      <c r="I68" s="3754" t="s">
        <v>2074</v>
      </c>
      <c r="J68" s="2846"/>
      <c r="K68" s="2846"/>
      <c r="L68" s="2846"/>
      <c r="M68" s="2860"/>
      <c r="N68" s="3065" t="str">
        <f>IF(ISBLANK(T12),"",G14)</f>
        <v/>
      </c>
      <c r="O68" s="3066"/>
      <c r="P68" s="1203" t="s">
        <v>1089</v>
      </c>
      <c r="Q68" s="1589" t="s">
        <v>1240</v>
      </c>
      <c r="R68" s="3736" t="str">
        <f>IF(ISBLANK(T12),"",(C68*G68)*0.7*8.35/1000000/N32)</f>
        <v/>
      </c>
      <c r="S68" s="3737"/>
      <c r="T68" s="917" t="s">
        <v>2075</v>
      </c>
      <c r="U68" s="528"/>
      <c r="V68" s="1747"/>
      <c r="W68" s="1731"/>
    </row>
    <row r="69" spans="1:43" ht="3.95" customHeight="1">
      <c r="A69" s="1730"/>
      <c r="B69" s="1555"/>
      <c r="C69" s="1093"/>
      <c r="D69" s="1093"/>
      <c r="E69" s="1203"/>
      <c r="F69" s="1203"/>
      <c r="G69" s="527"/>
      <c r="H69" s="527"/>
      <c r="I69" s="1203"/>
      <c r="J69" s="528"/>
      <c r="K69" s="528"/>
      <c r="L69" s="528"/>
      <c r="M69" s="1554"/>
      <c r="N69" s="1554"/>
      <c r="O69" s="1203"/>
      <c r="P69" s="1203"/>
      <c r="Q69" s="1752"/>
      <c r="R69" s="1260"/>
      <c r="S69" s="1260"/>
      <c r="T69" s="1203"/>
      <c r="U69" s="1203"/>
      <c r="V69" s="1747"/>
      <c r="W69" s="1731"/>
      <c r="AQ69" s="528"/>
    </row>
    <row r="70" spans="1:43">
      <c r="A70" s="1730"/>
      <c r="B70" s="1751" t="s">
        <v>487</v>
      </c>
      <c r="C70" s="1203" t="s">
        <v>2096</v>
      </c>
      <c r="D70" s="653"/>
      <c r="E70" s="653"/>
      <c r="F70" s="1557"/>
      <c r="G70" s="1557"/>
      <c r="H70" s="745"/>
      <c r="I70" s="745"/>
      <c r="J70" s="1093"/>
      <c r="K70" s="1093"/>
      <c r="L70" s="917"/>
      <c r="M70" s="528"/>
      <c r="N70" s="528"/>
      <c r="O70" s="528"/>
      <c r="P70" s="1203"/>
      <c r="Q70" s="1752"/>
      <c r="R70" s="1260"/>
      <c r="S70" s="1260"/>
      <c r="T70" s="1203"/>
      <c r="U70" s="1203"/>
      <c r="V70" s="1747"/>
      <c r="W70" s="1731"/>
      <c r="AQ70" s="528"/>
    </row>
    <row r="71" spans="1:43">
      <c r="A71" s="1730"/>
      <c r="B71" s="1555"/>
      <c r="C71" s="3757" t="str">
        <f>IF(ISBLANK(T12)," ",N64)</f>
        <v xml:space="preserve"> </v>
      </c>
      <c r="D71" s="3757"/>
      <c r="E71" s="3755" t="s">
        <v>2097</v>
      </c>
      <c r="F71" s="3755"/>
      <c r="G71" s="3756" t="str">
        <f>IF(ISBLANK(T12),"",Q23)</f>
        <v/>
      </c>
      <c r="H71" s="3756"/>
      <c r="I71" s="3756"/>
      <c r="J71" s="3775" t="s">
        <v>2098</v>
      </c>
      <c r="K71" s="3776"/>
      <c r="L71" s="3776"/>
      <c r="M71" s="3777"/>
      <c r="N71" s="3065" t="str">
        <f>IF(ISBLANK(T12)," ",(C71/G71))</f>
        <v xml:space="preserve"> </v>
      </c>
      <c r="O71" s="3066"/>
      <c r="P71" s="528" t="s">
        <v>1089</v>
      </c>
      <c r="Q71" s="1203"/>
      <c r="R71" s="1260"/>
      <c r="U71" s="1203"/>
      <c r="V71" s="1747"/>
      <c r="W71" s="1731"/>
      <c r="AQ71" s="528"/>
    </row>
    <row r="72" spans="1:43" s="1714" customFormat="1" ht="9.9499999999999993" customHeight="1">
      <c r="A72" s="1778"/>
      <c r="B72" s="1555"/>
      <c r="C72" s="530"/>
      <c r="D72" s="530"/>
      <c r="E72" s="529"/>
      <c r="F72" s="529"/>
      <c r="G72" s="533"/>
      <c r="H72" s="533"/>
      <c r="I72" s="529"/>
      <c r="J72" s="672"/>
      <c r="K72" s="672"/>
      <c r="L72" s="672"/>
      <c r="M72" s="1777"/>
      <c r="N72" s="1777"/>
      <c r="O72" s="529"/>
      <c r="P72" s="529"/>
      <c r="Q72" s="1780"/>
      <c r="R72" s="549"/>
      <c r="U72" s="529"/>
      <c r="V72" s="1779"/>
      <c r="W72" s="1776"/>
      <c r="AQ72" s="672"/>
    </row>
    <row r="73" spans="1:43" s="1714" customFormat="1" ht="15" customHeight="1">
      <c r="A73" s="1778"/>
      <c r="B73" s="1602" t="s">
        <v>2099</v>
      </c>
      <c r="D73" s="1602"/>
      <c r="E73" s="1602"/>
      <c r="F73" s="1602"/>
      <c r="G73" s="1602"/>
      <c r="H73" s="1602"/>
      <c r="I73" s="1602"/>
      <c r="J73" s="1602"/>
      <c r="K73" s="1602"/>
      <c r="L73" s="1602"/>
      <c r="M73" s="529"/>
      <c r="N73" s="1777"/>
      <c r="S73" s="3773">
        <f>IF((E10)&gt;1,(MAX(N35,N47,N59,N71))," ")</f>
        <v>0</v>
      </c>
      <c r="T73" s="3774"/>
      <c r="U73" s="528" t="s">
        <v>1089</v>
      </c>
      <c r="W73" s="1776"/>
      <c r="AQ73" s="672"/>
    </row>
    <row r="74" spans="1:43" s="1714" customFormat="1" ht="9" customHeight="1" thickBot="1">
      <c r="A74" s="1775"/>
      <c r="B74" s="1774"/>
      <c r="C74" s="545"/>
      <c r="D74" s="545"/>
      <c r="E74" s="546"/>
      <c r="F74" s="546"/>
      <c r="G74" s="1771"/>
      <c r="H74" s="546"/>
      <c r="I74" s="546"/>
      <c r="J74" s="1773"/>
      <c r="K74" s="1773"/>
      <c r="L74" s="1773"/>
      <c r="M74" s="1772"/>
      <c r="N74" s="1772"/>
      <c r="O74" s="1771"/>
      <c r="P74" s="1771"/>
      <c r="Q74" s="1770"/>
      <c r="R74" s="1769"/>
      <c r="S74" s="1769"/>
      <c r="T74" s="546"/>
      <c r="U74" s="546"/>
      <c r="V74" s="1768"/>
      <c r="W74" s="1767"/>
      <c r="AQ74" s="672"/>
    </row>
    <row r="75" spans="1:43" s="1714" customFormat="1" ht="20.100000000000001" customHeight="1">
      <c r="A75" s="1766"/>
      <c r="B75" s="1765"/>
      <c r="C75" s="1764"/>
      <c r="D75" s="1764"/>
      <c r="E75" s="662"/>
      <c r="F75" s="662"/>
      <c r="G75" s="1763"/>
      <c r="H75" s="1763"/>
      <c r="I75" s="662"/>
      <c r="J75" s="676"/>
      <c r="K75" s="676"/>
      <c r="L75" s="676"/>
      <c r="M75" s="1762"/>
      <c r="N75" s="1762"/>
      <c r="O75" s="662"/>
      <c r="P75" s="662"/>
      <c r="Q75" s="1761"/>
      <c r="R75" s="1760"/>
      <c r="S75" s="1760"/>
      <c r="T75" s="662"/>
      <c r="U75" s="662"/>
      <c r="V75" s="1759"/>
      <c r="W75" s="1758"/>
      <c r="AQ75" s="672"/>
    </row>
    <row r="76" spans="1:43">
      <c r="A76" s="1730"/>
      <c r="B76" s="1862" t="s">
        <v>487</v>
      </c>
      <c r="C76" s="3778" t="s">
        <v>2100</v>
      </c>
      <c r="D76" s="3778"/>
      <c r="E76" s="3778"/>
      <c r="F76" s="3778"/>
      <c r="G76" s="3778"/>
      <c r="H76" s="3778"/>
      <c r="I76" s="3778"/>
      <c r="J76" s="3778"/>
      <c r="K76" s="3778"/>
      <c r="L76" s="3778"/>
      <c r="M76" s="3778"/>
      <c r="N76" s="3778"/>
      <c r="O76" s="3778"/>
      <c r="P76" s="3778"/>
      <c r="Q76" s="3778"/>
      <c r="R76" s="3778"/>
      <c r="S76" s="3778"/>
      <c r="T76" s="3778"/>
      <c r="U76" s="3778"/>
      <c r="V76" s="3779"/>
      <c r="W76" s="1731"/>
      <c r="AQ76" s="528"/>
    </row>
    <row r="77" spans="1:43" ht="9.9499999999999993" customHeight="1">
      <c r="A77" s="1730"/>
      <c r="B77" s="1757"/>
      <c r="C77" s="529"/>
      <c r="D77" s="529"/>
      <c r="E77" s="529"/>
      <c r="F77" s="529"/>
      <c r="G77" s="529"/>
      <c r="H77" s="529"/>
      <c r="I77" s="699"/>
      <c r="J77" s="699"/>
      <c r="K77" s="699"/>
      <c r="L77" s="699"/>
      <c r="M77" s="699"/>
      <c r="N77" s="699"/>
      <c r="O77" s="699"/>
      <c r="P77" s="529"/>
      <c r="Q77" s="529"/>
      <c r="R77" s="529"/>
      <c r="S77" s="529"/>
      <c r="T77" s="529"/>
      <c r="U77" s="529"/>
      <c r="V77" s="529"/>
      <c r="W77" s="1731"/>
      <c r="AQ77" s="528"/>
    </row>
    <row r="78" spans="1:43">
      <c r="A78" s="1730"/>
      <c r="B78" s="529" t="s">
        <v>2101</v>
      </c>
      <c r="C78" s="529"/>
      <c r="D78" s="529"/>
      <c r="E78" s="529"/>
      <c r="F78" s="529"/>
      <c r="G78" s="2307" t="b">
        <v>0</v>
      </c>
      <c r="H78" s="528" t="s">
        <v>2065</v>
      </c>
      <c r="I78" s="3768" t="s">
        <v>2102</v>
      </c>
      <c r="J78" s="3768"/>
      <c r="K78" s="3768"/>
      <c r="L78" s="3768"/>
      <c r="M78" s="3768"/>
      <c r="N78" s="3768"/>
      <c r="O78" s="3768"/>
      <c r="P78" s="2878"/>
      <c r="Q78" s="2878"/>
      <c r="R78" s="529"/>
      <c r="S78" s="529"/>
      <c r="T78" s="529"/>
      <c r="U78" s="529"/>
      <c r="V78" s="529"/>
      <c r="W78" s="1731"/>
      <c r="AA78" s="1756"/>
      <c r="AQ78" s="528"/>
    </row>
    <row r="79" spans="1:43" ht="3.95" customHeight="1">
      <c r="A79" s="1730"/>
      <c r="B79" s="529"/>
      <c r="C79" s="529"/>
      <c r="D79" s="529"/>
      <c r="E79" s="529"/>
      <c r="F79" s="529"/>
      <c r="G79" s="529"/>
      <c r="H79" s="529"/>
      <c r="I79" s="529"/>
      <c r="J79" s="529"/>
      <c r="K79" s="529"/>
      <c r="L79" s="529"/>
      <c r="M79" s="529"/>
      <c r="N79" s="529"/>
      <c r="O79" s="529"/>
      <c r="P79" s="529"/>
      <c r="Q79" s="529"/>
      <c r="R79" s="529"/>
      <c r="S79" s="529"/>
      <c r="T79" s="529"/>
      <c r="U79" s="529"/>
      <c r="V79" s="529"/>
      <c r="W79" s="1731"/>
      <c r="AQ79" s="528"/>
    </row>
    <row r="80" spans="1:43" ht="18">
      <c r="A80" s="1730"/>
      <c r="B80" s="672"/>
      <c r="C80" s="528"/>
      <c r="D80" s="776" t="s">
        <v>586</v>
      </c>
      <c r="E80" s="2430"/>
      <c r="F80" s="2432"/>
      <c r="G80" s="609" t="s">
        <v>587</v>
      </c>
      <c r="H80" s="776" t="s">
        <v>994</v>
      </c>
      <c r="I80" s="2430"/>
      <c r="J80" s="2432"/>
      <c r="K80" s="609" t="s">
        <v>587</v>
      </c>
      <c r="L80" s="609"/>
      <c r="M80" s="609"/>
      <c r="N80" s="776" t="s">
        <v>995</v>
      </c>
      <c r="O80" s="2430"/>
      <c r="P80" s="2432"/>
      <c r="Q80" s="609" t="s">
        <v>587</v>
      </c>
      <c r="R80" s="3743" t="s">
        <v>2063</v>
      </c>
      <c r="S80" s="3743"/>
      <c r="T80" s="2430"/>
      <c r="U80" s="2432"/>
      <c r="V80" s="609" t="s">
        <v>587</v>
      </c>
      <c r="W80" s="1731"/>
      <c r="Y80" s="1867" t="s">
        <v>2103</v>
      </c>
    </row>
    <row r="81" spans="1:27" ht="3.95" customHeight="1">
      <c r="A81" s="1730"/>
      <c r="B81" s="672"/>
      <c r="C81" s="528"/>
      <c r="D81" s="528"/>
      <c r="E81" s="528"/>
      <c r="F81" s="528"/>
      <c r="G81" s="528"/>
      <c r="H81" s="528"/>
      <c r="I81" s="528"/>
      <c r="J81" s="528"/>
      <c r="K81" s="528"/>
      <c r="L81" s="528"/>
      <c r="M81" s="528"/>
      <c r="N81" s="528"/>
      <c r="O81" s="528"/>
      <c r="P81" s="528"/>
      <c r="Q81" s="528"/>
      <c r="V81" s="1747"/>
      <c r="W81" s="1731"/>
    </row>
    <row r="82" spans="1:27" ht="9.9499999999999993" customHeight="1">
      <c r="A82" s="1730"/>
      <c r="B82" s="528"/>
      <c r="C82" s="528"/>
      <c r="D82" s="1190"/>
      <c r="E82" s="527"/>
      <c r="F82" s="527"/>
      <c r="G82" s="1755"/>
      <c r="H82" s="1553"/>
      <c r="I82" s="1553"/>
      <c r="J82" s="1553"/>
      <c r="K82" s="1553"/>
      <c r="L82" s="1553"/>
      <c r="M82" s="1553"/>
      <c r="N82" s="1553"/>
      <c r="O82" s="1553"/>
      <c r="P82" s="537"/>
      <c r="Q82" s="528"/>
      <c r="V82" s="1747"/>
      <c r="W82" s="1731"/>
    </row>
    <row r="83" spans="1:27">
      <c r="A83" s="1730"/>
      <c r="B83" s="672" t="s">
        <v>2104</v>
      </c>
      <c r="C83" s="528"/>
      <c r="D83" s="1190"/>
      <c r="E83" s="527"/>
      <c r="F83" s="2307" t="b">
        <v>0</v>
      </c>
      <c r="G83" s="528" t="s">
        <v>2065</v>
      </c>
      <c r="H83" s="1553"/>
      <c r="I83" s="1553"/>
      <c r="J83" s="1553"/>
      <c r="K83" s="1553"/>
      <c r="L83" s="1553"/>
      <c r="M83" s="1553"/>
      <c r="N83" s="1553"/>
      <c r="O83" s="1553"/>
      <c r="P83" s="537"/>
      <c r="Q83" s="528"/>
      <c r="V83" s="1747"/>
      <c r="W83" s="1731"/>
      <c r="Y83" s="2269"/>
      <c r="AA83" s="2378"/>
    </row>
    <row r="84" spans="1:27">
      <c r="A84" s="1730"/>
      <c r="B84" s="1751" t="s">
        <v>1011</v>
      </c>
      <c r="C84" s="1754" t="s">
        <v>2105</v>
      </c>
      <c r="D84" s="1753"/>
      <c r="E84" s="1753"/>
      <c r="F84" s="1753"/>
      <c r="G84" s="1753"/>
      <c r="H84" s="1753"/>
      <c r="I84" s="1753"/>
      <c r="J84" s="1753"/>
      <c r="K84" s="1753"/>
      <c r="L84" s="1753"/>
      <c r="M84" s="1753"/>
      <c r="N84" s="1753"/>
      <c r="O84" s="1753"/>
      <c r="P84" s="1753"/>
      <c r="Q84" s="1753"/>
      <c r="R84" s="1753"/>
      <c r="S84" s="1753"/>
      <c r="T84" s="1203"/>
      <c r="U84" s="1203"/>
      <c r="V84" s="1747"/>
      <c r="W84" s="1731"/>
      <c r="AA84" s="1714"/>
    </row>
    <row r="85" spans="1:27" ht="3.95" customHeight="1">
      <c r="A85" s="1730"/>
      <c r="B85" s="1190"/>
      <c r="C85" s="672"/>
      <c r="D85" s="528"/>
      <c r="E85" s="528"/>
      <c r="F85" s="528"/>
      <c r="G85" s="528"/>
      <c r="H85" s="528"/>
      <c r="I85" s="528"/>
      <c r="J85" s="528"/>
      <c r="K85" s="528"/>
      <c r="L85" s="528"/>
      <c r="M85" s="528"/>
      <c r="N85" s="528"/>
      <c r="O85" s="528"/>
      <c r="P85" s="528"/>
      <c r="Q85" s="528"/>
      <c r="R85" s="528"/>
      <c r="S85" s="528"/>
      <c r="T85" s="527"/>
      <c r="U85" s="527"/>
      <c r="V85" s="1747"/>
      <c r="W85" s="1731"/>
    </row>
    <row r="86" spans="1:27">
      <c r="A86" s="1730"/>
      <c r="B86" s="1555"/>
      <c r="C86" s="3062" t="str">
        <f>IF(ISBLANK(D12),"",MAX(L10,S10))</f>
        <v/>
      </c>
      <c r="D86" s="3063"/>
      <c r="E86" s="3006" t="s">
        <v>2069</v>
      </c>
      <c r="F86" s="3007"/>
      <c r="G86" s="2958" t="str">
        <f>IF(ISBLANK(D12),"",D12)</f>
        <v/>
      </c>
      <c r="H86" s="2959"/>
      <c r="I86" s="2486" t="s">
        <v>2070</v>
      </c>
      <c r="J86" s="2487"/>
      <c r="K86" s="2487"/>
      <c r="L86" s="2487"/>
      <c r="M86" s="2487"/>
      <c r="N86" s="2487"/>
      <c r="O86" s="527"/>
      <c r="P86" s="3058" t="str">
        <f>IF(ISBLANK(D12)," ",((C86*G86)*8.35/1000000))</f>
        <v xml:space="preserve"> </v>
      </c>
      <c r="Q86" s="3059"/>
      <c r="R86" s="1203" t="s">
        <v>2106</v>
      </c>
      <c r="T86" s="1203"/>
      <c r="U86" s="1203"/>
      <c r="V86" s="1747"/>
      <c r="W86" s="1731"/>
      <c r="Y86" s="2269"/>
      <c r="AA86" s="2378"/>
    </row>
    <row r="87" spans="1:27" ht="3.95" customHeight="1">
      <c r="A87" s="1730"/>
      <c r="B87" s="1555"/>
      <c r="C87" s="1093"/>
      <c r="D87" s="1093"/>
      <c r="E87" s="1203"/>
      <c r="F87" s="1203"/>
      <c r="G87" s="527"/>
      <c r="H87" s="527"/>
      <c r="I87" s="1203"/>
      <c r="J87" s="528"/>
      <c r="K87" s="528"/>
      <c r="L87" s="528"/>
      <c r="M87" s="1554"/>
      <c r="N87" s="1554"/>
      <c r="O87" s="1203"/>
      <c r="P87" s="1203"/>
      <c r="Q87" s="1752"/>
      <c r="R87" s="1260"/>
      <c r="S87" s="1260"/>
      <c r="T87" s="1203"/>
      <c r="U87" s="1203"/>
      <c r="V87" s="1747"/>
      <c r="W87" s="1731"/>
    </row>
    <row r="88" spans="1:27">
      <c r="A88" s="1730"/>
      <c r="B88" s="1751" t="s">
        <v>1019</v>
      </c>
      <c r="C88" s="1750" t="s">
        <v>2107</v>
      </c>
      <c r="D88" s="1093"/>
      <c r="E88" s="1203"/>
      <c r="F88" s="1203"/>
      <c r="G88" s="527"/>
      <c r="H88" s="527"/>
      <c r="I88" s="1203"/>
      <c r="J88" s="528"/>
      <c r="K88" s="528"/>
      <c r="L88" s="528"/>
      <c r="M88" s="1554"/>
      <c r="N88" s="1554"/>
      <c r="O88" s="528"/>
      <c r="P88" s="528"/>
      <c r="Q88" s="528"/>
      <c r="R88" s="1260"/>
      <c r="S88" s="1260"/>
      <c r="T88" s="1203"/>
      <c r="U88" s="1203"/>
      <c r="V88" s="1747"/>
      <c r="W88" s="1731"/>
    </row>
    <row r="89" spans="1:27">
      <c r="A89" s="1730"/>
      <c r="B89" s="528"/>
      <c r="C89" s="3062" t="str">
        <f>IF(ISBLANK(E80),"",MAX(L10,S10))</f>
        <v/>
      </c>
      <c r="D89" s="3063"/>
      <c r="E89" s="3006" t="s">
        <v>2069</v>
      </c>
      <c r="F89" s="3007"/>
      <c r="G89" s="2958" t="str">
        <f>IF(ISBLANK(E80),"",E80)</f>
        <v/>
      </c>
      <c r="H89" s="2959"/>
      <c r="I89" s="2486" t="s">
        <v>2070</v>
      </c>
      <c r="J89" s="2487"/>
      <c r="K89" s="2487"/>
      <c r="L89" s="2487"/>
      <c r="M89" s="2487"/>
      <c r="N89" s="2487"/>
      <c r="O89" s="527"/>
      <c r="P89" s="3058" t="str">
        <f>IF(ISBLANK(E80),"",(C89*G89*8.35)/1000000)</f>
        <v/>
      </c>
      <c r="Q89" s="3059"/>
      <c r="R89" s="1203" t="s">
        <v>2106</v>
      </c>
      <c r="T89" s="1203"/>
      <c r="U89" s="1203"/>
      <c r="V89" s="1747"/>
      <c r="W89" s="1731"/>
    </row>
    <row r="90" spans="1:27" ht="3.95" customHeight="1">
      <c r="A90" s="1730"/>
      <c r="B90" s="1190"/>
      <c r="C90" s="672"/>
      <c r="D90" s="528"/>
      <c r="E90" s="528"/>
      <c r="F90" s="528"/>
      <c r="G90" s="528"/>
      <c r="H90" s="528"/>
      <c r="I90" s="528"/>
      <c r="J90" s="528"/>
      <c r="K90" s="528"/>
      <c r="L90" s="528"/>
      <c r="M90" s="528"/>
      <c r="N90" s="528"/>
      <c r="O90" s="528"/>
      <c r="P90" s="528"/>
      <c r="Q90" s="528"/>
      <c r="R90" s="528"/>
      <c r="S90" s="528"/>
      <c r="T90" s="527"/>
      <c r="U90" s="527"/>
      <c r="V90" s="1747"/>
      <c r="W90" s="1731"/>
    </row>
    <row r="91" spans="1:27">
      <c r="A91" s="1730"/>
      <c r="B91" s="1190"/>
      <c r="C91" s="672"/>
      <c r="D91" s="528"/>
      <c r="E91" s="528"/>
      <c r="F91" s="528"/>
      <c r="G91" s="528"/>
      <c r="H91" s="528"/>
      <c r="I91" s="528"/>
      <c r="J91" s="528"/>
      <c r="K91" s="528"/>
      <c r="L91" s="528"/>
      <c r="M91" s="1190" t="s">
        <v>2108</v>
      </c>
      <c r="N91" s="3058" t="str">
        <f>IF(ISBLANK(E80)," ",(P86-P89))</f>
        <v xml:space="preserve"> </v>
      </c>
      <c r="O91" s="3059"/>
      <c r="P91" s="1203" t="s">
        <v>2109</v>
      </c>
      <c r="Q91" s="528"/>
      <c r="R91" s="528"/>
      <c r="S91" s="528"/>
      <c r="T91" s="527"/>
      <c r="U91" s="527"/>
      <c r="V91" s="1747"/>
      <c r="W91" s="1731"/>
    </row>
    <row r="92" spans="1:27" ht="9.9499999999999993" customHeight="1">
      <c r="A92" s="1730"/>
      <c r="B92" s="1190"/>
      <c r="C92" s="672"/>
      <c r="D92" s="528"/>
      <c r="E92" s="528"/>
      <c r="F92" s="528"/>
      <c r="G92" s="528"/>
      <c r="H92" s="528"/>
      <c r="I92" s="528"/>
      <c r="J92" s="528"/>
      <c r="K92" s="528"/>
      <c r="L92" s="528"/>
      <c r="M92" s="1190"/>
      <c r="N92" s="1554"/>
      <c r="O92" s="1554"/>
      <c r="P92" s="1203"/>
      <c r="Q92" s="528"/>
      <c r="R92" s="528"/>
      <c r="S92" s="528"/>
      <c r="T92" s="527"/>
      <c r="U92" s="527"/>
      <c r="V92" s="1747"/>
      <c r="W92" s="1731"/>
    </row>
    <row r="93" spans="1:27">
      <c r="A93" s="1730"/>
      <c r="B93" s="672" t="s">
        <v>2110</v>
      </c>
      <c r="C93" s="672"/>
      <c r="D93" s="528"/>
      <c r="E93" s="528"/>
      <c r="F93" s="2307" t="b">
        <v>0</v>
      </c>
      <c r="G93" s="528" t="s">
        <v>2065</v>
      </c>
      <c r="H93" s="528"/>
      <c r="I93" s="528"/>
      <c r="J93" s="528"/>
      <c r="K93" s="528"/>
      <c r="L93" s="528"/>
      <c r="M93" s="528"/>
      <c r="N93" s="528"/>
      <c r="O93" s="528"/>
      <c r="P93" s="528"/>
      <c r="Q93" s="528"/>
      <c r="R93" s="528"/>
      <c r="S93" s="528"/>
      <c r="T93" s="527"/>
      <c r="U93" s="527"/>
      <c r="V93" s="1747"/>
      <c r="W93" s="1731"/>
    </row>
    <row r="94" spans="1:27">
      <c r="A94" s="1730"/>
      <c r="B94" s="1751" t="s">
        <v>1011</v>
      </c>
      <c r="C94" s="1754" t="s">
        <v>2111</v>
      </c>
      <c r="D94" s="1753"/>
      <c r="E94" s="1753"/>
      <c r="F94" s="1753"/>
      <c r="G94" s="1753"/>
      <c r="H94" s="1753"/>
      <c r="I94" s="1753"/>
      <c r="J94" s="1753"/>
      <c r="K94" s="1753"/>
      <c r="L94" s="1753"/>
      <c r="M94" s="1753"/>
      <c r="N94" s="1753"/>
      <c r="O94" s="1753"/>
      <c r="P94" s="1753"/>
      <c r="Q94" s="1753"/>
      <c r="R94" s="1753"/>
      <c r="S94" s="1753"/>
      <c r="T94" s="1203"/>
      <c r="U94" s="1203"/>
      <c r="V94" s="1747"/>
      <c r="W94" s="1731"/>
      <c r="AA94" s="1714"/>
    </row>
    <row r="95" spans="1:27" ht="3.95" customHeight="1">
      <c r="A95" s="1730"/>
      <c r="B95" s="1190"/>
      <c r="C95" s="672"/>
      <c r="D95" s="528"/>
      <c r="E95" s="528"/>
      <c r="F95" s="528"/>
      <c r="G95" s="528"/>
      <c r="H95" s="528"/>
      <c r="I95" s="528"/>
      <c r="J95" s="528"/>
      <c r="K95" s="528"/>
      <c r="L95" s="528"/>
      <c r="M95" s="528"/>
      <c r="N95" s="528"/>
      <c r="O95" s="528"/>
      <c r="P95" s="528"/>
      <c r="Q95" s="528"/>
      <c r="R95" s="528"/>
      <c r="S95" s="528"/>
      <c r="T95" s="527"/>
      <c r="U95" s="527"/>
      <c r="V95" s="1747"/>
      <c r="W95" s="1731"/>
    </row>
    <row r="96" spans="1:27">
      <c r="A96" s="1730"/>
      <c r="B96" s="1555"/>
      <c r="C96" s="3062" t="str">
        <f>IF(ISBLANK(I12),"",MAX(L10,S10))</f>
        <v/>
      </c>
      <c r="D96" s="3063"/>
      <c r="E96" s="3006" t="s">
        <v>2069</v>
      </c>
      <c r="F96" s="3007"/>
      <c r="G96" s="2958" t="str">
        <f>IF(ISBLANK(I12),"",I12)</f>
        <v/>
      </c>
      <c r="H96" s="2959"/>
      <c r="I96" s="2486" t="s">
        <v>2070</v>
      </c>
      <c r="J96" s="2487"/>
      <c r="K96" s="2487"/>
      <c r="L96" s="2487"/>
      <c r="M96" s="2487"/>
      <c r="N96" s="2487"/>
      <c r="P96" s="3058" t="str">
        <f>IF(ISBLANK(I12)," ",((C96*G96)*8.35/1000000))</f>
        <v xml:space="preserve"> </v>
      </c>
      <c r="Q96" s="3059"/>
      <c r="R96" s="1203" t="s">
        <v>2112</v>
      </c>
      <c r="S96" s="1260"/>
      <c r="T96" s="1203"/>
      <c r="U96" s="1203"/>
      <c r="V96" s="1747"/>
      <c r="W96" s="1731"/>
    </row>
    <row r="97" spans="1:27" ht="3.95" customHeight="1">
      <c r="A97" s="1730"/>
      <c r="B97" s="1555"/>
      <c r="C97" s="1093"/>
      <c r="D97" s="1093"/>
      <c r="E97" s="1203"/>
      <c r="F97" s="1203"/>
      <c r="G97" s="527"/>
      <c r="H97" s="527"/>
      <c r="I97" s="1203"/>
      <c r="J97" s="528"/>
      <c r="K97" s="528"/>
      <c r="L97" s="528"/>
      <c r="M97" s="1554"/>
      <c r="N97" s="1554"/>
      <c r="O97" s="1203"/>
      <c r="P97" s="1203"/>
      <c r="Q97" s="1752"/>
      <c r="R97" s="1260"/>
      <c r="S97" s="1260"/>
      <c r="T97" s="1203"/>
      <c r="U97" s="1203"/>
      <c r="V97" s="1747"/>
      <c r="W97" s="1731"/>
    </row>
    <row r="98" spans="1:27">
      <c r="A98" s="1730"/>
      <c r="B98" s="1751" t="s">
        <v>1019</v>
      </c>
      <c r="C98" s="1750" t="s">
        <v>2113</v>
      </c>
      <c r="D98" s="1093"/>
      <c r="E98" s="1203"/>
      <c r="F98" s="1203"/>
      <c r="G98" s="527"/>
      <c r="H98" s="527"/>
      <c r="I98" s="1203"/>
      <c r="J98" s="528"/>
      <c r="K98" s="528"/>
      <c r="L98" s="528"/>
      <c r="M98" s="1554"/>
      <c r="N98" s="1554"/>
      <c r="O98" s="528"/>
      <c r="P98" s="528"/>
      <c r="Q98" s="528"/>
      <c r="R98" s="1260"/>
      <c r="S98" s="1260"/>
      <c r="T98" s="1203"/>
      <c r="U98" s="1203"/>
      <c r="V98" s="1747"/>
      <c r="W98" s="1731"/>
    </row>
    <row r="99" spans="1:27">
      <c r="A99" s="1730"/>
      <c r="B99" s="528"/>
      <c r="C99" s="3062" t="str">
        <f>IF(ISBLANK(I80),"",MAX(L10,S10))</f>
        <v/>
      </c>
      <c r="D99" s="3063"/>
      <c r="E99" s="3006" t="s">
        <v>2069</v>
      </c>
      <c r="F99" s="3007"/>
      <c r="G99" s="2958" t="str">
        <f>IF(ISBLANK(I80),"",I80)</f>
        <v/>
      </c>
      <c r="H99" s="2959"/>
      <c r="I99" s="2486" t="s">
        <v>2070</v>
      </c>
      <c r="J99" s="2487"/>
      <c r="K99" s="2487"/>
      <c r="L99" s="2487"/>
      <c r="M99" s="2487"/>
      <c r="N99" s="2487"/>
      <c r="P99" s="3058" t="str">
        <f>IF(ISBLANK(I80),"",(C99*G99*8.35)/1000000)</f>
        <v/>
      </c>
      <c r="Q99" s="3059"/>
      <c r="R99" s="1203" t="s">
        <v>2114</v>
      </c>
      <c r="S99" s="1260"/>
      <c r="T99" s="1203"/>
      <c r="U99" s="1203"/>
      <c r="V99" s="1747"/>
      <c r="W99" s="1731"/>
    </row>
    <row r="100" spans="1:27" ht="3.95" customHeight="1">
      <c r="A100" s="1730"/>
      <c r="B100" s="1190"/>
      <c r="C100" s="672"/>
      <c r="D100" s="528"/>
      <c r="E100" s="528"/>
      <c r="F100" s="528"/>
      <c r="G100" s="528"/>
      <c r="H100" s="528"/>
      <c r="I100" s="528"/>
      <c r="J100" s="528"/>
      <c r="K100" s="528"/>
      <c r="L100" s="528"/>
      <c r="M100" s="528"/>
      <c r="N100" s="528"/>
      <c r="O100" s="528"/>
      <c r="P100" s="528"/>
      <c r="Q100" s="528"/>
      <c r="R100" s="528"/>
      <c r="S100" s="528"/>
      <c r="T100" s="527"/>
      <c r="U100" s="527"/>
      <c r="V100" s="1747"/>
      <c r="W100" s="1731"/>
    </row>
    <row r="101" spans="1:27">
      <c r="A101" s="1730"/>
      <c r="B101" s="1190"/>
      <c r="C101" s="672"/>
      <c r="D101" s="528"/>
      <c r="E101" s="528"/>
      <c r="F101" s="528"/>
      <c r="G101" s="528"/>
      <c r="H101" s="528"/>
      <c r="I101" s="528"/>
      <c r="J101" s="528"/>
      <c r="K101" s="528"/>
      <c r="L101" s="528"/>
      <c r="M101" s="1190" t="s">
        <v>2115</v>
      </c>
      <c r="N101" s="3058" t="str">
        <f>IF(ISBLANK(I80),"",(P96-P99))</f>
        <v/>
      </c>
      <c r="O101" s="3059"/>
      <c r="P101" s="1203" t="s">
        <v>2116</v>
      </c>
      <c r="Q101" s="528"/>
      <c r="R101" s="528"/>
      <c r="S101" s="528"/>
      <c r="T101" s="527"/>
      <c r="U101" s="527"/>
      <c r="V101" s="1747"/>
      <c r="W101" s="1731"/>
    </row>
    <row r="102" spans="1:27" ht="9.9499999999999993" customHeight="1">
      <c r="A102" s="1730"/>
      <c r="B102" s="1190"/>
      <c r="C102" s="672"/>
      <c r="D102" s="528"/>
      <c r="E102" s="528"/>
      <c r="F102" s="528"/>
      <c r="G102" s="528"/>
      <c r="H102" s="528"/>
      <c r="I102" s="528"/>
      <c r="J102" s="528"/>
      <c r="K102" s="528"/>
      <c r="L102" s="528"/>
      <c r="M102" s="1190"/>
      <c r="N102" s="1554"/>
      <c r="O102" s="1554"/>
      <c r="P102" s="1203"/>
      <c r="Q102" s="528"/>
      <c r="R102" s="528"/>
      <c r="S102" s="528"/>
      <c r="T102" s="527"/>
      <c r="U102" s="527"/>
      <c r="V102" s="1747"/>
      <c r="W102" s="1731"/>
    </row>
    <row r="103" spans="1:27">
      <c r="A103" s="1730"/>
      <c r="B103" s="672" t="s">
        <v>2117</v>
      </c>
      <c r="C103" s="672"/>
      <c r="D103" s="528"/>
      <c r="E103" s="528"/>
      <c r="F103" s="2307" t="b">
        <v>0</v>
      </c>
      <c r="G103" s="528" t="s">
        <v>2065</v>
      </c>
      <c r="H103" s="528"/>
      <c r="I103" s="528"/>
      <c r="J103" s="528"/>
      <c r="K103" s="528"/>
      <c r="L103" s="528"/>
      <c r="M103" s="528"/>
      <c r="N103" s="528"/>
      <c r="O103" s="528"/>
      <c r="P103" s="528"/>
      <c r="Q103" s="528"/>
      <c r="R103" s="528"/>
      <c r="S103" s="528"/>
      <c r="T103" s="527"/>
      <c r="U103" s="527"/>
      <c r="V103" s="1747"/>
      <c r="W103" s="1731"/>
    </row>
    <row r="104" spans="1:27">
      <c r="A104" s="1730"/>
      <c r="B104" s="1751" t="s">
        <v>1011</v>
      </c>
      <c r="C104" s="1754" t="s">
        <v>2118</v>
      </c>
      <c r="D104" s="1753"/>
      <c r="E104" s="1753"/>
      <c r="F104" s="1753"/>
      <c r="G104" s="1753"/>
      <c r="H104" s="1753"/>
      <c r="I104" s="1753"/>
      <c r="J104" s="1753"/>
      <c r="K104" s="1753"/>
      <c r="L104" s="1753"/>
      <c r="M104" s="1753"/>
      <c r="N104" s="1753"/>
      <c r="O104" s="1753"/>
      <c r="P104" s="1753"/>
      <c r="Q104" s="1753"/>
      <c r="R104" s="1753"/>
      <c r="S104" s="1753"/>
      <c r="T104" s="1203"/>
      <c r="U104" s="1203"/>
      <c r="V104" s="1747"/>
      <c r="W104" s="1731"/>
      <c r="AA104" s="1714"/>
    </row>
    <row r="105" spans="1:27" ht="3.95" customHeight="1">
      <c r="A105" s="1730"/>
      <c r="B105" s="1190"/>
      <c r="C105" s="672"/>
      <c r="D105" s="528"/>
      <c r="E105" s="528"/>
      <c r="F105" s="528"/>
      <c r="G105" s="528"/>
      <c r="H105" s="528"/>
      <c r="I105" s="528"/>
      <c r="J105" s="528"/>
      <c r="K105" s="528"/>
      <c r="L105" s="528"/>
      <c r="M105" s="528"/>
      <c r="N105" s="528"/>
      <c r="O105" s="528"/>
      <c r="P105" s="528"/>
      <c r="Q105" s="528"/>
      <c r="R105" s="528"/>
      <c r="S105" s="528"/>
      <c r="T105" s="527"/>
      <c r="U105" s="527"/>
      <c r="V105" s="1747"/>
      <c r="W105" s="1731"/>
    </row>
    <row r="106" spans="1:27">
      <c r="A106" s="1730"/>
      <c r="B106" s="1555"/>
      <c r="C106" s="3062" t="str">
        <f>IF(ISBLANK(O12),"",MAX(L10,S10))</f>
        <v/>
      </c>
      <c r="D106" s="3063"/>
      <c r="E106" s="3006" t="s">
        <v>2069</v>
      </c>
      <c r="F106" s="3007"/>
      <c r="G106" s="2958" t="str">
        <f>IF(ISBLANK(O12),"",O12)</f>
        <v/>
      </c>
      <c r="H106" s="2959"/>
      <c r="I106" s="2486" t="s">
        <v>2070</v>
      </c>
      <c r="J106" s="2487"/>
      <c r="K106" s="2487"/>
      <c r="L106" s="2487"/>
      <c r="M106" s="2487"/>
      <c r="N106" s="2487"/>
      <c r="P106" s="3058" t="str">
        <f>IF(ISBLANK(O80)," ",((C106*G106)*8.35/1000000))</f>
        <v xml:space="preserve"> </v>
      </c>
      <c r="Q106" s="3059"/>
      <c r="R106" s="1203" t="s">
        <v>2119</v>
      </c>
      <c r="S106" s="1260"/>
      <c r="T106" s="1203"/>
      <c r="U106" s="1203"/>
      <c r="V106" s="1747"/>
      <c r="W106" s="1731"/>
    </row>
    <row r="107" spans="1:27" ht="3.95" customHeight="1">
      <c r="A107" s="1730"/>
      <c r="B107" s="1555"/>
      <c r="C107" s="1093"/>
      <c r="D107" s="1093"/>
      <c r="E107" s="1203"/>
      <c r="F107" s="1203"/>
      <c r="G107" s="527"/>
      <c r="H107" s="527"/>
      <c r="I107" s="1203"/>
      <c r="J107" s="528"/>
      <c r="K107" s="528"/>
      <c r="L107" s="528"/>
      <c r="M107" s="1554"/>
      <c r="N107" s="1554"/>
      <c r="O107" s="1203"/>
      <c r="P107" s="1203"/>
      <c r="Q107" s="1752"/>
      <c r="R107" s="1260"/>
      <c r="S107" s="1260"/>
      <c r="T107" s="1203"/>
      <c r="U107" s="1203"/>
      <c r="V107" s="1747"/>
      <c r="W107" s="1731"/>
    </row>
    <row r="108" spans="1:27">
      <c r="A108" s="1730"/>
      <c r="B108" s="1751" t="s">
        <v>1019</v>
      </c>
      <c r="C108" s="1750" t="s">
        <v>2120</v>
      </c>
      <c r="D108" s="1093"/>
      <c r="E108" s="1203"/>
      <c r="F108" s="1203"/>
      <c r="G108" s="527"/>
      <c r="H108" s="527"/>
      <c r="I108" s="1203"/>
      <c r="J108" s="528"/>
      <c r="K108" s="528"/>
      <c r="L108" s="528"/>
      <c r="M108" s="1554"/>
      <c r="N108" s="1554"/>
      <c r="O108" s="528"/>
      <c r="P108" s="528"/>
      <c r="Q108" s="528"/>
      <c r="R108" s="1260"/>
      <c r="S108" s="1260"/>
      <c r="T108" s="1203"/>
      <c r="U108" s="1203"/>
      <c r="V108" s="1747"/>
      <c r="W108" s="1731"/>
    </row>
    <row r="109" spans="1:27">
      <c r="A109" s="1730"/>
      <c r="B109" s="528"/>
      <c r="C109" s="3062" t="str">
        <f>IF(ISBLANK(O80),"",MAX(L10,S10))</f>
        <v/>
      </c>
      <c r="D109" s="3063"/>
      <c r="E109" s="3006" t="s">
        <v>2069</v>
      </c>
      <c r="F109" s="3007"/>
      <c r="G109" s="2958" t="str">
        <f>IF(ISBLANK(O80),"",O80)</f>
        <v/>
      </c>
      <c r="H109" s="2959"/>
      <c r="I109" s="2486" t="s">
        <v>2070</v>
      </c>
      <c r="J109" s="2487"/>
      <c r="K109" s="2487"/>
      <c r="L109" s="2487"/>
      <c r="M109" s="2487"/>
      <c r="N109" s="2487"/>
      <c r="P109" s="3058" t="str">
        <f>IF(ISBLANK(O80),"",(C109*G109*8.35)/1000000)</f>
        <v/>
      </c>
      <c r="Q109" s="3059"/>
      <c r="R109" s="1203" t="s">
        <v>2119</v>
      </c>
      <c r="S109" s="1260"/>
      <c r="T109" s="1203"/>
      <c r="U109" s="1203"/>
      <c r="V109" s="1747"/>
      <c r="W109" s="1731"/>
    </row>
    <row r="110" spans="1:27" ht="3.95" customHeight="1">
      <c r="A110" s="1730"/>
      <c r="B110" s="1190"/>
      <c r="C110" s="672"/>
      <c r="D110" s="528"/>
      <c r="E110" s="528"/>
      <c r="F110" s="528"/>
      <c r="G110" s="528"/>
      <c r="H110" s="528"/>
      <c r="I110" s="528"/>
      <c r="J110" s="528"/>
      <c r="K110" s="528"/>
      <c r="L110" s="528"/>
      <c r="M110" s="528"/>
      <c r="N110" s="528"/>
      <c r="O110" s="528"/>
      <c r="P110" s="528"/>
      <c r="Q110" s="528"/>
      <c r="R110" s="528"/>
      <c r="S110" s="528"/>
      <c r="T110" s="527"/>
      <c r="U110" s="527"/>
      <c r="V110" s="1747"/>
      <c r="W110" s="1731"/>
    </row>
    <row r="111" spans="1:27">
      <c r="A111" s="1730"/>
      <c r="B111" s="1190"/>
      <c r="C111" s="672"/>
      <c r="D111" s="528"/>
      <c r="E111" s="528"/>
      <c r="F111" s="528"/>
      <c r="G111" s="528"/>
      <c r="H111" s="528"/>
      <c r="I111" s="528"/>
      <c r="J111" s="528"/>
      <c r="K111" s="528"/>
      <c r="L111" s="528"/>
      <c r="M111" s="1190" t="s">
        <v>2121</v>
      </c>
      <c r="N111" s="3058" t="str">
        <f>IF(ISBLANK(O80),"",(P106-P109))</f>
        <v/>
      </c>
      <c r="O111" s="3059"/>
      <c r="P111" s="1203" t="s">
        <v>2122</v>
      </c>
      <c r="Q111" s="528"/>
      <c r="R111" s="528"/>
      <c r="S111" s="528"/>
      <c r="T111" s="527"/>
      <c r="U111" s="527"/>
      <c r="V111" s="1747"/>
      <c r="W111" s="1731"/>
    </row>
    <row r="112" spans="1:27" ht="9.9499999999999993" customHeight="1">
      <c r="A112" s="1730"/>
      <c r="B112" s="1190"/>
      <c r="C112" s="672"/>
      <c r="D112" s="528"/>
      <c r="E112" s="528"/>
      <c r="F112" s="528"/>
      <c r="G112" s="528"/>
      <c r="H112" s="528"/>
      <c r="I112" s="528"/>
      <c r="J112" s="528"/>
      <c r="K112" s="528"/>
      <c r="L112" s="528"/>
      <c r="M112" s="1190"/>
      <c r="N112" s="1554"/>
      <c r="O112" s="1554"/>
      <c r="P112" s="1203"/>
      <c r="Q112" s="528"/>
      <c r="R112" s="528"/>
      <c r="S112" s="528"/>
      <c r="T112" s="527"/>
      <c r="U112" s="527"/>
      <c r="V112" s="1747"/>
      <c r="W112" s="1731"/>
    </row>
    <row r="113" spans="1:27">
      <c r="A113" s="1730"/>
      <c r="B113" s="672" t="s">
        <v>2123</v>
      </c>
      <c r="C113" s="672"/>
      <c r="D113" s="528"/>
      <c r="E113" s="528"/>
      <c r="F113" s="2307" t="b">
        <v>0</v>
      </c>
      <c r="G113" s="528" t="s">
        <v>2065</v>
      </c>
      <c r="H113" s="528"/>
      <c r="I113" s="528"/>
      <c r="J113" s="528"/>
      <c r="K113" s="528"/>
      <c r="L113" s="528"/>
      <c r="M113" s="528"/>
      <c r="N113" s="528"/>
      <c r="O113" s="528"/>
      <c r="P113" s="528"/>
      <c r="Q113" s="528"/>
      <c r="R113" s="528"/>
      <c r="S113" s="528"/>
      <c r="T113" s="527"/>
      <c r="U113" s="527"/>
      <c r="V113" s="1747"/>
      <c r="W113" s="1731"/>
    </row>
    <row r="114" spans="1:27">
      <c r="A114" s="1730"/>
      <c r="B114" s="1751" t="s">
        <v>1011</v>
      </c>
      <c r="C114" s="1754" t="s">
        <v>2124</v>
      </c>
      <c r="D114" s="1753"/>
      <c r="E114" s="1753"/>
      <c r="F114" s="1753"/>
      <c r="G114" s="1753"/>
      <c r="H114" s="1753"/>
      <c r="I114" s="1753"/>
      <c r="J114" s="1753"/>
      <c r="K114" s="1753"/>
      <c r="L114" s="1753"/>
      <c r="M114" s="1753"/>
      <c r="N114" s="1753"/>
      <c r="O114" s="1753"/>
      <c r="P114" s="1753"/>
      <c r="Q114" s="1753"/>
      <c r="R114" s="1753"/>
      <c r="S114" s="1753"/>
      <c r="T114" s="1203"/>
      <c r="U114" s="1203"/>
      <c r="V114" s="1747"/>
      <c r="W114" s="1731"/>
      <c r="AA114" s="1714"/>
    </row>
    <row r="115" spans="1:27" ht="3.95" customHeight="1">
      <c r="A115" s="1730"/>
      <c r="B115" s="1190"/>
      <c r="C115" s="672"/>
      <c r="D115" s="528"/>
      <c r="E115" s="528"/>
      <c r="F115" s="528"/>
      <c r="G115" s="528"/>
      <c r="H115" s="528"/>
      <c r="I115" s="528"/>
      <c r="J115" s="528"/>
      <c r="K115" s="528"/>
      <c r="L115" s="528"/>
      <c r="M115" s="528"/>
      <c r="N115" s="528"/>
      <c r="O115" s="528"/>
      <c r="P115" s="528"/>
      <c r="Q115" s="528"/>
      <c r="R115" s="528"/>
      <c r="S115" s="528"/>
      <c r="T115" s="527"/>
      <c r="U115" s="527"/>
      <c r="V115" s="1747"/>
      <c r="W115" s="1731"/>
    </row>
    <row r="116" spans="1:27">
      <c r="A116" s="1730"/>
      <c r="B116" s="1555"/>
      <c r="C116" s="3062" t="str">
        <f>IF(ISBLANK(T12),"",MAX(L10,S10))</f>
        <v/>
      </c>
      <c r="D116" s="3063"/>
      <c r="E116" s="3006" t="s">
        <v>2069</v>
      </c>
      <c r="F116" s="3007"/>
      <c r="G116" s="2958" t="str">
        <f>IF(ISBLANK(T12),"",T12)</f>
        <v/>
      </c>
      <c r="H116" s="2959"/>
      <c r="I116" s="2486" t="s">
        <v>2070</v>
      </c>
      <c r="J116" s="2487"/>
      <c r="K116" s="2487"/>
      <c r="L116" s="2487"/>
      <c r="M116" s="2487"/>
      <c r="N116" s="2487"/>
      <c r="P116" s="3058" t="str">
        <f>IF(ISBLANK(T80)," ",((C116*G116)*8.35/1000000))</f>
        <v xml:space="preserve"> </v>
      </c>
      <c r="Q116" s="3059"/>
      <c r="R116" s="1203" t="s">
        <v>2125</v>
      </c>
      <c r="S116" s="1260"/>
      <c r="T116" s="1203"/>
      <c r="U116" s="1203"/>
      <c r="V116" s="1747"/>
      <c r="W116" s="1731"/>
    </row>
    <row r="117" spans="1:27" ht="3.95" customHeight="1">
      <c r="A117" s="1730"/>
      <c r="B117" s="1555"/>
      <c r="C117" s="1093"/>
      <c r="D117" s="1093"/>
      <c r="E117" s="1203"/>
      <c r="F117" s="1203"/>
      <c r="G117" s="527"/>
      <c r="H117" s="527"/>
      <c r="I117" s="1203"/>
      <c r="J117" s="528"/>
      <c r="K117" s="528"/>
      <c r="L117" s="528"/>
      <c r="M117" s="1554"/>
      <c r="N117" s="1554"/>
      <c r="O117" s="1203"/>
      <c r="P117" s="1203"/>
      <c r="Q117" s="1752"/>
      <c r="R117" s="1260"/>
      <c r="S117" s="1260"/>
      <c r="T117" s="1203"/>
      <c r="U117" s="1203"/>
      <c r="V117" s="1747"/>
      <c r="W117" s="1731"/>
    </row>
    <row r="118" spans="1:27">
      <c r="A118" s="1730"/>
      <c r="B118" s="1751" t="s">
        <v>1019</v>
      </c>
      <c r="C118" s="1750" t="s">
        <v>2126</v>
      </c>
      <c r="D118" s="1093"/>
      <c r="E118" s="1203"/>
      <c r="F118" s="1203"/>
      <c r="G118" s="527"/>
      <c r="H118" s="527"/>
      <c r="I118" s="1203"/>
      <c r="J118" s="528"/>
      <c r="K118" s="528"/>
      <c r="L118" s="528"/>
      <c r="M118" s="1554"/>
      <c r="N118" s="1554"/>
      <c r="O118" s="528"/>
      <c r="P118" s="528"/>
      <c r="Q118" s="528"/>
      <c r="R118" s="1260"/>
      <c r="S118" s="1260"/>
      <c r="T118" s="1203"/>
      <c r="U118" s="1203"/>
      <c r="V118" s="1747"/>
      <c r="W118" s="1731"/>
    </row>
    <row r="119" spans="1:27">
      <c r="A119" s="1730"/>
      <c r="B119" s="528"/>
      <c r="C119" s="3062" t="str">
        <f>IF(ISBLANK(T80),"",MAX(L10,S10))</f>
        <v/>
      </c>
      <c r="D119" s="3063"/>
      <c r="E119" s="3006" t="s">
        <v>2069</v>
      </c>
      <c r="F119" s="3007"/>
      <c r="G119" s="2958" t="str">
        <f>IF(ISBLANK(T80),"",T80)</f>
        <v/>
      </c>
      <c r="H119" s="2959"/>
      <c r="I119" s="2486" t="s">
        <v>2070</v>
      </c>
      <c r="J119" s="2487"/>
      <c r="K119" s="2487"/>
      <c r="L119" s="2487"/>
      <c r="M119" s="2487"/>
      <c r="N119" s="2487"/>
      <c r="P119" s="3058" t="str">
        <f>IF(ISBLANK(T80),"",(C119*G119*8.35)/1000000)</f>
        <v/>
      </c>
      <c r="Q119" s="3059"/>
      <c r="R119" s="1203" t="s">
        <v>2127</v>
      </c>
      <c r="S119" s="1260"/>
      <c r="T119" s="1203"/>
      <c r="U119" s="1203"/>
      <c r="V119" s="1747"/>
      <c r="W119" s="1731"/>
    </row>
    <row r="120" spans="1:27" ht="3.95" customHeight="1">
      <c r="A120" s="1730"/>
      <c r="B120" s="1190"/>
      <c r="C120" s="672"/>
      <c r="D120" s="528"/>
      <c r="E120" s="528"/>
      <c r="F120" s="528"/>
      <c r="G120" s="528"/>
      <c r="H120" s="528"/>
      <c r="I120" s="528"/>
      <c r="J120" s="528"/>
      <c r="K120" s="528"/>
      <c r="L120" s="528"/>
      <c r="M120" s="528"/>
      <c r="N120" s="528"/>
      <c r="O120" s="528"/>
      <c r="P120" s="528"/>
      <c r="Q120" s="528"/>
      <c r="R120" s="528"/>
      <c r="S120" s="528"/>
      <c r="T120" s="527"/>
      <c r="U120" s="527"/>
      <c r="V120" s="1747"/>
      <c r="W120" s="1731"/>
    </row>
    <row r="121" spans="1:27">
      <c r="A121" s="1730"/>
      <c r="B121" s="1190"/>
      <c r="C121" s="672"/>
      <c r="D121" s="528"/>
      <c r="E121" s="528"/>
      <c r="F121" s="528"/>
      <c r="G121" s="528"/>
      <c r="H121" s="528"/>
      <c r="I121" s="528"/>
      <c r="J121" s="528"/>
      <c r="K121" s="528"/>
      <c r="L121" s="528"/>
      <c r="M121" s="1190" t="s">
        <v>2128</v>
      </c>
      <c r="N121" s="3058" t="str">
        <f>IF(ISBLANK(T80),"",(P116-P119))</f>
        <v/>
      </c>
      <c r="O121" s="3059"/>
      <c r="P121" s="1203" t="s">
        <v>2129</v>
      </c>
      <c r="Q121" s="528"/>
      <c r="R121" s="528"/>
      <c r="S121" s="528"/>
      <c r="T121" s="527"/>
      <c r="U121" s="527"/>
      <c r="V121" s="1747"/>
      <c r="W121" s="1731"/>
    </row>
    <row r="122" spans="1:27" ht="3.95" customHeight="1" thickBot="1">
      <c r="A122" s="1743"/>
      <c r="B122" s="2297"/>
      <c r="C122" s="1773"/>
      <c r="D122" s="669"/>
      <c r="E122" s="669"/>
      <c r="F122" s="669"/>
      <c r="G122" s="669"/>
      <c r="H122" s="669"/>
      <c r="I122" s="669"/>
      <c r="J122" s="669"/>
      <c r="K122" s="669"/>
      <c r="L122" s="669"/>
      <c r="M122" s="669"/>
      <c r="N122" s="669"/>
      <c r="O122" s="669"/>
      <c r="P122" s="669"/>
      <c r="Q122" s="669"/>
      <c r="R122" s="669"/>
      <c r="S122" s="669"/>
      <c r="T122" s="544"/>
      <c r="U122" s="544"/>
      <c r="V122" s="2298"/>
      <c r="W122" s="1731"/>
    </row>
    <row r="123" spans="1:27" ht="3.95" customHeight="1">
      <c r="A123" s="1730"/>
      <c r="B123" s="1190"/>
      <c r="C123" s="672"/>
      <c r="D123" s="528"/>
      <c r="E123" s="528"/>
      <c r="F123" s="528"/>
      <c r="G123" s="528"/>
      <c r="H123" s="528"/>
      <c r="I123" s="528"/>
      <c r="J123" s="528"/>
      <c r="K123" s="528"/>
      <c r="L123" s="528"/>
      <c r="M123" s="528"/>
      <c r="N123" s="528"/>
      <c r="O123" s="528"/>
      <c r="P123" s="528"/>
      <c r="Q123" s="528"/>
      <c r="R123" s="528"/>
      <c r="S123" s="528"/>
      <c r="T123" s="527"/>
      <c r="U123" s="527"/>
      <c r="V123" s="1747"/>
      <c r="W123" s="1731"/>
    </row>
    <row r="124" spans="1:27" ht="18" customHeight="1">
      <c r="A124" s="1730"/>
      <c r="B124" s="529" t="s">
        <v>1148</v>
      </c>
      <c r="C124" s="672"/>
      <c r="D124" s="528"/>
      <c r="E124" s="528"/>
      <c r="F124" s="528"/>
      <c r="G124" s="528"/>
      <c r="H124" s="528"/>
      <c r="I124" s="528"/>
      <c r="J124" s="528"/>
      <c r="K124" s="528"/>
      <c r="L124" s="528"/>
      <c r="M124" s="528"/>
      <c r="N124" s="528"/>
      <c r="O124" s="528"/>
      <c r="P124" s="528"/>
      <c r="Q124" s="528"/>
      <c r="R124" s="528"/>
      <c r="S124" s="528"/>
      <c r="T124" s="527"/>
      <c r="U124" s="527"/>
      <c r="V124" s="1747"/>
      <c r="W124" s="1731"/>
    </row>
    <row r="125" spans="1:27" ht="3.95" customHeight="1">
      <c r="A125" s="1730"/>
      <c r="B125" s="1190"/>
      <c r="C125" s="672"/>
      <c r="D125" s="528"/>
      <c r="E125" s="528"/>
      <c r="F125" s="528"/>
      <c r="G125" s="528"/>
      <c r="H125" s="528"/>
      <c r="I125" s="528"/>
      <c r="J125" s="528"/>
      <c r="K125" s="528"/>
      <c r="L125" s="528"/>
      <c r="M125" s="528"/>
      <c r="N125" s="528"/>
      <c r="O125" s="528"/>
      <c r="P125" s="528"/>
      <c r="Q125" s="528"/>
      <c r="R125" s="528"/>
      <c r="S125" s="528"/>
      <c r="T125" s="527"/>
      <c r="U125" s="527"/>
      <c r="V125" s="1747"/>
      <c r="W125" s="1731"/>
    </row>
    <row r="126" spans="1:27" ht="18" customHeight="1">
      <c r="A126" s="1730"/>
      <c r="B126" s="1947" t="s">
        <v>1011</v>
      </c>
      <c r="C126" s="722" t="s">
        <v>1149</v>
      </c>
      <c r="D126" s="1948"/>
      <c r="E126" s="1948"/>
      <c r="F126" s="1948"/>
      <c r="G126" s="1948"/>
      <c r="H126" s="3780"/>
      <c r="I126" s="3780"/>
      <c r="J126" s="1948"/>
      <c r="K126" s="43" t="s">
        <v>2130</v>
      </c>
      <c r="L126" s="1948"/>
      <c r="M126" s="1948"/>
      <c r="N126" s="1948"/>
      <c r="O126" s="1948"/>
      <c r="R126" s="2870" t="str">
        <f>IF(ISBLANK(H126)," ",IF(H126="CBOD",N71,IF(H126="BOD",N35,IF(H126="TSS",N44,IF(H126="FOG",N56," ")))))</f>
        <v xml:space="preserve"> </v>
      </c>
      <c r="S126" s="2871"/>
      <c r="T126" s="8" t="s">
        <v>1089</v>
      </c>
      <c r="U126" s="527"/>
      <c r="V126" s="1747"/>
      <c r="W126" s="1731"/>
      <c r="Y126" s="2269" t="s">
        <v>2131</v>
      </c>
    </row>
    <row r="127" spans="1:27" ht="3.95" customHeight="1">
      <c r="A127" s="1730"/>
      <c r="B127" s="1190"/>
      <c r="C127" s="672"/>
      <c r="D127" s="528"/>
      <c r="E127" s="528"/>
      <c r="F127" s="528"/>
      <c r="G127" s="528"/>
      <c r="H127" s="528"/>
      <c r="I127" s="528"/>
      <c r="J127" s="528"/>
      <c r="K127" s="528"/>
      <c r="L127" s="528"/>
      <c r="M127" s="528"/>
      <c r="N127" s="528"/>
      <c r="O127" s="528"/>
      <c r="P127" s="528"/>
      <c r="Q127" s="528"/>
      <c r="R127" s="528"/>
      <c r="S127" s="528"/>
      <c r="T127" s="527"/>
      <c r="U127" s="527"/>
      <c r="V127" s="1747"/>
      <c r="W127" s="1731"/>
    </row>
    <row r="128" spans="1:27" ht="18" customHeight="1">
      <c r="A128" s="1730"/>
      <c r="B128" s="2993" t="s">
        <v>1151</v>
      </c>
      <c r="C128" s="2993"/>
      <c r="D128" s="2993"/>
      <c r="E128" s="2993"/>
      <c r="F128" s="2993"/>
      <c r="G128" s="2993"/>
      <c r="H128" s="2993"/>
      <c r="I128" s="2993"/>
      <c r="J128" s="2993"/>
      <c r="K128" s="2993"/>
      <c r="L128" s="2993"/>
      <c r="M128" s="2993"/>
      <c r="N128" s="2993"/>
      <c r="O128" s="2993"/>
      <c r="P128" s="2993"/>
      <c r="Q128" s="2993"/>
      <c r="R128" s="2993"/>
      <c r="S128" s="528"/>
      <c r="T128" s="527"/>
      <c r="U128" s="527"/>
      <c r="V128" s="1747"/>
      <c r="W128" s="1731"/>
    </row>
    <row r="129" spans="1:26" ht="3.95" customHeight="1">
      <c r="A129" s="1730"/>
      <c r="B129" s="1190"/>
      <c r="C129" s="672"/>
      <c r="D129" s="528"/>
      <c r="E129" s="528"/>
      <c r="F129" s="528"/>
      <c r="G129" s="528"/>
      <c r="H129" s="528"/>
      <c r="I129" s="528"/>
      <c r="J129" s="528"/>
      <c r="K129" s="528"/>
      <c r="L129" s="528"/>
      <c r="M129" s="528"/>
      <c r="N129" s="528"/>
      <c r="O129" s="528"/>
      <c r="P129" s="528"/>
      <c r="Q129" s="528"/>
      <c r="R129" s="528"/>
      <c r="S129" s="528"/>
      <c r="T129" s="527"/>
      <c r="U129" s="527"/>
      <c r="V129" s="1747"/>
      <c r="W129" s="1731"/>
    </row>
    <row r="130" spans="1:26" ht="18" customHeight="1">
      <c r="A130" s="1730"/>
      <c r="B130" s="1947" t="s">
        <v>1011</v>
      </c>
      <c r="C130" s="1" t="s">
        <v>1152</v>
      </c>
      <c r="D130" s="1"/>
      <c r="E130" s="1"/>
      <c r="F130" s="1"/>
      <c r="G130" s="1"/>
      <c r="H130" s="2938"/>
      <c r="I130" s="3781"/>
      <c r="J130" s="3781"/>
      <c r="K130" s="2939"/>
      <c r="L130" s="1943"/>
      <c r="M130" s="2868" t="s">
        <v>1153</v>
      </c>
      <c r="N130" s="2868"/>
      <c r="O130" s="2868"/>
      <c r="P130" s="2868"/>
      <c r="Q130" s="2868"/>
      <c r="R130" s="2868"/>
      <c r="S130" s="3780"/>
      <c r="T130" s="3780"/>
      <c r="U130" s="3780"/>
      <c r="V130" s="1747"/>
      <c r="W130" s="1731"/>
    </row>
    <row r="131" spans="1:26" ht="3.95" customHeight="1">
      <c r="A131" s="1730"/>
      <c r="B131" s="1190"/>
      <c r="C131" s="672"/>
      <c r="D131" s="528"/>
      <c r="E131" s="528"/>
      <c r="F131" s="528"/>
      <c r="G131" s="528"/>
      <c r="H131" s="528"/>
      <c r="I131" s="528"/>
      <c r="J131" s="528"/>
      <c r="K131" s="528"/>
      <c r="L131" s="528"/>
      <c r="M131" s="528"/>
      <c r="N131" s="528"/>
      <c r="O131" s="528"/>
      <c r="P131" s="528"/>
      <c r="Q131" s="528"/>
      <c r="R131" s="528"/>
      <c r="S131" s="528"/>
      <c r="T131" s="527"/>
      <c r="U131" s="527"/>
      <c r="V131" s="1747"/>
      <c r="W131" s="1731"/>
    </row>
    <row r="132" spans="1:26" ht="15" customHeight="1">
      <c r="A132" s="1730"/>
      <c r="B132" s="1190"/>
      <c r="C132" s="1556" t="s">
        <v>2132</v>
      </c>
      <c r="D132" s="528"/>
      <c r="E132" s="528"/>
      <c r="F132" s="528"/>
      <c r="G132" s="528"/>
      <c r="H132" s="528"/>
      <c r="I132" s="528"/>
      <c r="J132" s="528"/>
      <c r="K132" s="528"/>
      <c r="L132" s="528"/>
      <c r="M132" s="528"/>
      <c r="N132" s="528"/>
      <c r="O132" s="528"/>
      <c r="P132" s="528"/>
      <c r="Q132" s="528"/>
      <c r="R132" s="528"/>
      <c r="S132" s="528"/>
      <c r="T132" s="527"/>
      <c r="U132" s="527"/>
      <c r="V132" s="1747"/>
      <c r="W132" s="1731"/>
      <c r="Z132" s="2269"/>
    </row>
    <row r="133" spans="1:26" ht="16.5" customHeight="1">
      <c r="A133" s="1730"/>
      <c r="B133" s="1190"/>
      <c r="C133" s="672"/>
      <c r="D133" s="528"/>
      <c r="E133" s="528"/>
      <c r="F133" s="528"/>
      <c r="G133" s="1190" t="s">
        <v>1154</v>
      </c>
      <c r="H133" s="3782"/>
      <c r="I133" s="3783"/>
      <c r="J133" s="3783"/>
      <c r="K133" s="3783"/>
      <c r="L133" s="3783"/>
      <c r="M133" s="3783"/>
      <c r="N133" s="3783"/>
      <c r="O133" s="3783"/>
      <c r="P133" s="3784"/>
      <c r="Q133" s="528" t="s">
        <v>2133</v>
      </c>
      <c r="R133" s="528"/>
      <c r="S133" s="528"/>
      <c r="T133" s="527"/>
      <c r="U133" s="527"/>
      <c r="V133" s="1747"/>
      <c r="W133" s="1731"/>
      <c r="Z133" s="2269"/>
    </row>
    <row r="134" spans="1:26" ht="3.95" customHeight="1">
      <c r="A134" s="1730"/>
      <c r="B134" s="1190"/>
      <c r="C134" s="672"/>
      <c r="D134" s="528"/>
      <c r="E134" s="528"/>
      <c r="F134" s="528"/>
      <c r="G134" s="1190"/>
      <c r="H134" s="1748"/>
      <c r="I134" s="1748"/>
      <c r="J134" s="1748"/>
      <c r="K134" s="1748"/>
      <c r="L134" s="1748"/>
      <c r="M134" s="1748"/>
      <c r="N134" s="1748"/>
      <c r="O134" s="1748"/>
      <c r="P134" s="1748"/>
      <c r="Q134" s="528"/>
      <c r="R134" s="528"/>
      <c r="S134" s="528"/>
      <c r="T134" s="527"/>
      <c r="U134" s="527"/>
      <c r="V134" s="1747"/>
      <c r="W134" s="1731"/>
      <c r="Z134" s="2269"/>
    </row>
    <row r="135" spans="1:26">
      <c r="A135" s="1730"/>
      <c r="B135" s="1190"/>
      <c r="C135" s="672"/>
      <c r="D135" s="528"/>
      <c r="E135" s="528"/>
      <c r="F135" s="528"/>
      <c r="G135" s="1190" t="s">
        <v>1156</v>
      </c>
      <c r="H135" s="2878"/>
      <c r="I135" s="2878"/>
      <c r="J135" s="2878"/>
      <c r="K135" s="2878"/>
      <c r="L135" s="1748"/>
      <c r="M135" s="1749" t="s">
        <v>1157</v>
      </c>
      <c r="N135" s="3625"/>
      <c r="O135" s="3626"/>
      <c r="P135" s="1748"/>
      <c r="Q135" s="528"/>
      <c r="R135" s="528"/>
      <c r="S135" s="528"/>
      <c r="T135" s="527"/>
      <c r="U135" s="527"/>
      <c r="V135" s="1747"/>
      <c r="W135" s="1731"/>
      <c r="Z135" s="2269"/>
    </row>
    <row r="136" spans="1:26" ht="9.9499999999999993" customHeight="1">
      <c r="A136" s="1730"/>
      <c r="B136" s="1190"/>
      <c r="C136" s="672"/>
      <c r="D136" s="528"/>
      <c r="E136" s="528"/>
      <c r="F136" s="528"/>
      <c r="G136" s="528"/>
      <c r="H136" s="528"/>
      <c r="I136" s="528"/>
      <c r="J136" s="528"/>
      <c r="K136" s="528"/>
      <c r="L136" s="528"/>
      <c r="M136" s="528"/>
      <c r="N136" s="528"/>
      <c r="O136" s="528"/>
      <c r="P136" s="528"/>
      <c r="Q136" s="528"/>
      <c r="R136" s="528"/>
      <c r="S136" s="528"/>
      <c r="T136" s="527"/>
      <c r="U136" s="527"/>
      <c r="V136" s="1747"/>
      <c r="W136" s="1731"/>
    </row>
    <row r="137" spans="1:26" ht="16.5" customHeight="1">
      <c r="A137" s="1730"/>
      <c r="B137" s="528"/>
      <c r="C137" s="528"/>
      <c r="D137" s="1593"/>
      <c r="E137" s="1593"/>
      <c r="F137" s="1593"/>
      <c r="G137" s="1190" t="s">
        <v>1158</v>
      </c>
      <c r="H137" s="3782"/>
      <c r="I137" s="3783"/>
      <c r="J137" s="3783"/>
      <c r="K137" s="3783"/>
      <c r="L137" s="3783"/>
      <c r="M137" s="3783"/>
      <c r="N137" s="3783"/>
      <c r="O137" s="3783"/>
      <c r="P137" s="3784"/>
      <c r="Q137" s="528" t="s">
        <v>1159</v>
      </c>
      <c r="R137" s="528"/>
      <c r="S137" s="528"/>
      <c r="T137" s="1203"/>
      <c r="U137" s="1203"/>
      <c r="V137" s="1747"/>
      <c r="W137" s="1731"/>
    </row>
    <row r="138" spans="1:26" ht="3.95" customHeight="1">
      <c r="A138" s="1730"/>
      <c r="B138" s="1190"/>
      <c r="C138" s="672"/>
      <c r="D138" s="528"/>
      <c r="E138" s="528"/>
      <c r="F138" s="528"/>
      <c r="G138" s="1190"/>
      <c r="H138" s="1748"/>
      <c r="I138" s="1748"/>
      <c r="J138" s="1748"/>
      <c r="K138" s="1748"/>
      <c r="L138" s="1748"/>
      <c r="M138" s="1748"/>
      <c r="N138" s="1748"/>
      <c r="O138" s="1748"/>
      <c r="P138" s="1748"/>
      <c r="Q138" s="528"/>
      <c r="R138" s="528"/>
      <c r="S138" s="528"/>
      <c r="T138" s="527"/>
      <c r="U138" s="527"/>
      <c r="V138" s="1747"/>
      <c r="W138" s="1731"/>
    </row>
    <row r="139" spans="1:26">
      <c r="A139" s="1730"/>
      <c r="B139" s="1190"/>
      <c r="C139" s="672"/>
      <c r="D139" s="528"/>
      <c r="E139" s="528"/>
      <c r="F139" s="528"/>
      <c r="G139" s="1190" t="s">
        <v>1156</v>
      </c>
      <c r="H139" s="2878"/>
      <c r="I139" s="2878"/>
      <c r="J139" s="2878"/>
      <c r="K139" s="2878"/>
      <c r="L139" s="1748"/>
      <c r="M139" s="1749" t="s">
        <v>1157</v>
      </c>
      <c r="N139" s="3625"/>
      <c r="O139" s="3626"/>
      <c r="P139" s="1748"/>
      <c r="Q139" s="528"/>
      <c r="R139" s="528"/>
      <c r="S139" s="528"/>
      <c r="T139" s="527"/>
      <c r="U139" s="527"/>
      <c r="V139" s="1747"/>
      <c r="W139" s="1731"/>
    </row>
    <row r="140" spans="1:26" ht="9.9499999999999993" customHeight="1">
      <c r="A140" s="1730"/>
      <c r="B140" s="1190"/>
      <c r="C140" s="672"/>
      <c r="D140" s="528"/>
      <c r="E140" s="528"/>
      <c r="F140" s="528"/>
      <c r="G140" s="528"/>
      <c r="H140" s="528"/>
      <c r="I140" s="528"/>
      <c r="J140" s="528"/>
      <c r="K140" s="528"/>
      <c r="L140" s="528"/>
      <c r="M140" s="528"/>
      <c r="N140" s="528"/>
      <c r="O140" s="528"/>
      <c r="P140" s="528"/>
      <c r="Q140" s="528"/>
      <c r="R140" s="528"/>
      <c r="S140" s="528"/>
      <c r="T140" s="527"/>
      <c r="U140" s="527"/>
      <c r="V140" s="1747"/>
      <c r="W140" s="1731"/>
    </row>
    <row r="141" spans="1:26">
      <c r="A141" s="1730"/>
      <c r="B141" s="1746" t="s">
        <v>493</v>
      </c>
      <c r="C141" s="1745" t="s">
        <v>1160</v>
      </c>
      <c r="D141" s="1396"/>
      <c r="E141" s="1396"/>
      <c r="F141" s="1396"/>
      <c r="G141" s="1396"/>
      <c r="H141" s="1396"/>
      <c r="I141" s="1396"/>
      <c r="J141" s="1396"/>
      <c r="K141" s="1396"/>
      <c r="L141" s="1396"/>
      <c r="M141" s="1396"/>
      <c r="N141" s="1396"/>
      <c r="O141" s="1396"/>
      <c r="P141" s="1396"/>
      <c r="Q141" s="1396"/>
      <c r="R141" s="1396"/>
      <c r="S141" s="1396"/>
      <c r="T141" s="1744"/>
      <c r="U141" s="1863"/>
      <c r="W141" s="1731"/>
    </row>
    <row r="142" spans="1:26" ht="3.95" customHeight="1">
      <c r="A142" s="1730"/>
      <c r="B142" s="1555"/>
      <c r="C142" s="672"/>
      <c r="D142" s="528"/>
      <c r="E142" s="528"/>
      <c r="F142" s="528"/>
      <c r="G142" s="528"/>
      <c r="H142" s="528"/>
      <c r="I142" s="528"/>
      <c r="J142" s="528"/>
      <c r="K142" s="528"/>
      <c r="L142" s="528"/>
      <c r="M142" s="528"/>
      <c r="N142" s="528"/>
      <c r="O142" s="528"/>
      <c r="P142" s="528"/>
      <c r="Q142" s="528"/>
      <c r="R142" s="528"/>
      <c r="S142" s="528"/>
      <c r="T142" s="1203"/>
      <c r="U142" s="1203"/>
      <c r="W142" s="1731"/>
    </row>
    <row r="143" spans="1:26" ht="62.25" customHeight="1">
      <c r="A143" s="1730"/>
      <c r="B143" s="3759"/>
      <c r="C143" s="3760"/>
      <c r="D143" s="3760"/>
      <c r="E143" s="3760"/>
      <c r="F143" s="3760"/>
      <c r="G143" s="3760"/>
      <c r="H143" s="3760"/>
      <c r="I143" s="3760"/>
      <c r="J143" s="3760"/>
      <c r="K143" s="3760"/>
      <c r="L143" s="3760"/>
      <c r="M143" s="3760"/>
      <c r="N143" s="3760"/>
      <c r="O143" s="3760"/>
      <c r="P143" s="3760"/>
      <c r="Q143" s="3760"/>
      <c r="R143" s="3760"/>
      <c r="S143" s="3760"/>
      <c r="T143" s="3760"/>
      <c r="U143" s="3761"/>
      <c r="W143" s="1731"/>
    </row>
    <row r="144" spans="1:26">
      <c r="A144" s="1730"/>
      <c r="B144" s="3762"/>
      <c r="C144" s="3763"/>
      <c r="D144" s="3763"/>
      <c r="E144" s="3763"/>
      <c r="F144" s="3763"/>
      <c r="G144" s="3763"/>
      <c r="H144" s="3763"/>
      <c r="I144" s="3763"/>
      <c r="J144" s="3763"/>
      <c r="K144" s="3763"/>
      <c r="L144" s="3763"/>
      <c r="M144" s="3763"/>
      <c r="N144" s="3763"/>
      <c r="O144" s="3763"/>
      <c r="P144" s="3763"/>
      <c r="Q144" s="3763"/>
      <c r="R144" s="3763"/>
      <c r="S144" s="3763"/>
      <c r="T144" s="3763"/>
      <c r="U144" s="3764"/>
      <c r="W144" s="1731"/>
    </row>
    <row r="145" spans="1:23">
      <c r="A145" s="1730"/>
      <c r="W145" s="1731"/>
    </row>
    <row r="146" spans="1:23" ht="15.75" thickBot="1">
      <c r="A146" s="1743"/>
      <c r="B146" s="1742"/>
      <c r="C146" s="1742"/>
      <c r="D146" s="1742"/>
      <c r="E146" s="1742"/>
      <c r="F146" s="1742"/>
      <c r="G146" s="1742"/>
      <c r="H146" s="1742"/>
      <c r="I146" s="1742"/>
      <c r="J146" s="1742"/>
      <c r="K146" s="1742"/>
      <c r="L146" s="1742"/>
      <c r="M146" s="1742"/>
      <c r="N146" s="1742"/>
      <c r="O146" s="1742"/>
      <c r="P146" s="1742"/>
      <c r="Q146" s="1742"/>
      <c r="R146" s="1742"/>
      <c r="S146" s="1742"/>
      <c r="T146" s="1742"/>
      <c r="U146" s="1742"/>
      <c r="V146" s="1742"/>
      <c r="W146" s="1741"/>
    </row>
  </sheetData>
  <sheetProtection sheet="1" objects="1" scenarios="1"/>
  <mergeCells count="158">
    <mergeCell ref="S130:U130"/>
    <mergeCell ref="H139:K139"/>
    <mergeCell ref="N139:O139"/>
    <mergeCell ref="I4:V4"/>
    <mergeCell ref="T80:U80"/>
    <mergeCell ref="P78:Q78"/>
    <mergeCell ref="N135:O135"/>
    <mergeCell ref="H135:K135"/>
    <mergeCell ref="N121:O121"/>
    <mergeCell ref="T12:U12"/>
    <mergeCell ref="I40:M40"/>
    <mergeCell ref="N101:O101"/>
    <mergeCell ref="N91:O91"/>
    <mergeCell ref="H133:P133"/>
    <mergeCell ref="H137:P137"/>
    <mergeCell ref="I89:N89"/>
    <mergeCell ref="P89:Q89"/>
    <mergeCell ref="G68:H68"/>
    <mergeCell ref="I68:M68"/>
    <mergeCell ref="S10:T10"/>
    <mergeCell ref="I116:N116"/>
    <mergeCell ref="I119:N119"/>
    <mergeCell ref="J59:M59"/>
    <mergeCell ref="G32:H32"/>
    <mergeCell ref="C106:D106"/>
    <mergeCell ref="E106:F106"/>
    <mergeCell ref="G106:H106"/>
    <mergeCell ref="P106:Q106"/>
    <mergeCell ref="H126:I126"/>
    <mergeCell ref="R126:S126"/>
    <mergeCell ref="B128:R128"/>
    <mergeCell ref="H130:K130"/>
    <mergeCell ref="M130:R130"/>
    <mergeCell ref="C119:D119"/>
    <mergeCell ref="E119:F119"/>
    <mergeCell ref="G119:H119"/>
    <mergeCell ref="P119:Q119"/>
    <mergeCell ref="N111:O111"/>
    <mergeCell ref="C116:D116"/>
    <mergeCell ref="E116:F116"/>
    <mergeCell ref="G116:H116"/>
    <mergeCell ref="I106:N106"/>
    <mergeCell ref="C109:D109"/>
    <mergeCell ref="E109:F109"/>
    <mergeCell ref="G109:H109"/>
    <mergeCell ref="P109:Q109"/>
    <mergeCell ref="I109:N109"/>
    <mergeCell ref="P116:Q116"/>
    <mergeCell ref="N68:O68"/>
    <mergeCell ref="S73:T73"/>
    <mergeCell ref="J71:M71"/>
    <mergeCell ref="C96:D96"/>
    <mergeCell ref="E96:F96"/>
    <mergeCell ref="G96:H96"/>
    <mergeCell ref="P96:Q96"/>
    <mergeCell ref="I96:N96"/>
    <mergeCell ref="I99:N99"/>
    <mergeCell ref="C76:V76"/>
    <mergeCell ref="G86:H86"/>
    <mergeCell ref="P86:Q86"/>
    <mergeCell ref="C89:D89"/>
    <mergeCell ref="E89:F89"/>
    <mergeCell ref="G89:H89"/>
    <mergeCell ref="R80:S80"/>
    <mergeCell ref="I86:N86"/>
    <mergeCell ref="C99:D99"/>
    <mergeCell ref="E99:F99"/>
    <mergeCell ref="G99:H99"/>
    <mergeCell ref="P99:Q99"/>
    <mergeCell ref="E80:F80"/>
    <mergeCell ref="I80:J80"/>
    <mergeCell ref="O80:P80"/>
    <mergeCell ref="G1:P1"/>
    <mergeCell ref="J2:L2"/>
    <mergeCell ref="M2:R2"/>
    <mergeCell ref="C71:D71"/>
    <mergeCell ref="E71:F71"/>
    <mergeCell ref="G71:I71"/>
    <mergeCell ref="N56:O56"/>
    <mergeCell ref="R56:S56"/>
    <mergeCell ref="E40:F40"/>
    <mergeCell ref="G40:H40"/>
    <mergeCell ref="C32:D32"/>
    <mergeCell ref="G52:H52"/>
    <mergeCell ref="I52:M52"/>
    <mergeCell ref="N52:O52"/>
    <mergeCell ref="G44:H44"/>
    <mergeCell ref="I44:M44"/>
    <mergeCell ref="N44:O44"/>
    <mergeCell ref="G6:J6"/>
    <mergeCell ref="O14:Q14"/>
    <mergeCell ref="I12:J12"/>
    <mergeCell ref="C59:D59"/>
    <mergeCell ref="E59:F59"/>
    <mergeCell ref="G59:I59"/>
    <mergeCell ref="N59:O59"/>
    <mergeCell ref="B143:U144"/>
    <mergeCell ref="C20:J20"/>
    <mergeCell ref="Q21:R21"/>
    <mergeCell ref="I23:J23"/>
    <mergeCell ref="Q23:R23"/>
    <mergeCell ref="C86:D86"/>
    <mergeCell ref="E86:F86"/>
    <mergeCell ref="C64:D64"/>
    <mergeCell ref="E64:F64"/>
    <mergeCell ref="G64:H64"/>
    <mergeCell ref="I64:M64"/>
    <mergeCell ref="N64:O64"/>
    <mergeCell ref="G56:H56"/>
    <mergeCell ref="I56:M56"/>
    <mergeCell ref="I78:O78"/>
    <mergeCell ref="I21:J21"/>
    <mergeCell ref="C28:D28"/>
    <mergeCell ref="C40:D40"/>
    <mergeCell ref="G35:I35"/>
    <mergeCell ref="N35:O35"/>
    <mergeCell ref="C44:D44"/>
    <mergeCell ref="N71:O71"/>
    <mergeCell ref="R68:S68"/>
    <mergeCell ref="C68:D68"/>
    <mergeCell ref="C56:D56"/>
    <mergeCell ref="C52:D52"/>
    <mergeCell ref="E52:F52"/>
    <mergeCell ref="I32:M32"/>
    <mergeCell ref="N32:O32"/>
    <mergeCell ref="E47:F47"/>
    <mergeCell ref="G47:I47"/>
    <mergeCell ref="N47:O47"/>
    <mergeCell ref="C47:D47"/>
    <mergeCell ref="C35:D35"/>
    <mergeCell ref="E35:F35"/>
    <mergeCell ref="N40:O40"/>
    <mergeCell ref="J47:M47"/>
    <mergeCell ref="J35:M35"/>
    <mergeCell ref="R32:S32"/>
    <mergeCell ref="R44:S44"/>
    <mergeCell ref="B4:H4"/>
    <mergeCell ref="AA2:AC2"/>
    <mergeCell ref="B12:C12"/>
    <mergeCell ref="B10:D10"/>
    <mergeCell ref="L12:N12"/>
    <mergeCell ref="G18:K18"/>
    <mergeCell ref="E10:F10"/>
    <mergeCell ref="D12:E12"/>
    <mergeCell ref="R12:S12"/>
    <mergeCell ref="B14:F14"/>
    <mergeCell ref="Y6:Y7"/>
    <mergeCell ref="Z6:Z7"/>
    <mergeCell ref="AA6:AA7"/>
    <mergeCell ref="S2:V2"/>
    <mergeCell ref="E28:F28"/>
    <mergeCell ref="G28:H28"/>
    <mergeCell ref="I28:M28"/>
    <mergeCell ref="N28:O28"/>
    <mergeCell ref="O12:P12"/>
    <mergeCell ref="L10:M10"/>
    <mergeCell ref="H10:K10"/>
    <mergeCell ref="G14:H14"/>
  </mergeCells>
  <dataValidations count="3">
    <dataValidation type="list" allowBlank="1" showInputMessage="1" sqref="G18:G19 G21" xr:uid="{2286FF11-C0E6-4850-9206-5428634CC76B}">
      <formula1>SoilTexture7080</formula1>
    </dataValidation>
    <dataValidation type="list" allowBlank="1" showInputMessage="1" showErrorMessage="1" sqref="E82:E83 P78" xr:uid="{DABA4B9B-3BB6-4872-8006-A7EEBAF13097}">
      <formula1>TreatmentLevel</formula1>
    </dataValidation>
    <dataValidation type="list" allowBlank="1" showInputMessage="1" showErrorMessage="1" promptTitle="Treatment Level" prompt="What level will be achieved with technology?" sqref="S130:U130" xr:uid="{C830AFC3-E9EE-4145-B314-310791D443F9}">
      <formula1>TreatmentLevel</formula1>
    </dataValidation>
  </dataValidations>
  <printOptions horizontalCentered="1"/>
  <pageMargins left="0.25" right="0.25" top="0.25" bottom="0.25" header="0.3" footer="0.05"/>
  <pageSetup scale="85" orientation="portrait" r:id="rId1"/>
  <rowBreaks count="1" manualBreakCount="1">
    <brk id="74" max="22" man="1"/>
  </rowBreaks>
  <ignoredErrors>
    <ignoredError sqref="B76 B70 B66 B62 B58 B54 B50 B46 B42 B38 B34 B30 B26" numberStoredAsText="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9BB85E3-1BFC-4B86-9087-441A155D2937}">
          <x14:formula1>
            <xm:f>'Drop-Down Lists'!$CB$2:$CB$4</xm:f>
          </x14:formula1>
          <xm:sqref>H130:K130</xm:sqref>
        </x14:dataValidation>
        <x14:dataValidation type="list" allowBlank="1" showInputMessage="1" showErrorMessage="1" xr:uid="{15E56FFA-403A-49F5-95AA-74894362CBFC}">
          <x14:formula1>
            <xm:f>'Drop-Down Lists'!$BY$2:$BY$5</xm:f>
          </x14:formula1>
          <xm:sqref>H126:I126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7954-C12C-465A-AFAD-B1787BABC5DC}">
  <sheetPr>
    <tabColor rgb="FFFF6600"/>
  </sheetPr>
  <dimension ref="A1:AA311"/>
  <sheetViews>
    <sheetView showGridLines="0" showZeros="0" view="pageBreakPreview" topLeftCell="A25" zoomScaleNormal="100" zoomScaleSheetLayoutView="100" workbookViewId="0">
      <selection activeCell="J45" sqref="J45:U45"/>
    </sheetView>
  </sheetViews>
  <sheetFormatPr defaultColWidth="9.140625" defaultRowHeight="16.5"/>
  <cols>
    <col min="1" max="1" width="3.42578125" style="2222" customWidth="1"/>
    <col min="2" max="20" width="6.42578125" style="2222" customWidth="1"/>
    <col min="21" max="21" width="9.42578125" style="2222" customWidth="1"/>
    <col min="22" max="16384" width="9.140625" style="2222"/>
  </cols>
  <sheetData>
    <row r="1" spans="1:23" ht="54.95" customHeight="1">
      <c r="E1" s="3797" t="s">
        <v>1524</v>
      </c>
      <c r="F1" s="3797"/>
      <c r="G1" s="3797"/>
      <c r="H1" s="3797"/>
      <c r="I1" s="3797"/>
      <c r="J1" s="3797"/>
      <c r="K1" s="3797"/>
      <c r="L1" s="3797"/>
      <c r="M1" s="3797"/>
      <c r="N1" s="3797"/>
      <c r="O1" s="3797"/>
      <c r="P1" s="3797"/>
    </row>
    <row r="2" spans="1:23" ht="15" customHeight="1">
      <c r="A2" s="2223" t="s">
        <v>1525</v>
      </c>
      <c r="B2" s="2224"/>
      <c r="C2" s="2224"/>
      <c r="D2" s="2224"/>
      <c r="E2" s="2224"/>
      <c r="F2" s="2224"/>
      <c r="G2" s="2224"/>
      <c r="H2" s="2224"/>
      <c r="I2" s="3798" t="s">
        <v>1164</v>
      </c>
      <c r="J2" s="3798"/>
      <c r="K2" s="3799" t="s">
        <v>977</v>
      </c>
      <c r="L2" s="3799"/>
      <c r="M2" s="2224"/>
      <c r="N2" s="2224"/>
      <c r="O2" s="2224"/>
      <c r="P2" s="2224"/>
      <c r="Q2" s="2224"/>
      <c r="R2" s="2224"/>
      <c r="S2" s="2224"/>
      <c r="T2" s="2224"/>
      <c r="U2" s="2225" t="s">
        <v>2164</v>
      </c>
    </row>
    <row r="3" spans="1:23" ht="6" customHeight="1">
      <c r="A3" s="2226"/>
      <c r="U3" s="2227"/>
    </row>
    <row r="4" spans="1:23" ht="19.5" customHeight="1">
      <c r="A4" s="2226" t="s">
        <v>1011</v>
      </c>
      <c r="B4" s="2228" t="s">
        <v>582</v>
      </c>
      <c r="E4" s="3800"/>
      <c r="F4" s="3801"/>
      <c r="G4" s="2222" t="s">
        <v>583</v>
      </c>
      <c r="U4" s="2227"/>
    </row>
    <row r="5" spans="1:23" ht="6" customHeight="1">
      <c r="A5" s="2226"/>
      <c r="U5" s="2227"/>
    </row>
    <row r="6" spans="1:23" ht="15" customHeight="1">
      <c r="A6" s="3794" t="s">
        <v>1526</v>
      </c>
      <c r="B6" s="3795"/>
      <c r="C6" s="3795"/>
      <c r="D6" s="3795"/>
      <c r="E6" s="3795"/>
      <c r="F6" s="3795"/>
      <c r="G6" s="3795"/>
      <c r="H6" s="3795"/>
      <c r="I6" s="3795"/>
      <c r="J6" s="3795"/>
      <c r="K6" s="3795"/>
      <c r="L6" s="3795"/>
      <c r="M6" s="3795"/>
      <c r="N6" s="3795"/>
      <c r="O6" s="3795"/>
      <c r="P6" s="3795"/>
      <c r="Q6" s="3795"/>
      <c r="R6" s="3795"/>
      <c r="S6" s="3795"/>
      <c r="T6" s="3795"/>
      <c r="U6" s="3796"/>
    </row>
    <row r="7" spans="1:23" ht="6" customHeight="1">
      <c r="A7" s="2226"/>
      <c r="U7" s="2227"/>
    </row>
    <row r="8" spans="1:23" ht="19.5" customHeight="1">
      <c r="A8" s="2226" t="s">
        <v>1011</v>
      </c>
      <c r="B8" s="2228" t="s">
        <v>1527</v>
      </c>
      <c r="F8" s="3790" t="str">
        <f>IF(ISBLANK(E4), " ", 'Design Details &amp; Summary'!G94)</f>
        <v xml:space="preserve"> </v>
      </c>
      <c r="G8" s="3791"/>
      <c r="H8" s="2228" t="s">
        <v>762</v>
      </c>
      <c r="U8" s="2227"/>
      <c r="W8" s="2229"/>
    </row>
    <row r="9" spans="1:23" ht="6" customHeight="1">
      <c r="A9" s="2226"/>
      <c r="U9" s="2227"/>
    </row>
    <row r="10" spans="1:23" ht="19.5" customHeight="1">
      <c r="A10" s="2226" t="s">
        <v>1019</v>
      </c>
      <c r="B10" s="2228" t="s">
        <v>1528</v>
      </c>
      <c r="E10" s="2323"/>
      <c r="F10" s="3785"/>
      <c r="G10" s="3786"/>
      <c r="H10" s="2228" t="s">
        <v>762</v>
      </c>
      <c r="U10" s="2227"/>
    </row>
    <row r="11" spans="1:23" ht="6" customHeight="1">
      <c r="A11" s="2226"/>
      <c r="U11" s="2227"/>
    </row>
    <row r="12" spans="1:23" ht="19.5" customHeight="1">
      <c r="A12" s="2226" t="s">
        <v>1529</v>
      </c>
      <c r="B12" s="2228" t="s">
        <v>669</v>
      </c>
      <c r="F12" s="3787"/>
      <c r="G12" s="3787"/>
      <c r="H12" s="3787"/>
      <c r="I12" s="3787"/>
      <c r="J12" s="1940"/>
      <c r="U12" s="2227"/>
    </row>
    <row r="13" spans="1:23" ht="6" customHeight="1">
      <c r="A13" s="2226"/>
      <c r="U13" s="2227"/>
    </row>
    <row r="14" spans="1:23" ht="19.5" customHeight="1">
      <c r="A14" s="2226" t="s">
        <v>1172</v>
      </c>
      <c r="B14" s="2228" t="s">
        <v>1530</v>
      </c>
      <c r="G14" s="3788" t="str">
        <f>IF(ISBLANK(E4),"",'Design Details &amp; Summary'!G104)</f>
        <v/>
      </c>
      <c r="H14" s="3789"/>
      <c r="I14" s="2228" t="s">
        <v>1531</v>
      </c>
      <c r="U14" s="2227"/>
      <c r="W14" s="2230" t="s">
        <v>2165</v>
      </c>
    </row>
    <row r="15" spans="1:23" ht="6" customHeight="1">
      <c r="A15" s="2226"/>
      <c r="U15" s="2227"/>
    </row>
    <row r="16" spans="1:23" ht="19.5" customHeight="1">
      <c r="A16" s="2226" t="s">
        <v>1177</v>
      </c>
      <c r="B16" s="2228" t="s">
        <v>1171</v>
      </c>
      <c r="F16" s="3790" t="str">
        <f>IF(ISBLANK(E4),"",'Design Details &amp; Summary'!G106)</f>
        <v/>
      </c>
      <c r="G16" s="3791"/>
      <c r="H16" s="2228" t="s">
        <v>1315</v>
      </c>
      <c r="U16" s="2227"/>
    </row>
    <row r="17" spans="1:23" ht="6" customHeight="1">
      <c r="A17" s="2226"/>
      <c r="U17" s="2227"/>
    </row>
    <row r="18" spans="1:23" ht="19.5" customHeight="1">
      <c r="A18" s="2226" t="s">
        <v>1179</v>
      </c>
      <c r="B18" s="2228" t="s">
        <v>2166</v>
      </c>
      <c r="E18" s="2231"/>
      <c r="F18" s="3792"/>
      <c r="G18" s="3793"/>
      <c r="U18" s="2227"/>
    </row>
    <row r="19" spans="1:23" ht="6" customHeight="1">
      <c r="A19" s="2226"/>
      <c r="U19" s="2227"/>
    </row>
    <row r="20" spans="1:23" ht="15" customHeight="1">
      <c r="A20" s="3794" t="s">
        <v>1534</v>
      </c>
      <c r="B20" s="3795"/>
      <c r="C20" s="3795"/>
      <c r="D20" s="3795"/>
      <c r="E20" s="3795"/>
      <c r="F20" s="3795"/>
      <c r="G20" s="3795"/>
      <c r="H20" s="3795"/>
      <c r="I20" s="3795"/>
      <c r="J20" s="3795"/>
      <c r="K20" s="3795"/>
      <c r="L20" s="3795"/>
      <c r="M20" s="3795"/>
      <c r="N20" s="3795"/>
      <c r="O20" s="3795"/>
      <c r="P20" s="3795"/>
      <c r="Q20" s="3795"/>
      <c r="R20" s="3795"/>
      <c r="S20" s="3795"/>
      <c r="T20" s="3795"/>
      <c r="U20" s="3796"/>
    </row>
    <row r="21" spans="1:23" ht="6" customHeight="1">
      <c r="A21" s="2226"/>
      <c r="U21" s="2227"/>
    </row>
    <row r="22" spans="1:23" ht="19.5" customHeight="1">
      <c r="A22" s="2226" t="s">
        <v>1011</v>
      </c>
      <c r="B22" s="2228" t="s">
        <v>1535</v>
      </c>
      <c r="E22" s="3808">
        <v>0.5</v>
      </c>
      <c r="F22" s="3809"/>
      <c r="G22" s="2228" t="s">
        <v>762</v>
      </c>
      <c r="I22" s="2228" t="s">
        <v>1536</v>
      </c>
      <c r="L22" s="3810">
        <v>1.2E-2</v>
      </c>
      <c r="M22" s="3811"/>
      <c r="N22" s="2222" t="s">
        <v>1537</v>
      </c>
      <c r="P22" s="3812" t="s">
        <v>2167</v>
      </c>
      <c r="Q22" s="3812"/>
      <c r="R22" s="3812"/>
      <c r="S22" s="3812"/>
      <c r="T22" s="3812"/>
      <c r="U22" s="2227"/>
    </row>
    <row r="23" spans="1:23" ht="6" customHeight="1">
      <c r="A23" s="2226"/>
      <c r="P23" s="3812"/>
      <c r="Q23" s="3812"/>
      <c r="R23" s="3812"/>
      <c r="S23" s="3812"/>
      <c r="T23" s="3812"/>
      <c r="U23" s="2227"/>
    </row>
    <row r="24" spans="1:23" ht="19.5" customHeight="1">
      <c r="A24" s="2226" t="s">
        <v>1019</v>
      </c>
      <c r="B24" s="2228" t="s">
        <v>1538</v>
      </c>
      <c r="E24" s="3810">
        <v>0.61</v>
      </c>
      <c r="F24" s="3811"/>
      <c r="G24" s="2228" t="s">
        <v>1539</v>
      </c>
      <c r="P24" s="3812"/>
      <c r="Q24" s="3812"/>
      <c r="R24" s="3812"/>
      <c r="S24" s="3812"/>
      <c r="T24" s="3812"/>
      <c r="U24" s="2227"/>
    </row>
    <row r="25" spans="1:23" ht="6" customHeight="1">
      <c r="A25" s="2226"/>
      <c r="U25" s="2227"/>
    </row>
    <row r="26" spans="1:23" ht="19.5" customHeight="1">
      <c r="A26" s="2226" t="s">
        <v>1168</v>
      </c>
      <c r="B26" s="2228" t="s">
        <v>2168</v>
      </c>
      <c r="K26" s="3790" t="str">
        <f>IF(ISBLANK(E4)," ",E4)</f>
        <v xml:space="preserve"> </v>
      </c>
      <c r="L26" s="3791"/>
      <c r="M26" s="2232" t="s">
        <v>1541</v>
      </c>
      <c r="N26" s="3790" t="str">
        <f>G14</f>
        <v/>
      </c>
      <c r="O26" s="3791"/>
      <c r="P26" s="3813" t="s">
        <v>1542</v>
      </c>
      <c r="Q26" s="3814"/>
      <c r="R26" s="3806" t="str">
        <f>IF(ISBLANK(F10),"",K26/N26)</f>
        <v/>
      </c>
      <c r="S26" s="3807"/>
      <c r="T26" s="2228" t="s">
        <v>1543</v>
      </c>
      <c r="U26" s="2227"/>
    </row>
    <row r="27" spans="1:23" ht="6" customHeight="1">
      <c r="A27" s="2226"/>
      <c r="U27" s="2227"/>
    </row>
    <row r="28" spans="1:23" ht="15" customHeight="1">
      <c r="A28" s="2226" t="s">
        <v>1172</v>
      </c>
      <c r="B28" s="2228" t="s">
        <v>2169</v>
      </c>
      <c r="U28" s="2227"/>
    </row>
    <row r="29" spans="1:23" ht="6" customHeight="1">
      <c r="A29" s="2226"/>
      <c r="U29" s="2227"/>
    </row>
    <row r="30" spans="1:23" ht="19.5" customHeight="1">
      <c r="A30" s="2226"/>
      <c r="B30" s="3790" t="str">
        <f>IF(ISBLANK(E4)," ",E4)</f>
        <v xml:space="preserve"> </v>
      </c>
      <c r="C30" s="3791"/>
      <c r="D30" s="2232" t="s">
        <v>1541</v>
      </c>
      <c r="E30" s="3790" t="str">
        <f>F16</f>
        <v/>
      </c>
      <c r="F30" s="3791"/>
      <c r="G30" s="2228" t="s">
        <v>1545</v>
      </c>
      <c r="I30" s="3802" t="str">
        <f>IF(ISBLANK(F10),"",B30/E30)</f>
        <v/>
      </c>
      <c r="J30" s="3803"/>
      <c r="K30" s="2228" t="s">
        <v>609</v>
      </c>
      <c r="U30" s="2227"/>
    </row>
    <row r="31" spans="1:23" ht="6" customHeight="1">
      <c r="A31" s="2226"/>
      <c r="U31" s="2227"/>
    </row>
    <row r="32" spans="1:23" ht="19.5" customHeight="1">
      <c r="A32" s="2226" t="s">
        <v>1177</v>
      </c>
      <c r="B32" s="2228" t="s">
        <v>2170</v>
      </c>
      <c r="P32" s="3804"/>
      <c r="Q32" s="3805"/>
      <c r="R32" s="2228" t="s">
        <v>609</v>
      </c>
      <c r="S32" s="2222" t="s">
        <v>2171</v>
      </c>
      <c r="U32" s="2227"/>
      <c r="W32" s="2222" t="s">
        <v>2172</v>
      </c>
    </row>
    <row r="33" spans="1:23" s="2235" customFormat="1" ht="15" customHeight="1">
      <c r="A33" s="2233"/>
      <c r="B33" s="2234" t="s">
        <v>1547</v>
      </c>
      <c r="U33" s="2236"/>
    </row>
    <row r="34" spans="1:23" ht="6" customHeight="1">
      <c r="A34" s="2226"/>
      <c r="U34" s="2227"/>
    </row>
    <row r="35" spans="1:23" ht="19.5" customHeight="1">
      <c r="A35" s="2226" t="s">
        <v>1179</v>
      </c>
      <c r="B35" s="2228" t="s">
        <v>1548</v>
      </c>
      <c r="L35" s="3806" t="str">
        <f>R26</f>
        <v/>
      </c>
      <c r="M35" s="3807"/>
      <c r="N35" s="2232" t="s">
        <v>1549</v>
      </c>
      <c r="O35" s="3790" t="str">
        <f>IF(ISBLANK(F10),"",P32)</f>
        <v/>
      </c>
      <c r="P35" s="3791"/>
      <c r="Q35" s="2237" t="s">
        <v>1240</v>
      </c>
      <c r="R35" s="3802" t="str">
        <f>IF(ISBLANK(F10),"",L35/O35)</f>
        <v/>
      </c>
      <c r="S35" s="3815"/>
      <c r="T35" s="2228" t="s">
        <v>609</v>
      </c>
      <c r="U35" s="2227"/>
    </row>
    <row r="36" spans="1:23" ht="6" customHeight="1">
      <c r="A36" s="2226"/>
      <c r="U36" s="2227"/>
    </row>
    <row r="37" spans="1:23" ht="19.5" customHeight="1">
      <c r="A37" s="2226" t="s">
        <v>1181</v>
      </c>
      <c r="B37" s="2228" t="s">
        <v>1550</v>
      </c>
      <c r="E37" s="3816"/>
      <c r="F37" s="3817"/>
      <c r="G37" s="2228" t="s">
        <v>609</v>
      </c>
      <c r="H37" s="2222" t="s">
        <v>2173</v>
      </c>
      <c r="U37" s="2227"/>
    </row>
    <row r="38" spans="1:23" ht="6" customHeight="1">
      <c r="A38" s="2226"/>
      <c r="U38" s="2227"/>
    </row>
    <row r="39" spans="1:23" ht="15" customHeight="1">
      <c r="A39" s="2226" t="s">
        <v>1184</v>
      </c>
      <c r="B39" s="2228" t="s">
        <v>2174</v>
      </c>
      <c r="U39" s="2227"/>
    </row>
    <row r="40" spans="1:23" ht="6" customHeight="1">
      <c r="A40" s="2226"/>
      <c r="U40" s="2227"/>
    </row>
    <row r="41" spans="1:23" ht="19.5" customHeight="1">
      <c r="A41" s="2226"/>
      <c r="B41" s="3802" t="str">
        <f>R35</f>
        <v/>
      </c>
      <c r="C41" s="3791"/>
      <c r="D41" s="2232" t="s">
        <v>1552</v>
      </c>
      <c r="E41" s="3790" t="str">
        <f>IF(ISBLANK(F10),"",E37)</f>
        <v/>
      </c>
      <c r="F41" s="3791"/>
      <c r="G41" s="2232" t="s">
        <v>1443</v>
      </c>
      <c r="H41" s="3790" t="str">
        <f>IF(ISBLANK(E37),"",ROUNDUP((B41/E41),0))</f>
        <v/>
      </c>
      <c r="I41" s="3791"/>
      <c r="J41" s="2228" t="s">
        <v>1553</v>
      </c>
      <c r="U41" s="2227"/>
      <c r="W41" s="2238"/>
    </row>
    <row r="42" spans="1:23" ht="6" customHeight="1">
      <c r="A42" s="2226"/>
      <c r="U42" s="2227"/>
    </row>
    <row r="43" spans="1:23" ht="19.5" customHeight="1">
      <c r="A43" s="2226" t="s">
        <v>1186</v>
      </c>
      <c r="B43" s="2228" t="s">
        <v>1554</v>
      </c>
      <c r="E43" s="3816"/>
      <c r="F43" s="3817"/>
      <c r="G43" s="2228" t="s">
        <v>1555</v>
      </c>
      <c r="U43" s="2227"/>
    </row>
    <row r="44" spans="1:23" ht="6" customHeight="1">
      <c r="A44" s="2226"/>
      <c r="U44" s="2227"/>
    </row>
    <row r="45" spans="1:23" ht="19.5" customHeight="1">
      <c r="A45" s="2226" t="s">
        <v>1224</v>
      </c>
      <c r="B45" s="2228" t="s">
        <v>2175</v>
      </c>
      <c r="F45" s="3816"/>
      <c r="G45" s="3817"/>
      <c r="H45" s="2228" t="s">
        <v>1553</v>
      </c>
      <c r="J45" s="2262" t="s">
        <v>2176</v>
      </c>
      <c r="S45" s="3818" t="str">
        <f>IF(ISBLANK(E43)," ",H41/E43)</f>
        <v xml:space="preserve"> </v>
      </c>
      <c r="T45" s="3818"/>
      <c r="U45" s="2228" t="s">
        <v>1553</v>
      </c>
    </row>
    <row r="46" spans="1:23" ht="6" customHeight="1">
      <c r="A46" s="2226"/>
      <c r="U46" s="2227"/>
    </row>
    <row r="47" spans="1:23" ht="15" customHeight="1">
      <c r="A47" s="2226" t="s">
        <v>1227</v>
      </c>
      <c r="B47" s="2228" t="s">
        <v>2177</v>
      </c>
      <c r="U47" s="2227"/>
    </row>
    <row r="48" spans="1:23" ht="6" customHeight="1">
      <c r="A48" s="2226"/>
      <c r="U48" s="2227"/>
    </row>
    <row r="49" spans="1:21" ht="19.5" customHeight="1">
      <c r="A49" s="2226"/>
      <c r="B49" s="2239" t="s">
        <v>1557</v>
      </c>
      <c r="C49" s="3802">
        <f>F45</f>
        <v>0</v>
      </c>
      <c r="D49" s="3791"/>
      <c r="E49" s="2237" t="s">
        <v>1282</v>
      </c>
      <c r="F49" s="3790" t="str">
        <f>IF(ISBLANK(F10),"",E43)</f>
        <v/>
      </c>
      <c r="G49" s="3791"/>
      <c r="H49" s="2240" t="s">
        <v>1559</v>
      </c>
      <c r="I49" s="2232" t="s">
        <v>1343</v>
      </c>
      <c r="J49" s="3790" t="str">
        <f>IF(ISBLANK(F10),"",P32)</f>
        <v/>
      </c>
      <c r="K49" s="3791"/>
      <c r="L49" s="2232" t="s">
        <v>1560</v>
      </c>
      <c r="M49" s="3790" t="str">
        <f>IF(ISBLANK(F10),"",(C49*F49)*J49)</f>
        <v/>
      </c>
      <c r="N49" s="3791"/>
      <c r="O49" s="2228" t="s">
        <v>609</v>
      </c>
      <c r="U49" s="2227"/>
    </row>
    <row r="50" spans="1:21" ht="6" customHeight="1">
      <c r="A50" s="2226"/>
      <c r="U50" s="2227"/>
    </row>
    <row r="51" spans="1:21" ht="19.5" customHeight="1">
      <c r="A51" s="2226" t="s">
        <v>1480</v>
      </c>
      <c r="B51" s="2228" t="s">
        <v>2178</v>
      </c>
      <c r="U51" s="2227"/>
    </row>
    <row r="52" spans="1:21" ht="19.5" customHeight="1">
      <c r="A52" s="2226"/>
      <c r="C52" s="3788" t="str">
        <f>M49</f>
        <v/>
      </c>
      <c r="D52" s="3789"/>
      <c r="E52" s="2318" t="s">
        <v>1558</v>
      </c>
      <c r="F52" s="3788">
        <f>E43</f>
        <v>0</v>
      </c>
      <c r="G52" s="3789"/>
      <c r="H52" s="2317" t="s">
        <v>2179</v>
      </c>
      <c r="I52" s="3788" t="str">
        <f>IF(ISBLANK(E37), " ",C52/F52)</f>
        <v xml:space="preserve"> </v>
      </c>
      <c r="J52" s="3789"/>
      <c r="K52" s="2228" t="s">
        <v>2180</v>
      </c>
      <c r="U52" s="2227"/>
    </row>
    <row r="53" spans="1:21" ht="6" customHeight="1">
      <c r="A53" s="2226"/>
      <c r="U53" s="2227"/>
    </row>
    <row r="54" spans="1:21" ht="19.5" customHeight="1">
      <c r="A54" s="2226" t="s">
        <v>1483</v>
      </c>
      <c r="B54" s="2228" t="s">
        <v>2181</v>
      </c>
      <c r="L54" s="2319">
        <v>2</v>
      </c>
      <c r="M54" s="2232" t="s">
        <v>1343</v>
      </c>
      <c r="N54" s="3790">
        <f>F45</f>
        <v>0</v>
      </c>
      <c r="O54" s="3791"/>
      <c r="P54" s="2237" t="s">
        <v>1240</v>
      </c>
      <c r="Q54" s="3790" t="str">
        <f>IF(ISBLANK(F10),"",L54*N54)</f>
        <v/>
      </c>
      <c r="R54" s="3791"/>
      <c r="S54" s="2228" t="s">
        <v>1562</v>
      </c>
      <c r="U54" s="2227"/>
    </row>
    <row r="55" spans="1:21" ht="6" customHeight="1">
      <c r="A55" s="2226"/>
      <c r="U55" s="2227"/>
    </row>
    <row r="56" spans="1:21" ht="12" customHeight="1">
      <c r="A56" s="2226"/>
      <c r="U56" s="2227"/>
    </row>
    <row r="57" spans="1:21" ht="12" customHeight="1">
      <c r="A57" s="2226"/>
      <c r="U57" s="2227"/>
    </row>
    <row r="58" spans="1:21" ht="12" customHeight="1">
      <c r="A58" s="2226"/>
      <c r="U58" s="2227"/>
    </row>
    <row r="59" spans="1:21" ht="12" customHeight="1">
      <c r="A59" s="2226"/>
      <c r="U59" s="2227"/>
    </row>
    <row r="60" spans="1:21" ht="12" customHeight="1">
      <c r="A60" s="2226"/>
      <c r="U60" s="2227"/>
    </row>
    <row r="61" spans="1:21" ht="12" customHeight="1">
      <c r="A61" s="2226"/>
      <c r="U61" s="2227"/>
    </row>
    <row r="62" spans="1:21" ht="12" customHeight="1">
      <c r="A62" s="2226"/>
      <c r="U62" s="2227"/>
    </row>
    <row r="63" spans="1:21" ht="12" customHeight="1">
      <c r="A63" s="2226"/>
      <c r="U63" s="2227"/>
    </row>
    <row r="64" spans="1:21" ht="12" customHeight="1">
      <c r="A64" s="2226"/>
      <c r="U64" s="2227"/>
    </row>
    <row r="65" spans="1:21" ht="12" customHeight="1">
      <c r="A65" s="2226"/>
      <c r="U65" s="2227"/>
    </row>
    <row r="66" spans="1:21" ht="12" customHeight="1">
      <c r="A66" s="2226"/>
      <c r="U66" s="2227"/>
    </row>
    <row r="67" spans="1:21" ht="12" customHeight="1">
      <c r="A67" s="2226"/>
      <c r="U67" s="2227"/>
    </row>
    <row r="68" spans="1:21" ht="12" customHeight="1">
      <c r="A68" s="2226"/>
      <c r="U68" s="2227"/>
    </row>
    <row r="69" spans="1:21" ht="12" customHeight="1">
      <c r="A69" s="2226"/>
      <c r="U69" s="2227"/>
    </row>
    <row r="70" spans="1:21" ht="12" customHeight="1">
      <c r="A70" s="2226"/>
      <c r="U70" s="2227"/>
    </row>
    <row r="71" spans="1:21" ht="12" customHeight="1">
      <c r="A71" s="2226"/>
      <c r="U71" s="2227"/>
    </row>
    <row r="72" spans="1:21" ht="12" customHeight="1">
      <c r="A72" s="2226"/>
      <c r="U72" s="2227"/>
    </row>
    <row r="73" spans="1:21" ht="12" customHeight="1">
      <c r="A73" s="2226"/>
      <c r="U73" s="2227"/>
    </row>
    <row r="74" spans="1:21" ht="12" customHeight="1">
      <c r="A74" s="2226"/>
      <c r="U74" s="2227"/>
    </row>
    <row r="75" spans="1:21" ht="12" customHeight="1">
      <c r="A75" s="2226"/>
      <c r="U75" s="2227"/>
    </row>
    <row r="76" spans="1:21" ht="12" customHeight="1">
      <c r="A76" s="2226"/>
      <c r="U76" s="2227"/>
    </row>
    <row r="77" spans="1:21" ht="12" customHeight="1">
      <c r="A77" s="2226"/>
      <c r="U77" s="2227"/>
    </row>
    <row r="78" spans="1:21" ht="12" customHeight="1">
      <c r="A78" s="2226"/>
      <c r="U78" s="2227"/>
    </row>
    <row r="79" spans="1:21" ht="6" customHeight="1">
      <c r="A79" s="2226"/>
      <c r="U79" s="2227"/>
    </row>
    <row r="80" spans="1:21" ht="15" customHeight="1">
      <c r="A80" s="2226"/>
      <c r="B80" s="2222" t="s">
        <v>1563</v>
      </c>
      <c r="M80" s="2222" t="s">
        <v>1564</v>
      </c>
      <c r="U80" s="2227"/>
    </row>
    <row r="81" spans="1:27" ht="14.45" customHeight="1">
      <c r="A81" s="2226"/>
      <c r="B81" s="3821" t="s">
        <v>1565</v>
      </c>
      <c r="C81" s="3821"/>
      <c r="D81" s="3821"/>
      <c r="E81" s="3821"/>
      <c r="F81" s="3821"/>
      <c r="G81" s="3821"/>
      <c r="H81" s="3821"/>
      <c r="I81" s="3821"/>
      <c r="J81" s="3821"/>
      <c r="K81" s="3821"/>
      <c r="L81" s="2243"/>
      <c r="M81" s="3821" t="s">
        <v>1566</v>
      </c>
      <c r="N81" s="3821"/>
      <c r="O81" s="3821"/>
      <c r="P81" s="3821"/>
      <c r="Q81" s="3821"/>
      <c r="R81" s="3821"/>
      <c r="S81" s="3821"/>
      <c r="T81" s="3821"/>
      <c r="U81" s="2244"/>
    </row>
    <row r="82" spans="1:27">
      <c r="A82" s="2226"/>
      <c r="B82" s="3821"/>
      <c r="C82" s="3821"/>
      <c r="D82" s="3821"/>
      <c r="E82" s="3821"/>
      <c r="F82" s="3821"/>
      <c r="G82" s="3821"/>
      <c r="H82" s="3821"/>
      <c r="I82" s="3821"/>
      <c r="J82" s="3821"/>
      <c r="K82" s="3821"/>
      <c r="L82" s="2243"/>
      <c r="M82" s="3821"/>
      <c r="N82" s="3821"/>
      <c r="O82" s="3821"/>
      <c r="P82" s="3821"/>
      <c r="Q82" s="3821"/>
      <c r="R82" s="3821"/>
      <c r="S82" s="3821"/>
      <c r="T82" s="3821"/>
      <c r="U82" s="2244"/>
    </row>
    <row r="83" spans="1:27" ht="6" customHeight="1">
      <c r="A83" s="2226"/>
      <c r="B83" s="2242"/>
      <c r="C83" s="2242"/>
      <c r="D83" s="2242"/>
      <c r="E83" s="2242"/>
      <c r="F83" s="2242"/>
      <c r="G83" s="2242"/>
      <c r="H83" s="2242"/>
      <c r="I83" s="2242"/>
      <c r="J83" s="2242"/>
      <c r="K83" s="2242"/>
      <c r="L83" s="2243"/>
      <c r="M83" s="2242"/>
      <c r="N83" s="2242"/>
      <c r="O83" s="2242"/>
      <c r="P83" s="2242"/>
      <c r="Q83" s="2242"/>
      <c r="R83" s="2242"/>
      <c r="S83" s="2242"/>
      <c r="T83" s="2242"/>
      <c r="U83" s="2245"/>
    </row>
    <row r="84" spans="1:27" ht="15" customHeight="1">
      <c r="A84" s="2226"/>
      <c r="B84" s="2246" t="s">
        <v>1567</v>
      </c>
      <c r="C84" s="2242"/>
      <c r="D84" s="2242"/>
      <c r="E84" s="2242"/>
      <c r="F84" s="2242"/>
      <c r="G84" s="2242"/>
      <c r="H84" s="2242"/>
      <c r="I84" s="2242"/>
      <c r="J84" s="2242"/>
      <c r="K84" s="2242"/>
      <c r="L84" s="2243"/>
      <c r="M84" s="2242"/>
      <c r="N84" s="2242"/>
      <c r="O84" s="2242"/>
      <c r="P84" s="2242"/>
      <c r="Q84" s="2242"/>
      <c r="R84" s="2242"/>
      <c r="S84" s="2242"/>
      <c r="T84" s="2242"/>
      <c r="U84" s="2245"/>
    </row>
    <row r="85" spans="1:27" ht="6" customHeight="1">
      <c r="A85" s="2247"/>
      <c r="B85" s="2248"/>
      <c r="C85" s="2248"/>
      <c r="D85" s="2248"/>
      <c r="E85" s="2248"/>
      <c r="F85" s="2248"/>
      <c r="G85" s="2248"/>
      <c r="H85" s="2248"/>
      <c r="I85" s="2248"/>
      <c r="J85" s="2248"/>
      <c r="K85" s="2248"/>
      <c r="L85" s="2248"/>
      <c r="M85" s="2248"/>
      <c r="N85" s="2248"/>
      <c r="O85" s="2248"/>
      <c r="P85" s="2248"/>
      <c r="Q85" s="2248"/>
      <c r="R85" s="2248"/>
      <c r="S85" s="2248"/>
      <c r="T85" s="2248"/>
      <c r="U85" s="2249"/>
    </row>
    <row r="86" spans="1:27" ht="15" customHeight="1">
      <c r="A86" s="3794" t="s">
        <v>1568</v>
      </c>
      <c r="B86" s="3795"/>
      <c r="C86" s="3795"/>
      <c r="D86" s="3795"/>
      <c r="E86" s="3795"/>
      <c r="F86" s="3795"/>
      <c r="G86" s="3795"/>
      <c r="H86" s="3795"/>
      <c r="I86" s="3795"/>
      <c r="J86" s="3795"/>
      <c r="K86" s="3795"/>
      <c r="L86" s="3795"/>
      <c r="M86" s="3795"/>
      <c r="N86" s="3795"/>
      <c r="O86" s="3795"/>
      <c r="P86" s="3795"/>
      <c r="Q86" s="3795"/>
      <c r="R86" s="3795"/>
      <c r="S86" s="3795"/>
      <c r="T86" s="3795"/>
      <c r="U86" s="3796"/>
    </row>
    <row r="87" spans="1:27" ht="6" customHeight="1">
      <c r="A87" s="2250"/>
      <c r="B87" s="2251"/>
      <c r="C87" s="2251"/>
      <c r="D87" s="2251"/>
      <c r="E87" s="2251"/>
      <c r="F87" s="2251"/>
      <c r="G87" s="2251"/>
      <c r="H87" s="2251"/>
      <c r="I87" s="2251"/>
      <c r="J87" s="2251"/>
      <c r="K87" s="2251"/>
      <c r="L87" s="2251"/>
      <c r="M87" s="2251"/>
      <c r="N87" s="2251"/>
      <c r="O87" s="2251"/>
      <c r="P87" s="2251"/>
      <c r="Q87" s="2251"/>
      <c r="R87" s="2251"/>
      <c r="S87" s="2251"/>
      <c r="T87" s="2251"/>
      <c r="U87" s="2252"/>
    </row>
    <row r="88" spans="1:27" ht="19.5" customHeight="1">
      <c r="A88" s="2226" t="s">
        <v>1011</v>
      </c>
      <c r="B88" s="2228" t="s">
        <v>1569</v>
      </c>
      <c r="E88" s="3810">
        <v>2</v>
      </c>
      <c r="F88" s="3811"/>
      <c r="G88" s="2228" t="s">
        <v>609</v>
      </c>
      <c r="I88" s="3822" t="s">
        <v>2182</v>
      </c>
      <c r="J88" s="3822"/>
      <c r="K88" s="3822"/>
      <c r="L88" s="3822"/>
      <c r="M88" s="3822"/>
      <c r="N88" s="3822"/>
      <c r="O88" s="3822"/>
      <c r="P88" s="3822"/>
      <c r="Q88" s="3822"/>
      <c r="R88" s="3822"/>
      <c r="S88" s="3822"/>
      <c r="T88" s="3822"/>
      <c r="U88" s="2227"/>
      <c r="X88" s="2253"/>
      <c r="Y88" s="2253"/>
      <c r="Z88" s="2253"/>
      <c r="AA88" s="2253"/>
    </row>
    <row r="89" spans="1:27" ht="6" customHeight="1">
      <c r="A89" s="2226"/>
      <c r="U89" s="2227"/>
      <c r="W89" s="2253"/>
      <c r="X89" s="2253"/>
      <c r="Y89" s="2253"/>
      <c r="Z89" s="2253"/>
      <c r="AA89" s="2253"/>
    </row>
    <row r="90" spans="1:27" ht="19.5" customHeight="1">
      <c r="A90" s="2226" t="s">
        <v>1019</v>
      </c>
      <c r="B90" s="2228" t="s">
        <v>848</v>
      </c>
      <c r="E90" s="3804"/>
      <c r="F90" s="3805"/>
      <c r="G90" s="2254" t="s">
        <v>609</v>
      </c>
      <c r="I90" s="2228" t="s">
        <v>1570</v>
      </c>
      <c r="M90" s="3819"/>
      <c r="N90" s="3820"/>
      <c r="O90" s="2228" t="s">
        <v>762</v>
      </c>
      <c r="U90" s="2227"/>
      <c r="W90" s="2253"/>
      <c r="X90" s="2253"/>
      <c r="Y90" s="2253"/>
      <c r="Z90" s="2253"/>
      <c r="AA90" s="2253"/>
    </row>
    <row r="91" spans="1:27" ht="6" customHeight="1">
      <c r="A91" s="2226"/>
      <c r="U91" s="2227"/>
    </row>
    <row r="92" spans="1:27" ht="19.5" customHeight="1">
      <c r="A92" s="2226"/>
      <c r="B92" s="2228" t="s">
        <v>1571</v>
      </c>
      <c r="M92" s="3790">
        <f>E90</f>
        <v>0</v>
      </c>
      <c r="N92" s="3791"/>
      <c r="O92" s="2241" t="s">
        <v>1572</v>
      </c>
      <c r="P92" s="3816"/>
      <c r="Q92" s="3817"/>
      <c r="R92" s="2241" t="s">
        <v>1573</v>
      </c>
      <c r="S92" s="3790" t="str">
        <f>IF(ISBLANK(E90)," ",M92*P92)</f>
        <v xml:space="preserve"> </v>
      </c>
      <c r="T92" s="3791"/>
      <c r="U92" s="2255" t="s">
        <v>1537</v>
      </c>
      <c r="W92" s="2222" t="s">
        <v>2183</v>
      </c>
    </row>
    <row r="93" spans="1:27" ht="6" customHeight="1">
      <c r="A93" s="2226"/>
      <c r="U93" s="2227"/>
    </row>
    <row r="94" spans="1:27" ht="19.5" customHeight="1">
      <c r="A94" s="2226" t="s">
        <v>1168</v>
      </c>
      <c r="B94" s="2228" t="s">
        <v>1574</v>
      </c>
      <c r="E94" s="3804"/>
      <c r="F94" s="3805"/>
      <c r="G94" s="2228" t="s">
        <v>609</v>
      </c>
      <c r="I94" s="2228" t="s">
        <v>1575</v>
      </c>
      <c r="M94" s="3819"/>
      <c r="N94" s="3820"/>
      <c r="O94" s="2228" t="s">
        <v>762</v>
      </c>
      <c r="U94" s="2227"/>
    </row>
    <row r="95" spans="1:27" ht="6" customHeight="1">
      <c r="A95" s="2226"/>
      <c r="U95" s="2227"/>
    </row>
    <row r="96" spans="1:27" ht="19.5" customHeight="1">
      <c r="A96" s="2226"/>
      <c r="B96" s="2228" t="s">
        <v>1576</v>
      </c>
      <c r="M96" s="3790">
        <f>E94</f>
        <v>0</v>
      </c>
      <c r="N96" s="3791"/>
      <c r="O96" s="2241" t="s">
        <v>1572</v>
      </c>
      <c r="P96" s="3816"/>
      <c r="Q96" s="3817"/>
      <c r="R96" s="2241" t="s">
        <v>1573</v>
      </c>
      <c r="S96" s="3802">
        <f>IF(ISBLANK(E88),"",M96*P96)</f>
        <v>0</v>
      </c>
      <c r="T96" s="3815"/>
      <c r="U96" s="2255" t="s">
        <v>1537</v>
      </c>
    </row>
    <row r="97" spans="1:21" ht="6" customHeight="1">
      <c r="A97" s="2226"/>
      <c r="U97" s="2227"/>
    </row>
    <row r="98" spans="1:21" ht="19.5" customHeight="1">
      <c r="A98" s="2226" t="s">
        <v>1172</v>
      </c>
      <c r="B98" s="2228" t="s">
        <v>1577</v>
      </c>
      <c r="L98" s="2256"/>
      <c r="M98" s="3790" t="str">
        <f>S92</f>
        <v xml:space="preserve"> </v>
      </c>
      <c r="N98" s="3791"/>
      <c r="O98" s="2232" t="s">
        <v>1578</v>
      </c>
      <c r="P98" s="3802">
        <f>S96</f>
        <v>0</v>
      </c>
      <c r="Q98" s="3815"/>
      <c r="R98" s="2232" t="s">
        <v>1579</v>
      </c>
      <c r="S98" s="3823" t="str">
        <f>IF(ISBLANK(E94)," ",(M98+P98))</f>
        <v xml:space="preserve"> </v>
      </c>
      <c r="T98" s="3824"/>
      <c r="U98" s="2256" t="s">
        <v>1537</v>
      </c>
    </row>
    <row r="99" spans="1:21" ht="6" customHeight="1">
      <c r="A99" s="2226"/>
      <c r="U99" s="2227"/>
    </row>
    <row r="100" spans="1:21" ht="19.5" customHeight="1">
      <c r="A100" s="2226" t="s">
        <v>1177</v>
      </c>
      <c r="B100" s="2228" t="s">
        <v>2184</v>
      </c>
      <c r="M100" s="3788" t="str">
        <f>IF(ISBLANK(E90)," ",I52)</f>
        <v xml:space="preserve"> </v>
      </c>
      <c r="N100" s="3789"/>
      <c r="O100" s="2241" t="s">
        <v>1552</v>
      </c>
      <c r="P100" s="3790">
        <f>E88</f>
        <v>2</v>
      </c>
      <c r="Q100" s="3791"/>
      <c r="R100" s="2241" t="s">
        <v>1279</v>
      </c>
      <c r="S100" s="3790" t="str">
        <f>IF(ISBLANK(E43),"",M100/P100)</f>
        <v/>
      </c>
      <c r="T100" s="3791"/>
      <c r="U100" s="2255" t="s">
        <v>1581</v>
      </c>
    </row>
    <row r="101" spans="1:21" ht="6" customHeight="1">
      <c r="A101" s="2226"/>
      <c r="U101" s="2227"/>
    </row>
    <row r="102" spans="1:21" s="2228" customFormat="1" ht="15" customHeight="1">
      <c r="A102" s="2254" t="s">
        <v>1177</v>
      </c>
      <c r="B102" s="2228" t="s">
        <v>1582</v>
      </c>
      <c r="U102" s="2255"/>
    </row>
    <row r="103" spans="1:21" s="2228" customFormat="1" ht="6" customHeight="1">
      <c r="A103" s="2254"/>
      <c r="U103" s="2255"/>
    </row>
    <row r="104" spans="1:21" s="2228" customFormat="1" ht="19.5" customHeight="1">
      <c r="A104" s="2254"/>
      <c r="B104" s="2257" t="s">
        <v>1557</v>
      </c>
      <c r="C104" s="3790" t="str">
        <f>S100</f>
        <v/>
      </c>
      <c r="D104" s="3791"/>
      <c r="E104" s="2241" t="s">
        <v>1343</v>
      </c>
      <c r="F104" s="3810">
        <v>0.61</v>
      </c>
      <c r="G104" s="3811"/>
      <c r="H104" s="2258" t="s">
        <v>1583</v>
      </c>
      <c r="I104" s="2232" t="s">
        <v>1558</v>
      </c>
      <c r="J104" s="2259">
        <v>60</v>
      </c>
      <c r="K104" s="2232" t="s">
        <v>1240</v>
      </c>
      <c r="L104" s="3823" t="str">
        <f>IF(ISBLANK(E43),"",(C104*F104)/60)</f>
        <v/>
      </c>
      <c r="M104" s="3824"/>
      <c r="N104" s="2258" t="s">
        <v>1584</v>
      </c>
      <c r="U104" s="2255"/>
    </row>
    <row r="105" spans="1:21" s="2228" customFormat="1" ht="6" customHeight="1">
      <c r="A105" s="2254"/>
      <c r="U105" s="2255"/>
    </row>
    <row r="106" spans="1:21" s="2228" customFormat="1" ht="19.5" customHeight="1">
      <c r="A106" s="2254" t="s">
        <v>1179</v>
      </c>
      <c r="B106" s="2228" t="s">
        <v>2185</v>
      </c>
      <c r="M106" s="3790" t="str">
        <f>M100</f>
        <v xml:space="preserve"> </v>
      </c>
      <c r="N106" s="3791"/>
      <c r="O106" s="2232" t="s">
        <v>1572</v>
      </c>
      <c r="P106" s="3810">
        <v>1.2E-2</v>
      </c>
      <c r="Q106" s="3811"/>
      <c r="R106" s="2232" t="s">
        <v>1240</v>
      </c>
      <c r="S106" s="3790" t="str">
        <f>IF(ISBLANK(E43),"",M106*P106)</f>
        <v/>
      </c>
      <c r="T106" s="3791"/>
      <c r="U106" s="2255" t="s">
        <v>1537</v>
      </c>
    </row>
    <row r="107" spans="1:21" s="2228" customFormat="1" ht="6" customHeight="1">
      <c r="A107" s="2254"/>
      <c r="B107" s="2228" t="s">
        <v>881</v>
      </c>
      <c r="U107" s="2255"/>
    </row>
    <row r="108" spans="1:21" s="2228" customFormat="1" ht="15" customHeight="1">
      <c r="A108" s="2254" t="s">
        <v>1181</v>
      </c>
      <c r="B108" s="2228" t="s">
        <v>1586</v>
      </c>
      <c r="U108" s="2255"/>
    </row>
    <row r="109" spans="1:21" s="2228" customFormat="1" ht="6" customHeight="1">
      <c r="A109" s="2254"/>
      <c r="U109" s="2255"/>
    </row>
    <row r="110" spans="1:21" s="2228" customFormat="1" ht="19.5" customHeight="1">
      <c r="A110" s="2254"/>
      <c r="B110" s="2257" t="s">
        <v>1557</v>
      </c>
      <c r="C110" s="3831">
        <v>4</v>
      </c>
      <c r="D110" s="3831"/>
      <c r="E110" s="2232" t="s">
        <v>1343</v>
      </c>
      <c r="F110" s="3790" t="str">
        <f>S106</f>
        <v/>
      </c>
      <c r="G110" s="3791"/>
      <c r="H110" s="2260" t="s">
        <v>1587</v>
      </c>
      <c r="I110" s="2232" t="s">
        <v>1588</v>
      </c>
      <c r="J110" s="3790" t="str">
        <f>S98</f>
        <v xml:space="preserve"> </v>
      </c>
      <c r="K110" s="3791"/>
      <c r="L110" s="2232" t="s">
        <v>1579</v>
      </c>
      <c r="M110" s="3823" t="str">
        <f>IF(ISBLANK(E43),"",(4*S106)+S98)</f>
        <v/>
      </c>
      <c r="N110" s="3824"/>
      <c r="O110" s="2228" t="s">
        <v>1537</v>
      </c>
      <c r="U110" s="2255"/>
    </row>
    <row r="111" spans="1:21" s="2228" customFormat="1" ht="6" customHeight="1">
      <c r="A111" s="2254"/>
      <c r="U111" s="2255"/>
    </row>
    <row r="112" spans="1:21" s="2228" customFormat="1" ht="15" customHeight="1">
      <c r="A112" s="2254" t="s">
        <v>1184</v>
      </c>
      <c r="B112" s="520" t="s">
        <v>2186</v>
      </c>
      <c r="U112" s="2255"/>
    </row>
    <row r="113" spans="1:24" s="2228" customFormat="1" ht="6" customHeight="1">
      <c r="A113" s="2254"/>
      <c r="U113" s="2255"/>
    </row>
    <row r="114" spans="1:24" s="2228" customFormat="1" ht="19.5" customHeight="1">
      <c r="A114" s="2254"/>
      <c r="B114" s="3790">
        <f>IF(ISBLANK(E88),"",F10/12)</f>
        <v>0</v>
      </c>
      <c r="C114" s="3791"/>
      <c r="D114" s="2232" t="s">
        <v>1389</v>
      </c>
      <c r="E114" s="3825">
        <v>8.3000000000000004E-2</v>
      </c>
      <c r="F114" s="3826"/>
      <c r="G114" s="2232" t="s">
        <v>783</v>
      </c>
      <c r="H114" s="3790" t="str">
        <f>M100</f>
        <v xml:space="preserve"> </v>
      </c>
      <c r="I114" s="3791"/>
      <c r="J114" s="2232" t="s">
        <v>1572</v>
      </c>
      <c r="K114" s="3827">
        <f>IF(ISBLANK(E88),"",F18)</f>
        <v>0</v>
      </c>
      <c r="L114" s="3828"/>
      <c r="M114" s="2232" t="s">
        <v>1343</v>
      </c>
      <c r="N114" s="2259">
        <v>7.5</v>
      </c>
      <c r="O114" s="2259" t="s">
        <v>987</v>
      </c>
      <c r="P114" s="3829" t="str">
        <f>S98</f>
        <v xml:space="preserve"> </v>
      </c>
      <c r="Q114" s="3830"/>
      <c r="R114" s="2232" t="s">
        <v>1240</v>
      </c>
      <c r="S114" s="3823" t="str">
        <f>IF(ISBLANK(E43),"",B114*E114*H114*K114*N114+P114)</f>
        <v/>
      </c>
      <c r="T114" s="3824"/>
      <c r="U114" s="2228" t="s">
        <v>1537</v>
      </c>
    </row>
    <row r="115" spans="1:24" s="2228" customFormat="1" ht="6" customHeight="1">
      <c r="A115" s="2254"/>
      <c r="U115" s="2255"/>
    </row>
    <row r="116" spans="1:24" s="2228" customFormat="1" ht="19.5" customHeight="1">
      <c r="A116" s="2254" t="s">
        <v>1186</v>
      </c>
      <c r="B116" s="2228" t="s">
        <v>1590</v>
      </c>
      <c r="O116" s="3832"/>
      <c r="P116" s="3833"/>
      <c r="Q116" s="2228" t="s">
        <v>1537</v>
      </c>
      <c r="U116" s="2255"/>
    </row>
    <row r="117" spans="1:24" s="2228" customFormat="1" ht="6" customHeight="1">
      <c r="A117" s="2254"/>
      <c r="U117" s="2255"/>
    </row>
    <row r="118" spans="1:24" s="2228" customFormat="1" ht="19.5" customHeight="1">
      <c r="A118" s="2254" t="s">
        <v>1224</v>
      </c>
      <c r="B118" s="2228" t="s">
        <v>1591</v>
      </c>
      <c r="L118" s="3790">
        <f>IF(ISBLANK(E88),"",O116)</f>
        <v>0</v>
      </c>
      <c r="M118" s="3791"/>
      <c r="N118" s="2241" t="s">
        <v>1558</v>
      </c>
      <c r="O118" s="3802" t="str">
        <f>L104</f>
        <v/>
      </c>
      <c r="P118" s="3815"/>
      <c r="Q118" s="2241" t="s">
        <v>1240</v>
      </c>
      <c r="R118" s="3802" t="str">
        <f>IF(ISBLANK(O116)," ",L118/O118)</f>
        <v xml:space="preserve"> </v>
      </c>
      <c r="S118" s="3815"/>
      <c r="T118" s="2228" t="s">
        <v>1592</v>
      </c>
      <c r="U118" s="2255"/>
    </row>
    <row r="119" spans="1:24" s="2228" customFormat="1" ht="6" customHeight="1">
      <c r="A119" s="2254"/>
      <c r="U119" s="2255"/>
    </row>
    <row r="120" spans="1:24" s="2228" customFormat="1" ht="15" customHeight="1">
      <c r="A120" s="2254" t="s">
        <v>1227</v>
      </c>
      <c r="B120" s="2228" t="s">
        <v>1593</v>
      </c>
      <c r="U120" s="2255"/>
    </row>
    <row r="121" spans="1:24" s="2228" customFormat="1" ht="6" customHeight="1">
      <c r="A121" s="2254"/>
      <c r="U121" s="2255"/>
    </row>
    <row r="122" spans="1:24" s="2228" customFormat="1" ht="19.5" customHeight="1">
      <c r="A122" s="2254"/>
      <c r="B122" s="3790" t="str">
        <f>IF(ISBLANK(E4)," ",E4)</f>
        <v xml:space="preserve"> </v>
      </c>
      <c r="C122" s="3791"/>
      <c r="D122" s="2232" t="s">
        <v>1890</v>
      </c>
      <c r="E122" s="3790">
        <f>IF(ISBLANK(E88),"",E43)</f>
        <v>0</v>
      </c>
      <c r="F122" s="3791"/>
      <c r="G122" s="2232" t="s">
        <v>2187</v>
      </c>
      <c r="H122" s="3790">
        <f>IF(ISBLANK(E88),"",O116)</f>
        <v>0</v>
      </c>
      <c r="I122" s="3791"/>
      <c r="J122" s="3813" t="s">
        <v>2188</v>
      </c>
      <c r="K122" s="3814"/>
      <c r="L122" s="3802" t="str">
        <f>IF(ISBLANK(E90),"",MAX(4,(B122/E122/H122)))</f>
        <v/>
      </c>
      <c r="M122" s="3815"/>
      <c r="N122" s="2228" t="s">
        <v>1595</v>
      </c>
      <c r="O122" s="2234" t="s">
        <v>1594</v>
      </c>
      <c r="U122" s="2255"/>
      <c r="W122" s="2261"/>
      <c r="X122" s="1655"/>
    </row>
    <row r="123" spans="1:24" s="2228" customFormat="1" ht="6" customHeight="1">
      <c r="A123" s="2254"/>
      <c r="U123" s="2255"/>
    </row>
    <row r="124" spans="1:24" s="2228" customFormat="1" ht="19.5" customHeight="1">
      <c r="A124" s="2254" t="s">
        <v>1480</v>
      </c>
      <c r="B124" s="2262" t="s">
        <v>2189</v>
      </c>
      <c r="J124" s="3788">
        <v>1440</v>
      </c>
      <c r="K124" s="3789"/>
      <c r="L124" s="2260" t="s">
        <v>2190</v>
      </c>
      <c r="M124" s="3834" t="str">
        <f>L122</f>
        <v/>
      </c>
      <c r="N124" s="3835"/>
      <c r="O124" s="2232" t="s">
        <v>2191</v>
      </c>
      <c r="P124" s="3834" t="str">
        <f>IF(ISBLANK(E90),"",J124/M124)</f>
        <v/>
      </c>
      <c r="Q124" s="3835"/>
      <c r="R124" s="2228" t="s">
        <v>1592</v>
      </c>
      <c r="U124" s="2255"/>
    </row>
    <row r="125" spans="1:24" s="2228" customFormat="1" ht="6" customHeight="1">
      <c r="A125" s="2254"/>
      <c r="U125" s="2255"/>
    </row>
    <row r="126" spans="1:24" s="2228" customFormat="1" ht="19.5" customHeight="1">
      <c r="A126" s="2254" t="s">
        <v>1483</v>
      </c>
      <c r="B126" s="2228" t="s">
        <v>1597</v>
      </c>
      <c r="I126" s="3802" t="str">
        <f>P124</f>
        <v/>
      </c>
      <c r="J126" s="3791"/>
      <c r="K126" s="2260" t="s">
        <v>2192</v>
      </c>
      <c r="L126" s="3802" t="str">
        <f>R118</f>
        <v xml:space="preserve"> </v>
      </c>
      <c r="M126" s="3791"/>
      <c r="N126" s="2260" t="s">
        <v>2193</v>
      </c>
      <c r="O126" s="3802" t="str">
        <f>IF(ISBLANK(E90),"",I126-L126)</f>
        <v/>
      </c>
      <c r="P126" s="3791"/>
      <c r="Q126" s="2228" t="s">
        <v>1592</v>
      </c>
      <c r="U126" s="2255"/>
    </row>
    <row r="127" spans="1:24" s="2228" customFormat="1" ht="6" customHeight="1">
      <c r="A127" s="2254"/>
      <c r="U127" s="2255"/>
    </row>
    <row r="128" spans="1:24" s="2228" customFormat="1" ht="19.5" customHeight="1">
      <c r="A128" s="2254" t="s">
        <v>1485</v>
      </c>
      <c r="B128" s="2228" t="s">
        <v>1640</v>
      </c>
      <c r="M128" s="3790" t="str">
        <f>Q54</f>
        <v/>
      </c>
      <c r="N128" s="3791"/>
      <c r="O128" s="3836" t="s">
        <v>2194</v>
      </c>
      <c r="P128" s="3837"/>
      <c r="Q128" s="2321">
        <f>1.6</f>
        <v>1.6</v>
      </c>
      <c r="R128" s="2259" t="s">
        <v>1971</v>
      </c>
      <c r="S128" s="3790" t="str">
        <f>IF(ISBLANK(E90),"",M128*Q128)</f>
        <v/>
      </c>
      <c r="T128" s="3791"/>
      <c r="U128" s="2256" t="s">
        <v>1537</v>
      </c>
    </row>
    <row r="129" spans="1:27" s="2228" customFormat="1" ht="6" customHeight="1">
      <c r="A129" s="2254"/>
      <c r="U129" s="2255"/>
    </row>
    <row r="130" spans="1:27" s="2228" customFormat="1" ht="15" customHeight="1">
      <c r="A130" s="2254" t="s">
        <v>1599</v>
      </c>
      <c r="B130" s="2228" t="s">
        <v>1600</v>
      </c>
      <c r="U130" s="2255"/>
    </row>
    <row r="131" spans="1:27" s="2228" customFormat="1" ht="6" customHeight="1">
      <c r="A131" s="2254"/>
      <c r="U131" s="2255"/>
    </row>
    <row r="132" spans="1:27" s="2228" customFormat="1" ht="19.5" customHeight="1">
      <c r="A132" s="2254"/>
      <c r="B132" s="3834" t="str">
        <f>L104</f>
        <v/>
      </c>
      <c r="C132" s="3835"/>
      <c r="D132" s="2232" t="s">
        <v>2195</v>
      </c>
      <c r="E132" s="3790" t="str">
        <f>S128</f>
        <v/>
      </c>
      <c r="F132" s="3791"/>
      <c r="G132" s="2232" t="s">
        <v>1971</v>
      </c>
      <c r="H132" s="3834" t="str">
        <f>IF(ISBLANK(E90),"",B132+E132)</f>
        <v/>
      </c>
      <c r="I132" s="3835"/>
      <c r="J132" s="2258" t="s">
        <v>1584</v>
      </c>
      <c r="U132" s="2255"/>
    </row>
    <row r="133" spans="1:27" s="2228" customFormat="1" ht="6" customHeight="1">
      <c r="A133" s="2254"/>
      <c r="U133" s="2255"/>
    </row>
    <row r="134" spans="1:27" s="2228" customFormat="1" ht="19.5" customHeight="1">
      <c r="A134" s="2254" t="s">
        <v>1601</v>
      </c>
      <c r="B134" s="2228" t="s">
        <v>1602</v>
      </c>
      <c r="K134" s="3802" t="str">
        <f>H132</f>
        <v/>
      </c>
      <c r="L134" s="3815"/>
      <c r="M134" s="2232" t="s">
        <v>2196</v>
      </c>
      <c r="N134" s="3802" t="str">
        <f>R118</f>
        <v xml:space="preserve"> </v>
      </c>
      <c r="O134" s="3791"/>
      <c r="P134" s="2232" t="s">
        <v>1945</v>
      </c>
      <c r="Q134" s="3806" t="str">
        <f>IF(ISBLANK(E90),"",K134*N134)</f>
        <v/>
      </c>
      <c r="R134" s="3807"/>
      <c r="S134" s="2228" t="s">
        <v>1537</v>
      </c>
      <c r="U134" s="2255"/>
    </row>
    <row r="135" spans="1:27" s="2228" customFormat="1" ht="6" customHeight="1">
      <c r="A135" s="2254"/>
      <c r="U135" s="2255"/>
    </row>
    <row r="136" spans="1:27" s="2228" customFormat="1" ht="15" customHeight="1">
      <c r="A136" s="2254" t="s">
        <v>1603</v>
      </c>
      <c r="B136" s="2228" t="s">
        <v>2197</v>
      </c>
      <c r="C136" s="1244"/>
      <c r="D136" s="1244"/>
      <c r="E136" s="1244"/>
      <c r="F136" s="1244"/>
      <c r="G136" s="1244"/>
      <c r="H136" s="1244"/>
      <c r="I136" s="1244"/>
      <c r="J136" s="1244"/>
      <c r="K136" s="1244"/>
      <c r="L136" s="2263"/>
      <c r="U136" s="2255"/>
    </row>
    <row r="137" spans="1:27" s="2228" customFormat="1" ht="6" customHeight="1">
      <c r="A137" s="2254"/>
      <c r="U137" s="2255"/>
    </row>
    <row r="138" spans="1:27" s="2228" customFormat="1" ht="19.5" customHeight="1">
      <c r="A138" s="2254"/>
      <c r="B138" s="3802">
        <f>IF(ISBLANK(E88),"",E43)</f>
        <v>0</v>
      </c>
      <c r="C138" s="3815"/>
      <c r="D138" s="2263" t="s">
        <v>1343</v>
      </c>
      <c r="E138" s="3802" t="str">
        <f>L122</f>
        <v/>
      </c>
      <c r="F138" s="3815"/>
      <c r="G138" s="2263" t="s">
        <v>1343</v>
      </c>
      <c r="H138" s="3802" t="str">
        <f>R118</f>
        <v xml:space="preserve"> </v>
      </c>
      <c r="I138" s="3815"/>
      <c r="J138" s="2322" t="s">
        <v>1945</v>
      </c>
      <c r="K138" s="3802" t="str">
        <f>IF(ISBLANK(E90),"",B138*E138*H138)</f>
        <v/>
      </c>
      <c r="L138" s="3815"/>
      <c r="M138" s="1244" t="s">
        <v>1592</v>
      </c>
      <c r="O138" s="1653" t="s">
        <v>2198</v>
      </c>
      <c r="U138" s="2255"/>
    </row>
    <row r="139" spans="1:27" ht="6" customHeight="1">
      <c r="A139" s="2226"/>
      <c r="U139" s="2227"/>
    </row>
    <row r="140" spans="1:27" ht="15" customHeight="1">
      <c r="A140" s="3794" t="s">
        <v>1605</v>
      </c>
      <c r="B140" s="3795"/>
      <c r="C140" s="3795"/>
      <c r="D140" s="3795"/>
      <c r="E140" s="3795"/>
      <c r="F140" s="3795"/>
      <c r="G140" s="3795"/>
      <c r="H140" s="3795"/>
      <c r="I140" s="3795"/>
      <c r="J140" s="3795"/>
      <c r="K140" s="3795"/>
      <c r="L140" s="3795"/>
      <c r="M140" s="3795"/>
      <c r="N140" s="3795"/>
      <c r="O140" s="3795"/>
      <c r="P140" s="3795"/>
      <c r="Q140" s="3795"/>
      <c r="R140" s="3795"/>
      <c r="S140" s="3795"/>
      <c r="T140" s="3795"/>
      <c r="U140" s="3796"/>
    </row>
    <row r="141" spans="1:27" ht="6" customHeight="1">
      <c r="A141" s="2250"/>
      <c r="B141" s="2251"/>
      <c r="C141" s="2251"/>
      <c r="D141" s="2251"/>
      <c r="E141" s="2251"/>
      <c r="F141" s="2251"/>
      <c r="G141" s="2251"/>
      <c r="H141" s="2251"/>
      <c r="I141" s="2251"/>
      <c r="J141" s="2251"/>
      <c r="K141" s="2251"/>
      <c r="L141" s="2251"/>
      <c r="M141" s="2251"/>
      <c r="N141" s="2251"/>
      <c r="O141" s="2251"/>
      <c r="P141" s="2251"/>
      <c r="Q141" s="2251"/>
      <c r="R141" s="2251"/>
      <c r="S141" s="2251"/>
      <c r="T141" s="2251"/>
      <c r="U141" s="2252"/>
    </row>
    <row r="142" spans="1:27" ht="19.5" customHeight="1">
      <c r="A142" s="2226" t="s">
        <v>1011</v>
      </c>
      <c r="B142" s="2228" t="s">
        <v>1569</v>
      </c>
      <c r="E142" s="3810">
        <v>2</v>
      </c>
      <c r="F142" s="3811"/>
      <c r="G142" s="2228" t="s">
        <v>609</v>
      </c>
      <c r="I142" s="3822" t="s">
        <v>2182</v>
      </c>
      <c r="J142" s="3822"/>
      <c r="K142" s="3822"/>
      <c r="L142" s="3822"/>
      <c r="M142" s="3822"/>
      <c r="N142" s="3822"/>
      <c r="O142" s="3822"/>
      <c r="P142" s="3822"/>
      <c r="Q142" s="3822"/>
      <c r="R142" s="3822"/>
      <c r="S142" s="3822"/>
      <c r="T142" s="3822"/>
      <c r="U142" s="2227"/>
      <c r="X142" s="2253"/>
      <c r="Y142" s="2253"/>
      <c r="Z142" s="2253"/>
      <c r="AA142" s="2253"/>
    </row>
    <row r="143" spans="1:27" ht="6" customHeight="1">
      <c r="A143" s="2226"/>
      <c r="U143" s="2227"/>
      <c r="W143" s="2253"/>
      <c r="X143" s="2253"/>
      <c r="Y143" s="2253"/>
      <c r="Z143" s="2253"/>
      <c r="AA143" s="2253"/>
    </row>
    <row r="144" spans="1:27" ht="19.5" customHeight="1">
      <c r="A144" s="2226" t="s">
        <v>1019</v>
      </c>
      <c r="B144" s="2228" t="s">
        <v>848</v>
      </c>
      <c r="E144" s="3804"/>
      <c r="F144" s="3805"/>
      <c r="G144" s="2254" t="s">
        <v>609</v>
      </c>
      <c r="I144" s="2228" t="s">
        <v>1570</v>
      </c>
      <c r="M144" s="3819"/>
      <c r="N144" s="3820"/>
      <c r="O144" s="2228" t="s">
        <v>762</v>
      </c>
      <c r="U144" s="2227"/>
      <c r="W144" s="2253"/>
      <c r="X144" s="2253"/>
      <c r="Y144" s="2253"/>
      <c r="Z144" s="2253"/>
      <c r="AA144" s="2253"/>
    </row>
    <row r="145" spans="1:23" ht="6" customHeight="1">
      <c r="A145" s="2226"/>
      <c r="U145" s="2227"/>
    </row>
    <row r="146" spans="1:23" ht="19.5" customHeight="1">
      <c r="A146" s="2226"/>
      <c r="B146" s="2228" t="s">
        <v>1571</v>
      </c>
      <c r="M146" s="3790">
        <f>E144</f>
        <v>0</v>
      </c>
      <c r="N146" s="3791"/>
      <c r="O146" s="2241" t="s">
        <v>1572</v>
      </c>
      <c r="P146" s="3816"/>
      <c r="Q146" s="3817"/>
      <c r="R146" s="2241" t="s">
        <v>1573</v>
      </c>
      <c r="S146" s="3790">
        <f>IF(ISBLANK(E142),"",M146*P146)</f>
        <v>0</v>
      </c>
      <c r="T146" s="3791"/>
      <c r="U146" s="2255" t="s">
        <v>1537</v>
      </c>
      <c r="W146" s="2222" t="s">
        <v>2183</v>
      </c>
    </row>
    <row r="147" spans="1:23" ht="6" customHeight="1">
      <c r="A147" s="2226"/>
      <c r="U147" s="2227"/>
    </row>
    <row r="148" spans="1:23" ht="19.5" customHeight="1">
      <c r="A148" s="2226" t="s">
        <v>1168</v>
      </c>
      <c r="B148" s="2228" t="s">
        <v>1574</v>
      </c>
      <c r="E148" s="3804"/>
      <c r="F148" s="3805"/>
      <c r="G148" s="2228" t="s">
        <v>609</v>
      </c>
      <c r="I148" s="2228" t="s">
        <v>1575</v>
      </c>
      <c r="M148" s="3819"/>
      <c r="N148" s="3820"/>
      <c r="O148" s="2228" t="s">
        <v>762</v>
      </c>
      <c r="U148" s="2227"/>
    </row>
    <row r="149" spans="1:23" ht="6" customHeight="1">
      <c r="A149" s="2226"/>
      <c r="U149" s="2227"/>
    </row>
    <row r="150" spans="1:23" ht="19.5" customHeight="1">
      <c r="A150" s="2226"/>
      <c r="B150" s="2228" t="s">
        <v>1576</v>
      </c>
      <c r="M150" s="3790">
        <f>E148</f>
        <v>0</v>
      </c>
      <c r="N150" s="3791"/>
      <c r="O150" s="2241" t="s">
        <v>1572</v>
      </c>
      <c r="P150" s="3816"/>
      <c r="Q150" s="3817"/>
      <c r="R150" s="2241" t="s">
        <v>1573</v>
      </c>
      <c r="S150" s="3802">
        <f>IF(ISBLANK(E142),"",M150*P150)</f>
        <v>0</v>
      </c>
      <c r="T150" s="3815"/>
      <c r="U150" s="2255" t="s">
        <v>1537</v>
      </c>
    </row>
    <row r="151" spans="1:23" ht="6" customHeight="1">
      <c r="A151" s="2226"/>
      <c r="U151" s="2227"/>
    </row>
    <row r="152" spans="1:23" ht="19.5" customHeight="1">
      <c r="A152" s="2226" t="s">
        <v>1172</v>
      </c>
      <c r="B152" s="2228" t="s">
        <v>1577</v>
      </c>
      <c r="L152" s="2256"/>
      <c r="M152" s="3790">
        <f>S146</f>
        <v>0</v>
      </c>
      <c r="N152" s="3791"/>
      <c r="O152" s="2232" t="s">
        <v>1578</v>
      </c>
      <c r="P152" s="3802">
        <f>S150</f>
        <v>0</v>
      </c>
      <c r="Q152" s="3815"/>
      <c r="R152" s="2232" t="s">
        <v>1579</v>
      </c>
      <c r="S152" s="3823">
        <f>IF(ISBLANK(E142),"",M152+P152)</f>
        <v>0</v>
      </c>
      <c r="T152" s="3824"/>
      <c r="U152" s="2256" t="s">
        <v>1537</v>
      </c>
    </row>
    <row r="153" spans="1:23" ht="6" customHeight="1">
      <c r="A153" s="2226"/>
      <c r="U153" s="2227"/>
    </row>
    <row r="154" spans="1:23" ht="19.5" customHeight="1">
      <c r="A154" s="2226" t="s">
        <v>1177</v>
      </c>
      <c r="B154" s="2228" t="s">
        <v>1580</v>
      </c>
      <c r="M154" s="3790" t="str">
        <f>IF(ISBLANK(E90)," ",I52)</f>
        <v xml:space="preserve"> </v>
      </c>
      <c r="N154" s="3791"/>
      <c r="O154" s="2241" t="s">
        <v>1552</v>
      </c>
      <c r="P154" s="3790">
        <v>2</v>
      </c>
      <c r="Q154" s="3791"/>
      <c r="R154" s="2241" t="s">
        <v>1279</v>
      </c>
      <c r="S154" s="3790" t="str">
        <f>IF(ISBLANK(E144),"",M154/P154)</f>
        <v/>
      </c>
      <c r="T154" s="3791"/>
      <c r="U154" s="2255" t="s">
        <v>1581</v>
      </c>
    </row>
    <row r="155" spans="1:23" ht="6" customHeight="1">
      <c r="A155" s="2226"/>
      <c r="U155" s="2227"/>
    </row>
    <row r="156" spans="1:23" s="2228" customFormat="1" ht="15" customHeight="1">
      <c r="A156" s="2254" t="s">
        <v>1177</v>
      </c>
      <c r="B156" s="2228" t="s">
        <v>1582</v>
      </c>
      <c r="U156" s="2255"/>
    </row>
    <row r="157" spans="1:23" s="2228" customFormat="1" ht="6" customHeight="1">
      <c r="A157" s="2254"/>
      <c r="U157" s="2255"/>
    </row>
    <row r="158" spans="1:23" s="2228" customFormat="1" ht="19.5" customHeight="1">
      <c r="A158" s="2254"/>
      <c r="B158" s="2257" t="s">
        <v>1557</v>
      </c>
      <c r="C158" s="3790" t="str">
        <f>S154</f>
        <v/>
      </c>
      <c r="D158" s="3791"/>
      <c r="E158" s="2241" t="s">
        <v>1343</v>
      </c>
      <c r="F158" s="3790">
        <v>0.61</v>
      </c>
      <c r="G158" s="3791"/>
      <c r="H158" s="2258" t="s">
        <v>1583</v>
      </c>
      <c r="I158" s="2232" t="s">
        <v>1558</v>
      </c>
      <c r="J158" s="2259">
        <v>60</v>
      </c>
      <c r="K158" s="2232" t="s">
        <v>1240</v>
      </c>
      <c r="L158" s="3823" t="str">
        <f>IF(ISBLANK(E144),"",(C158*F158)/60)</f>
        <v/>
      </c>
      <c r="M158" s="3824"/>
      <c r="N158" s="2258" t="s">
        <v>1584</v>
      </c>
      <c r="U158" s="2255"/>
    </row>
    <row r="159" spans="1:23" s="2228" customFormat="1" ht="6" customHeight="1">
      <c r="A159" s="2254"/>
      <c r="U159" s="2255"/>
    </row>
    <row r="160" spans="1:23" s="2228" customFormat="1" ht="19.5" customHeight="1">
      <c r="A160" s="2254" t="s">
        <v>1179</v>
      </c>
      <c r="B160" s="2228" t="s">
        <v>1585</v>
      </c>
      <c r="M160" s="3790" t="str">
        <f>M106</f>
        <v xml:space="preserve"> </v>
      </c>
      <c r="N160" s="3791"/>
      <c r="O160" s="2232" t="s">
        <v>1572</v>
      </c>
      <c r="P160" s="3790">
        <v>1.2E-2</v>
      </c>
      <c r="Q160" s="3791"/>
      <c r="R160" s="2232" t="s">
        <v>1240</v>
      </c>
      <c r="S160" s="3790" t="str">
        <f>IF(ISBLANK(E144),"",M160*P160)</f>
        <v/>
      </c>
      <c r="T160" s="3791"/>
      <c r="U160" s="2255" t="s">
        <v>1537</v>
      </c>
    </row>
    <row r="161" spans="1:24" s="2228" customFormat="1" ht="6" customHeight="1">
      <c r="A161" s="2254"/>
      <c r="U161" s="2255"/>
    </row>
    <row r="162" spans="1:24" s="2228" customFormat="1" ht="15" customHeight="1">
      <c r="A162" s="2254" t="s">
        <v>1181</v>
      </c>
      <c r="B162" s="2228" t="s">
        <v>1586</v>
      </c>
      <c r="U162" s="2255"/>
    </row>
    <row r="163" spans="1:24" s="2228" customFormat="1" ht="6" customHeight="1">
      <c r="A163" s="2254"/>
      <c r="U163" s="2255"/>
    </row>
    <row r="164" spans="1:24" s="2228" customFormat="1" ht="19.5" customHeight="1">
      <c r="A164" s="2254"/>
      <c r="B164" s="2257" t="s">
        <v>1557</v>
      </c>
      <c r="C164" s="3831">
        <v>4</v>
      </c>
      <c r="D164" s="3831"/>
      <c r="E164" s="2232" t="s">
        <v>1343</v>
      </c>
      <c r="F164" s="3790" t="str">
        <f>S160</f>
        <v/>
      </c>
      <c r="G164" s="3791"/>
      <c r="H164" s="2260" t="s">
        <v>1587</v>
      </c>
      <c r="I164" s="2232" t="s">
        <v>1588</v>
      </c>
      <c r="J164" s="3790">
        <f>S152</f>
        <v>0</v>
      </c>
      <c r="K164" s="3791"/>
      <c r="L164" s="2232" t="s">
        <v>1579</v>
      </c>
      <c r="M164" s="3823" t="str">
        <f>IF(ISBLANK(E144),"",(4*S160)+S152)</f>
        <v/>
      </c>
      <c r="N164" s="3824"/>
      <c r="O164" s="2228" t="s">
        <v>1537</v>
      </c>
      <c r="U164" s="2255"/>
    </row>
    <row r="165" spans="1:24" s="2228" customFormat="1" ht="6" customHeight="1">
      <c r="A165" s="2254"/>
      <c r="U165" s="2255"/>
    </row>
    <row r="166" spans="1:24" s="2228" customFormat="1" ht="15" customHeight="1">
      <c r="A166" s="2254" t="s">
        <v>1184</v>
      </c>
      <c r="B166" s="520" t="s">
        <v>2199</v>
      </c>
      <c r="U166" s="2255"/>
    </row>
    <row r="167" spans="1:24" s="2228" customFormat="1" ht="6" customHeight="1">
      <c r="A167" s="2254"/>
      <c r="U167" s="2255"/>
    </row>
    <row r="168" spans="1:24" s="2228" customFormat="1" ht="19.5" customHeight="1">
      <c r="A168" s="2254"/>
      <c r="B168" s="3790">
        <f>IF(ISBLANK(E88),"",F10/12)</f>
        <v>0</v>
      </c>
      <c r="C168" s="3791"/>
      <c r="D168" s="2232" t="s">
        <v>1389</v>
      </c>
      <c r="E168" s="3825">
        <v>8.3000000000000004E-2</v>
      </c>
      <c r="F168" s="3826"/>
      <c r="G168" s="2232" t="s">
        <v>1552</v>
      </c>
      <c r="H168" s="3790" t="str">
        <f>M106</f>
        <v xml:space="preserve"> </v>
      </c>
      <c r="I168" s="3791"/>
      <c r="J168" s="2232" t="s">
        <v>1572</v>
      </c>
      <c r="K168" s="3827">
        <f>IF(ISBLANK(E142),"",F18)</f>
        <v>0</v>
      </c>
      <c r="L168" s="3828"/>
      <c r="M168" s="2232" t="s">
        <v>1343</v>
      </c>
      <c r="N168" s="2259">
        <v>7.5</v>
      </c>
      <c r="O168" s="2259" t="s">
        <v>987</v>
      </c>
      <c r="P168" s="3829">
        <f>S152</f>
        <v>0</v>
      </c>
      <c r="Q168" s="3830"/>
      <c r="R168" s="2232" t="s">
        <v>1240</v>
      </c>
      <c r="S168" s="3823" t="str">
        <f>IF(ISBLANK(E144),"",B168*E168*H168*K168*N168+P168)</f>
        <v/>
      </c>
      <c r="T168" s="3824"/>
      <c r="U168" s="2228" t="s">
        <v>1537</v>
      </c>
    </row>
    <row r="169" spans="1:24" s="2228" customFormat="1" ht="6" customHeight="1">
      <c r="A169" s="2254"/>
      <c r="U169" s="2255"/>
    </row>
    <row r="170" spans="1:24" s="2228" customFormat="1" ht="19.5" customHeight="1">
      <c r="A170" s="2254" t="s">
        <v>1186</v>
      </c>
      <c r="B170" s="2228" t="s">
        <v>1590</v>
      </c>
      <c r="O170" s="3832"/>
      <c r="P170" s="3833"/>
      <c r="Q170" s="2228" t="s">
        <v>1537</v>
      </c>
      <c r="U170" s="2255"/>
    </row>
    <row r="171" spans="1:24" s="2228" customFormat="1" ht="6" customHeight="1">
      <c r="A171" s="2254"/>
      <c r="U171" s="2255"/>
    </row>
    <row r="172" spans="1:24" s="2228" customFormat="1" ht="19.5" customHeight="1">
      <c r="A172" s="2254" t="s">
        <v>1224</v>
      </c>
      <c r="B172" s="2228" t="s">
        <v>1591</v>
      </c>
      <c r="L172" s="3790">
        <f>IF(ISBLANK(E142),"",O170)</f>
        <v>0</v>
      </c>
      <c r="M172" s="3791"/>
      <c r="N172" s="2241" t="s">
        <v>1558</v>
      </c>
      <c r="O172" s="3802" t="str">
        <f>L158</f>
        <v/>
      </c>
      <c r="P172" s="3815"/>
      <c r="Q172" s="2241" t="s">
        <v>1240</v>
      </c>
      <c r="R172" s="3802" t="str">
        <f>IF(ISBLANK(E144),"",L172/O172)</f>
        <v/>
      </c>
      <c r="S172" s="3815"/>
      <c r="T172" s="2228" t="s">
        <v>1592</v>
      </c>
      <c r="U172" s="2255"/>
    </row>
    <row r="173" spans="1:24" s="2228" customFormat="1" ht="6" customHeight="1">
      <c r="A173" s="2254"/>
      <c r="U173" s="2255"/>
    </row>
    <row r="174" spans="1:24" s="2228" customFormat="1" ht="15" customHeight="1">
      <c r="A174" s="2254" t="s">
        <v>1227</v>
      </c>
      <c r="B174" s="2228" t="s">
        <v>1593</v>
      </c>
      <c r="U174" s="2255"/>
    </row>
    <row r="175" spans="1:24" s="2228" customFormat="1" ht="6" customHeight="1">
      <c r="A175" s="2254"/>
      <c r="U175" s="2255"/>
    </row>
    <row r="176" spans="1:24" s="2228" customFormat="1" ht="19.5" customHeight="1">
      <c r="A176" s="2254"/>
      <c r="B176" s="3790" t="str">
        <f>IF(ISBLANK(E4)," ",E4)</f>
        <v xml:space="preserve"> </v>
      </c>
      <c r="C176" s="3791"/>
      <c r="D176" s="2232" t="s">
        <v>1890</v>
      </c>
      <c r="E176" s="3790">
        <f>IF(ISBLANK(E88),"",E43)</f>
        <v>0</v>
      </c>
      <c r="F176" s="3791"/>
      <c r="G176" s="2232" t="s">
        <v>2187</v>
      </c>
      <c r="H176" s="3790">
        <f>IF(ISBLANK(E142),"",O170)</f>
        <v>0</v>
      </c>
      <c r="I176" s="3791"/>
      <c r="J176" s="3813" t="s">
        <v>2188</v>
      </c>
      <c r="K176" s="3814"/>
      <c r="L176" s="3802" t="str">
        <f>IF(ISBLANK(E144),"",MAX(4,(B176/E176/H176)))</f>
        <v/>
      </c>
      <c r="M176" s="3815"/>
      <c r="N176" s="2228" t="s">
        <v>1595</v>
      </c>
      <c r="O176" s="2234" t="s">
        <v>2200</v>
      </c>
      <c r="U176" s="2255"/>
      <c r="W176" s="2261" t="s">
        <v>2201</v>
      </c>
      <c r="X176" s="1655"/>
    </row>
    <row r="177" spans="1:21" s="2228" customFormat="1" ht="6" customHeight="1">
      <c r="A177" s="2254"/>
      <c r="U177" s="2255"/>
    </row>
    <row r="178" spans="1:21" s="2228" customFormat="1" ht="19.5" customHeight="1">
      <c r="A178" s="2254" t="s">
        <v>1480</v>
      </c>
      <c r="B178" s="2262" t="s">
        <v>2189</v>
      </c>
      <c r="J178" s="2264">
        <v>1440</v>
      </c>
      <c r="K178" s="2232" t="s">
        <v>1558</v>
      </c>
      <c r="L178" s="3834" t="str">
        <f>L176</f>
        <v/>
      </c>
      <c r="M178" s="3835"/>
      <c r="N178" s="2232" t="s">
        <v>1240</v>
      </c>
      <c r="O178" s="3834" t="str">
        <f>IF(ISBLANK(E144),"",J178/L178)</f>
        <v/>
      </c>
      <c r="P178" s="3835"/>
      <c r="Q178" s="2228" t="s">
        <v>1592</v>
      </c>
    </row>
    <row r="179" spans="1:21" s="2228" customFormat="1" ht="6" customHeight="1">
      <c r="A179" s="2254"/>
      <c r="U179" s="2255"/>
    </row>
    <row r="180" spans="1:21" s="2228" customFormat="1" ht="19.5" customHeight="1">
      <c r="A180" s="2254" t="s">
        <v>1483</v>
      </c>
      <c r="B180" s="2228" t="s">
        <v>1597</v>
      </c>
      <c r="I180" s="3802" t="str">
        <f>O178</f>
        <v/>
      </c>
      <c r="J180" s="3791"/>
      <c r="K180" s="2232" t="s">
        <v>988</v>
      </c>
      <c r="L180" s="3802" t="str">
        <f>R172</f>
        <v/>
      </c>
      <c r="M180" s="3791"/>
      <c r="N180" s="2232" t="s">
        <v>1240</v>
      </c>
      <c r="O180" s="3802" t="str">
        <f>IF(ISBLANK(E144),"",I180-L180)</f>
        <v/>
      </c>
      <c r="P180" s="3791"/>
      <c r="Q180" s="2228" t="s">
        <v>1592</v>
      </c>
      <c r="U180" s="2255"/>
    </row>
    <row r="181" spans="1:21" s="2228" customFormat="1" ht="6" customHeight="1">
      <c r="A181" s="2254"/>
      <c r="U181" s="2255"/>
    </row>
    <row r="182" spans="1:21" s="2228" customFormat="1" ht="19.5" customHeight="1">
      <c r="A182" s="2254" t="s">
        <v>1485</v>
      </c>
      <c r="B182" s="2228" t="s">
        <v>1598</v>
      </c>
      <c r="K182" s="3790">
        <f>Q108</f>
        <v>0</v>
      </c>
      <c r="L182" s="3791"/>
      <c r="M182" s="2259" t="s">
        <v>1343</v>
      </c>
      <c r="N182" s="2265">
        <f>1.6</f>
        <v>1.6</v>
      </c>
      <c r="O182" s="2259" t="s">
        <v>1240</v>
      </c>
      <c r="P182" s="3790" t="str">
        <f>IF(ISBLANK(E144),"",K182*N182)</f>
        <v/>
      </c>
      <c r="Q182" s="3791"/>
      <c r="R182" s="2258" t="s">
        <v>1537</v>
      </c>
    </row>
    <row r="183" spans="1:21" s="2228" customFormat="1" ht="6" customHeight="1">
      <c r="A183" s="2254"/>
      <c r="U183" s="2255"/>
    </row>
    <row r="184" spans="1:21" s="2228" customFormat="1" ht="15" customHeight="1">
      <c r="A184" s="2254" t="s">
        <v>1599</v>
      </c>
      <c r="B184" s="2228" t="s">
        <v>1600</v>
      </c>
      <c r="U184" s="2255"/>
    </row>
    <row r="185" spans="1:21" s="2228" customFormat="1" ht="6" customHeight="1">
      <c r="A185" s="2254"/>
      <c r="U185" s="2255"/>
    </row>
    <row r="186" spans="1:21" s="2228" customFormat="1" ht="19.5" customHeight="1">
      <c r="A186" s="2254"/>
      <c r="B186" s="3838" t="str">
        <f>L158</f>
        <v/>
      </c>
      <c r="C186" s="3839"/>
      <c r="D186" s="2232" t="s">
        <v>987</v>
      </c>
      <c r="E186" s="3790" t="str">
        <f>P182</f>
        <v/>
      </c>
      <c r="F186" s="3791"/>
      <c r="G186" s="2232" t="s">
        <v>1240</v>
      </c>
      <c r="H186" s="3838" t="str">
        <f>IF(ISBLANK(E144),"",B186+E186)</f>
        <v/>
      </c>
      <c r="I186" s="3839"/>
      <c r="J186" s="2258" t="s">
        <v>1584</v>
      </c>
      <c r="U186" s="2255"/>
    </row>
    <row r="187" spans="1:21" s="2228" customFormat="1" ht="6" customHeight="1">
      <c r="A187" s="2254"/>
      <c r="U187" s="2255"/>
    </row>
    <row r="188" spans="1:21" s="2228" customFormat="1" ht="19.5" customHeight="1">
      <c r="A188" s="2254" t="s">
        <v>1601</v>
      </c>
      <c r="B188" s="2262" t="s">
        <v>1602</v>
      </c>
      <c r="I188" s="3790" t="str">
        <f>H186</f>
        <v/>
      </c>
      <c r="J188" s="3791"/>
      <c r="K188" s="2232" t="s">
        <v>1343</v>
      </c>
      <c r="L188" s="3802" t="str">
        <f>R172</f>
        <v/>
      </c>
      <c r="M188" s="3791"/>
      <c r="N188" s="2232" t="s">
        <v>1240</v>
      </c>
      <c r="O188" s="3806" t="str">
        <f>IF(ISBLANK(E144),"",I188*L188)</f>
        <v/>
      </c>
      <c r="P188" s="3807"/>
      <c r="Q188" s="2228" t="s">
        <v>1537</v>
      </c>
      <c r="U188" s="2255"/>
    </row>
    <row r="189" spans="1:21" s="2228" customFormat="1" ht="6" customHeight="1">
      <c r="A189" s="2254"/>
      <c r="U189" s="2255"/>
    </row>
    <row r="190" spans="1:21" s="2228" customFormat="1" ht="15" customHeight="1">
      <c r="A190" s="2254" t="s">
        <v>1603</v>
      </c>
      <c r="B190" s="2228" t="s">
        <v>1604</v>
      </c>
      <c r="C190" s="1244"/>
      <c r="D190" s="1244"/>
      <c r="E190" s="1244"/>
      <c r="F190" s="1244"/>
      <c r="G190" s="1244"/>
      <c r="H190" s="1244"/>
      <c r="I190" s="1244"/>
      <c r="J190" s="1244"/>
      <c r="K190" s="1244"/>
      <c r="L190" s="2263"/>
      <c r="U190" s="2255"/>
    </row>
    <row r="191" spans="1:21" s="2228" customFormat="1" ht="6" customHeight="1">
      <c r="A191" s="2254"/>
      <c r="U191" s="2255"/>
    </row>
    <row r="192" spans="1:21" s="2228" customFormat="1" ht="19.5" customHeight="1">
      <c r="A192" s="2254"/>
      <c r="B192" s="3802">
        <f>IF(ISBLANK(E88),"",E43)</f>
        <v>0</v>
      </c>
      <c r="C192" s="3815"/>
      <c r="D192" s="2263" t="s">
        <v>1343</v>
      </c>
      <c r="E192" s="3802" t="str">
        <f>L176</f>
        <v/>
      </c>
      <c r="F192" s="3815"/>
      <c r="G192" s="2263" t="s">
        <v>1343</v>
      </c>
      <c r="H192" s="3802" t="str">
        <f>R172</f>
        <v/>
      </c>
      <c r="I192" s="3815"/>
      <c r="J192" s="2263" t="s">
        <v>1240</v>
      </c>
      <c r="K192" s="3802" t="str">
        <f>IF(ISBLANK(E144),"",B192*E192*H192)</f>
        <v/>
      </c>
      <c r="L192" s="3815"/>
      <c r="M192" s="1244" t="s">
        <v>1592</v>
      </c>
      <c r="O192" s="1653" t="s">
        <v>2198</v>
      </c>
      <c r="U192" s="2255"/>
    </row>
    <row r="193" spans="1:27" ht="6" customHeight="1">
      <c r="A193" s="2226"/>
      <c r="U193" s="2227"/>
    </row>
    <row r="194" spans="1:27" ht="15" customHeight="1">
      <c r="A194" s="3794" t="s">
        <v>1620</v>
      </c>
      <c r="B194" s="3795"/>
      <c r="C194" s="3795"/>
      <c r="D194" s="3795"/>
      <c r="E194" s="3795"/>
      <c r="F194" s="3795"/>
      <c r="G194" s="3795"/>
      <c r="H194" s="3795"/>
      <c r="I194" s="3795"/>
      <c r="J194" s="3795"/>
      <c r="K194" s="3795"/>
      <c r="L194" s="3795"/>
      <c r="M194" s="3795"/>
      <c r="N194" s="3795"/>
      <c r="O194" s="3795"/>
      <c r="P194" s="3795"/>
      <c r="Q194" s="3795"/>
      <c r="R194" s="3795"/>
      <c r="S194" s="3795"/>
      <c r="T194" s="3795"/>
      <c r="U194" s="3796"/>
    </row>
    <row r="195" spans="1:27" ht="6" customHeight="1">
      <c r="A195" s="2250"/>
      <c r="B195" s="2251"/>
      <c r="C195" s="2251"/>
      <c r="D195" s="2251"/>
      <c r="E195" s="2251"/>
      <c r="F195" s="2251"/>
      <c r="G195" s="2251"/>
      <c r="H195" s="2251"/>
      <c r="I195" s="2251"/>
      <c r="J195" s="2251"/>
      <c r="K195" s="2251"/>
      <c r="L195" s="2251"/>
      <c r="M195" s="2251"/>
      <c r="N195" s="2251"/>
      <c r="O195" s="2251"/>
      <c r="P195" s="2251"/>
      <c r="Q195" s="2251"/>
      <c r="R195" s="2251"/>
      <c r="S195" s="2251"/>
      <c r="T195" s="2251"/>
      <c r="U195" s="2252"/>
    </row>
    <row r="196" spans="1:27" ht="19.5" customHeight="1">
      <c r="A196" s="2226" t="s">
        <v>1011</v>
      </c>
      <c r="B196" s="2228" t="s">
        <v>1569</v>
      </c>
      <c r="E196" s="3810">
        <v>2</v>
      </c>
      <c r="F196" s="3811"/>
      <c r="G196" s="2228" t="s">
        <v>609</v>
      </c>
      <c r="I196" s="3822" t="s">
        <v>2182</v>
      </c>
      <c r="J196" s="3822"/>
      <c r="K196" s="3822"/>
      <c r="L196" s="3822"/>
      <c r="M196" s="3822"/>
      <c r="N196" s="3822"/>
      <c r="O196" s="3822"/>
      <c r="P196" s="3822"/>
      <c r="Q196" s="3822"/>
      <c r="R196" s="3822"/>
      <c r="S196" s="3822"/>
      <c r="T196" s="3822"/>
      <c r="U196" s="2227"/>
      <c r="X196" s="2253"/>
      <c r="Y196" s="2253"/>
      <c r="Z196" s="2253"/>
      <c r="AA196" s="2253"/>
    </row>
    <row r="197" spans="1:27" ht="6" customHeight="1">
      <c r="A197" s="2226"/>
      <c r="U197" s="2227"/>
      <c r="W197" s="2253"/>
      <c r="X197" s="2253"/>
      <c r="Y197" s="2253"/>
      <c r="Z197" s="2253"/>
      <c r="AA197" s="2253"/>
    </row>
    <row r="198" spans="1:27" ht="19.5" customHeight="1">
      <c r="A198" s="2226" t="s">
        <v>1019</v>
      </c>
      <c r="B198" s="2228" t="s">
        <v>848</v>
      </c>
      <c r="E198" s="3804"/>
      <c r="F198" s="3805"/>
      <c r="G198" s="2254" t="s">
        <v>609</v>
      </c>
      <c r="I198" s="2228" t="s">
        <v>1570</v>
      </c>
      <c r="M198" s="3819"/>
      <c r="N198" s="3820"/>
      <c r="O198" s="2228" t="s">
        <v>762</v>
      </c>
      <c r="U198" s="2227"/>
      <c r="W198" s="2253"/>
      <c r="X198" s="2253"/>
      <c r="Y198" s="2253"/>
      <c r="Z198" s="2253"/>
      <c r="AA198" s="2253"/>
    </row>
    <row r="199" spans="1:27" ht="6" customHeight="1">
      <c r="A199" s="2226"/>
      <c r="U199" s="2227"/>
    </row>
    <row r="200" spans="1:27" ht="19.5" customHeight="1">
      <c r="A200" s="2226"/>
      <c r="B200" s="2228" t="s">
        <v>1571</v>
      </c>
      <c r="M200" s="3790">
        <f>E198</f>
        <v>0</v>
      </c>
      <c r="N200" s="3791"/>
      <c r="O200" s="2241" t="s">
        <v>1572</v>
      </c>
      <c r="P200" s="3816"/>
      <c r="Q200" s="3817"/>
      <c r="R200" s="2241" t="s">
        <v>1573</v>
      </c>
      <c r="S200" s="3790">
        <f>IF(ISBLANK(E196),"",M200*P200)</f>
        <v>0</v>
      </c>
      <c r="T200" s="3791"/>
      <c r="U200" s="2255" t="s">
        <v>1537</v>
      </c>
      <c r="W200" s="2222" t="s">
        <v>2183</v>
      </c>
    </row>
    <row r="201" spans="1:27" ht="6" customHeight="1">
      <c r="A201" s="2226"/>
      <c r="U201" s="2227"/>
    </row>
    <row r="202" spans="1:27" ht="19.5" customHeight="1">
      <c r="A202" s="2226" t="s">
        <v>1168</v>
      </c>
      <c r="B202" s="2228" t="s">
        <v>1574</v>
      </c>
      <c r="E202" s="3804"/>
      <c r="F202" s="3805"/>
      <c r="G202" s="2228" t="s">
        <v>609</v>
      </c>
      <c r="I202" s="2228" t="s">
        <v>1575</v>
      </c>
      <c r="M202" s="3819"/>
      <c r="N202" s="3820"/>
      <c r="O202" s="2228" t="s">
        <v>762</v>
      </c>
      <c r="U202" s="2227"/>
    </row>
    <row r="203" spans="1:27" ht="6" customHeight="1">
      <c r="A203" s="2226"/>
      <c r="U203" s="2227"/>
    </row>
    <row r="204" spans="1:27" ht="19.5" customHeight="1">
      <c r="A204" s="2226"/>
      <c r="B204" s="2228" t="s">
        <v>1576</v>
      </c>
      <c r="M204" s="3790">
        <f>E202</f>
        <v>0</v>
      </c>
      <c r="N204" s="3791"/>
      <c r="O204" s="2241" t="s">
        <v>1572</v>
      </c>
      <c r="P204" s="3816"/>
      <c r="Q204" s="3817"/>
      <c r="R204" s="2241" t="s">
        <v>1573</v>
      </c>
      <c r="S204" s="3802">
        <f>IF(ISBLANK(E196),"",M204*P204)</f>
        <v>0</v>
      </c>
      <c r="T204" s="3815"/>
      <c r="U204" s="2255" t="s">
        <v>1537</v>
      </c>
    </row>
    <row r="205" spans="1:27" ht="6" customHeight="1">
      <c r="A205" s="2226"/>
      <c r="U205" s="2227"/>
    </row>
    <row r="206" spans="1:27" ht="19.5" customHeight="1">
      <c r="A206" s="2226" t="s">
        <v>1172</v>
      </c>
      <c r="B206" s="2228" t="s">
        <v>1577</v>
      </c>
      <c r="L206" s="2256"/>
      <c r="M206" s="3790">
        <f>S200</f>
        <v>0</v>
      </c>
      <c r="N206" s="3791"/>
      <c r="O206" s="2232" t="s">
        <v>1578</v>
      </c>
      <c r="P206" s="3802">
        <f>S204</f>
        <v>0</v>
      </c>
      <c r="Q206" s="3815"/>
      <c r="R206" s="2232" t="s">
        <v>1579</v>
      </c>
      <c r="S206" s="3823">
        <f>IF(ISBLANK(E196),"",M206+P206)</f>
        <v>0</v>
      </c>
      <c r="T206" s="3824"/>
      <c r="U206" s="2256" t="s">
        <v>1537</v>
      </c>
    </row>
    <row r="207" spans="1:27" ht="6" customHeight="1">
      <c r="A207" s="2226"/>
      <c r="U207" s="2227"/>
    </row>
    <row r="208" spans="1:27" ht="19.5" customHeight="1">
      <c r="A208" s="2226" t="s">
        <v>1177</v>
      </c>
      <c r="B208" s="2228" t="s">
        <v>1580</v>
      </c>
      <c r="M208" s="3790" t="str">
        <f>IF(ISBLANK(E90)," ",I52)</f>
        <v xml:space="preserve"> </v>
      </c>
      <c r="N208" s="3791"/>
      <c r="O208" s="2241" t="s">
        <v>1552</v>
      </c>
      <c r="P208" s="3790">
        <v>2</v>
      </c>
      <c r="Q208" s="3791"/>
      <c r="R208" s="2241" t="s">
        <v>1279</v>
      </c>
      <c r="S208" s="3790" t="str">
        <f>IF(ISBLANK(E198),"",M208/P208)</f>
        <v/>
      </c>
      <c r="T208" s="3791"/>
      <c r="U208" s="2255" t="s">
        <v>1581</v>
      </c>
    </row>
    <row r="209" spans="1:21" ht="6" customHeight="1">
      <c r="A209" s="2226"/>
      <c r="U209" s="2227"/>
    </row>
    <row r="210" spans="1:21" s="2228" customFormat="1" ht="15" customHeight="1">
      <c r="A210" s="2254" t="s">
        <v>1177</v>
      </c>
      <c r="B210" s="2228" t="s">
        <v>1582</v>
      </c>
      <c r="U210" s="2255"/>
    </row>
    <row r="211" spans="1:21" s="2228" customFormat="1" ht="6" customHeight="1">
      <c r="A211" s="2254"/>
      <c r="U211" s="2255"/>
    </row>
    <row r="212" spans="1:21" s="2228" customFormat="1" ht="19.5" customHeight="1">
      <c r="A212" s="2254"/>
      <c r="B212" s="2257" t="s">
        <v>1557</v>
      </c>
      <c r="C212" s="3790" t="str">
        <f>S208</f>
        <v/>
      </c>
      <c r="D212" s="3791"/>
      <c r="E212" s="2241" t="s">
        <v>1343</v>
      </c>
      <c r="F212" s="3790">
        <v>0.61</v>
      </c>
      <c r="G212" s="3791"/>
      <c r="H212" s="2258" t="s">
        <v>1583</v>
      </c>
      <c r="I212" s="2232" t="s">
        <v>1558</v>
      </c>
      <c r="J212" s="2259">
        <v>60</v>
      </c>
      <c r="K212" s="2232" t="s">
        <v>1240</v>
      </c>
      <c r="L212" s="3823" t="str">
        <f>IF(ISBLANK(E198),"",(C212*F212)/60)</f>
        <v/>
      </c>
      <c r="M212" s="3824"/>
      <c r="N212" s="2258" t="s">
        <v>1584</v>
      </c>
      <c r="U212" s="2255"/>
    </row>
    <row r="213" spans="1:21" s="2228" customFormat="1" ht="6" customHeight="1">
      <c r="A213" s="2254"/>
      <c r="U213" s="2255"/>
    </row>
    <row r="214" spans="1:21" s="2228" customFormat="1" ht="19.5" customHeight="1">
      <c r="A214" s="2254" t="s">
        <v>1179</v>
      </c>
      <c r="B214" s="2228" t="s">
        <v>1585</v>
      </c>
      <c r="M214" s="3790" t="str">
        <f>M160</f>
        <v xml:space="preserve"> </v>
      </c>
      <c r="N214" s="3791"/>
      <c r="O214" s="2232" t="s">
        <v>1572</v>
      </c>
      <c r="P214" s="3790">
        <v>1.2E-2</v>
      </c>
      <c r="Q214" s="3791"/>
      <c r="R214" s="2232" t="s">
        <v>1240</v>
      </c>
      <c r="S214" s="3790" t="str">
        <f>IF(ISBLANK(E198),"",M214*P214)</f>
        <v/>
      </c>
      <c r="T214" s="3791"/>
      <c r="U214" s="2255" t="s">
        <v>1537</v>
      </c>
    </row>
    <row r="215" spans="1:21" s="2228" customFormat="1" ht="6" customHeight="1">
      <c r="A215" s="2254"/>
      <c r="U215" s="2255"/>
    </row>
    <row r="216" spans="1:21" s="2228" customFormat="1" ht="15" customHeight="1">
      <c r="A216" s="2254" t="s">
        <v>1181</v>
      </c>
      <c r="B216" s="2228" t="s">
        <v>1586</v>
      </c>
      <c r="U216" s="2255"/>
    </row>
    <row r="217" spans="1:21" s="2228" customFormat="1" ht="6" customHeight="1">
      <c r="A217" s="2254"/>
      <c r="U217" s="2255"/>
    </row>
    <row r="218" spans="1:21" s="2228" customFormat="1" ht="19.5" customHeight="1">
      <c r="A218" s="2254"/>
      <c r="B218" s="2257" t="s">
        <v>1557</v>
      </c>
      <c r="C218" s="3831">
        <v>4</v>
      </c>
      <c r="D218" s="3831"/>
      <c r="E218" s="2232" t="s">
        <v>1343</v>
      </c>
      <c r="F218" s="3790" t="str">
        <f>S214</f>
        <v/>
      </c>
      <c r="G218" s="3791"/>
      <c r="H218" s="2260" t="s">
        <v>1587</v>
      </c>
      <c r="I218" s="2232" t="s">
        <v>1588</v>
      </c>
      <c r="J218" s="3790">
        <f>S206</f>
        <v>0</v>
      </c>
      <c r="K218" s="3791"/>
      <c r="L218" s="2232" t="s">
        <v>1579</v>
      </c>
      <c r="M218" s="3823" t="str">
        <f>IF(ISBLANK(E198),"",(4*S214)+S206)</f>
        <v/>
      </c>
      <c r="N218" s="3824"/>
      <c r="O218" s="2228" t="s">
        <v>1537</v>
      </c>
      <c r="U218" s="2255"/>
    </row>
    <row r="219" spans="1:21" s="2228" customFormat="1" ht="6" customHeight="1">
      <c r="A219" s="2254"/>
      <c r="U219" s="2255"/>
    </row>
    <row r="220" spans="1:21" s="2228" customFormat="1" ht="15" customHeight="1">
      <c r="A220" s="2254" t="s">
        <v>1184</v>
      </c>
      <c r="B220" s="520" t="s">
        <v>2199</v>
      </c>
      <c r="U220" s="2255"/>
    </row>
    <row r="221" spans="1:21" s="2228" customFormat="1" ht="6" customHeight="1">
      <c r="A221" s="2254"/>
      <c r="U221" s="2255"/>
    </row>
    <row r="222" spans="1:21" s="2228" customFormat="1" ht="19.5" customHeight="1">
      <c r="A222" s="2254"/>
      <c r="B222" s="3790">
        <f>IF(ISBLANK(E196),"",F10/12)</f>
        <v>0</v>
      </c>
      <c r="C222" s="3791"/>
      <c r="D222" s="2232" t="s">
        <v>1389</v>
      </c>
      <c r="E222" s="3825">
        <v>8.3000000000000004E-2</v>
      </c>
      <c r="F222" s="3826"/>
      <c r="G222" s="2232" t="s">
        <v>1552</v>
      </c>
      <c r="H222" s="3790" t="str">
        <f>M160</f>
        <v xml:space="preserve"> </v>
      </c>
      <c r="I222" s="3791"/>
      <c r="J222" s="2232" t="s">
        <v>1572</v>
      </c>
      <c r="K222" s="3827">
        <f>IF(ISBLANK(E88),"",F18)</f>
        <v>0</v>
      </c>
      <c r="L222" s="3828"/>
      <c r="M222" s="2232" t="s">
        <v>1343</v>
      </c>
      <c r="N222" s="2259">
        <v>7.5</v>
      </c>
      <c r="O222" s="2259" t="s">
        <v>987</v>
      </c>
      <c r="P222" s="3829">
        <f>S206</f>
        <v>0</v>
      </c>
      <c r="Q222" s="3830"/>
      <c r="R222" s="2232" t="s">
        <v>1240</v>
      </c>
      <c r="S222" s="3823" t="str">
        <f>IF(ISBLANK(E198),"",B222*E222*H222*K222*N222+P222)</f>
        <v/>
      </c>
      <c r="T222" s="3824"/>
      <c r="U222" s="2228" t="s">
        <v>1537</v>
      </c>
    </row>
    <row r="223" spans="1:21" s="2228" customFormat="1" ht="6" customHeight="1">
      <c r="A223" s="2254"/>
      <c r="U223" s="2255"/>
    </row>
    <row r="224" spans="1:21" s="2228" customFormat="1" ht="19.5" customHeight="1">
      <c r="A224" s="2254" t="s">
        <v>1186</v>
      </c>
      <c r="B224" s="2228" t="s">
        <v>1590</v>
      </c>
      <c r="O224" s="3832"/>
      <c r="P224" s="3833"/>
      <c r="Q224" s="2228" t="s">
        <v>1537</v>
      </c>
      <c r="U224" s="2255"/>
    </row>
    <row r="225" spans="1:24" s="2228" customFormat="1" ht="6" customHeight="1">
      <c r="A225" s="2254"/>
      <c r="U225" s="2255"/>
    </row>
    <row r="226" spans="1:24" s="2228" customFormat="1" ht="19.5" customHeight="1">
      <c r="A226" s="2254" t="s">
        <v>1224</v>
      </c>
      <c r="B226" s="2228" t="s">
        <v>1591</v>
      </c>
      <c r="L226" s="3790">
        <f>IF(ISBLANK(E196),"",O224)</f>
        <v>0</v>
      </c>
      <c r="M226" s="3791"/>
      <c r="N226" s="2241" t="s">
        <v>1558</v>
      </c>
      <c r="O226" s="3802" t="str">
        <f>L212</f>
        <v/>
      </c>
      <c r="P226" s="3815"/>
      <c r="Q226" s="2241" t="s">
        <v>1240</v>
      </c>
      <c r="R226" s="3802" t="str">
        <f>IF(ISBLANK(E198),"",L226/O226)</f>
        <v/>
      </c>
      <c r="S226" s="3815"/>
      <c r="T226" s="2228" t="s">
        <v>1592</v>
      </c>
      <c r="U226" s="2255"/>
    </row>
    <row r="227" spans="1:24" s="2228" customFormat="1" ht="6" customHeight="1">
      <c r="A227" s="2254"/>
      <c r="U227" s="2255"/>
    </row>
    <row r="228" spans="1:24" s="2228" customFormat="1" ht="15" customHeight="1">
      <c r="A228" s="2254" t="s">
        <v>1227</v>
      </c>
      <c r="B228" s="2228" t="s">
        <v>1593</v>
      </c>
      <c r="U228" s="2255"/>
    </row>
    <row r="229" spans="1:24" s="2228" customFormat="1" ht="6" customHeight="1">
      <c r="A229" s="2254"/>
      <c r="U229" s="2255"/>
    </row>
    <row r="230" spans="1:24" s="2228" customFormat="1" ht="19.5" customHeight="1">
      <c r="A230" s="2254"/>
      <c r="B230" s="3790" t="str">
        <f>IF(ISBLANK(E4)," ",E4)</f>
        <v xml:space="preserve"> </v>
      </c>
      <c r="C230" s="3791"/>
      <c r="D230" s="2232" t="s">
        <v>1890</v>
      </c>
      <c r="E230" s="3790">
        <f>IF(ISBLANK(E88),"",E43)</f>
        <v>0</v>
      </c>
      <c r="F230" s="3791"/>
      <c r="G230" s="2232" t="s">
        <v>2187</v>
      </c>
      <c r="H230" s="3790">
        <f>IF(ISBLANK(E196),"",O224)</f>
        <v>0</v>
      </c>
      <c r="I230" s="3791"/>
      <c r="J230" s="3813" t="s">
        <v>2188</v>
      </c>
      <c r="K230" s="3814"/>
      <c r="L230" s="3802" t="str">
        <f>IF(ISBLANK(E198),"",MAX(4,(B230/E230/H230)))</f>
        <v/>
      </c>
      <c r="M230" s="3815"/>
      <c r="N230" s="2228" t="s">
        <v>1595</v>
      </c>
      <c r="O230" s="2234" t="s">
        <v>1594</v>
      </c>
      <c r="U230" s="2255"/>
      <c r="W230" s="2261" t="s">
        <v>2201</v>
      </c>
      <c r="X230" s="1655"/>
    </row>
    <row r="231" spans="1:24" s="2228" customFormat="1" ht="6" customHeight="1">
      <c r="A231" s="2254"/>
      <c r="U231" s="2255"/>
    </row>
    <row r="232" spans="1:24" s="2228" customFormat="1" ht="19.5" customHeight="1">
      <c r="A232" s="2254" t="s">
        <v>1480</v>
      </c>
      <c r="B232" s="2262" t="s">
        <v>2189</v>
      </c>
      <c r="J232" s="3788">
        <v>1440</v>
      </c>
      <c r="K232" s="3789"/>
      <c r="L232" s="2232" t="s">
        <v>1558</v>
      </c>
      <c r="M232" s="3834" t="str">
        <f>L230</f>
        <v/>
      </c>
      <c r="N232" s="3835"/>
      <c r="O232" s="2232" t="s">
        <v>1240</v>
      </c>
      <c r="P232" s="3834" t="str">
        <f>IF(ISBLANK(E198),"",J232/M232)</f>
        <v/>
      </c>
      <c r="Q232" s="3835"/>
      <c r="T232" s="2228" t="s">
        <v>1592</v>
      </c>
      <c r="U232" s="2255"/>
    </row>
    <row r="233" spans="1:24" s="2228" customFormat="1" ht="6" customHeight="1">
      <c r="A233" s="2254"/>
      <c r="U233" s="2255"/>
    </row>
    <row r="234" spans="1:24" s="2228" customFormat="1" ht="19.5" customHeight="1">
      <c r="A234" s="2254" t="s">
        <v>1483</v>
      </c>
      <c r="B234" s="2228" t="s">
        <v>1597</v>
      </c>
      <c r="I234" s="3802" t="str">
        <f>P232</f>
        <v/>
      </c>
      <c r="J234" s="3791"/>
      <c r="K234" s="2232" t="s">
        <v>988</v>
      </c>
      <c r="L234" s="3802" t="str">
        <f>R226</f>
        <v/>
      </c>
      <c r="M234" s="3791"/>
      <c r="N234" s="2232" t="s">
        <v>1240</v>
      </c>
      <c r="O234" s="3802" t="str">
        <f>IF(ISBLANK(E198),"",I234-L234)</f>
        <v/>
      </c>
      <c r="P234" s="3791"/>
      <c r="Q234" s="2228" t="s">
        <v>1592</v>
      </c>
      <c r="U234" s="2255"/>
    </row>
    <row r="235" spans="1:24" s="2228" customFormat="1" ht="6" customHeight="1">
      <c r="A235" s="2254"/>
      <c r="U235" s="2255"/>
    </row>
    <row r="236" spans="1:24" s="2228" customFormat="1" ht="19.5" customHeight="1">
      <c r="A236" s="2254" t="s">
        <v>1485</v>
      </c>
      <c r="B236" s="2228" t="s">
        <v>1598</v>
      </c>
      <c r="M236" s="3790" t="str">
        <f>Q54</f>
        <v/>
      </c>
      <c r="N236" s="3791"/>
      <c r="O236" s="2259" t="s">
        <v>1343</v>
      </c>
      <c r="P236" s="3831">
        <f>1.6</f>
        <v>1.6</v>
      </c>
      <c r="Q236" s="3831"/>
      <c r="R236" s="2259" t="s">
        <v>1240</v>
      </c>
      <c r="S236" s="3790" t="str">
        <f>IF(ISBLANK(E198),"",M236*P236)</f>
        <v/>
      </c>
      <c r="T236" s="3791"/>
      <c r="U236" s="2256" t="s">
        <v>1537</v>
      </c>
    </row>
    <row r="237" spans="1:24" s="2228" customFormat="1" ht="6" customHeight="1">
      <c r="A237" s="2254"/>
      <c r="U237" s="2255"/>
    </row>
    <row r="238" spans="1:24" s="2228" customFormat="1" ht="15" customHeight="1">
      <c r="A238" s="2254" t="s">
        <v>1599</v>
      </c>
      <c r="B238" s="2228" t="s">
        <v>1600</v>
      </c>
      <c r="U238" s="2255"/>
    </row>
    <row r="239" spans="1:24" s="2228" customFormat="1" ht="6" customHeight="1">
      <c r="A239" s="2254"/>
      <c r="U239" s="2255"/>
    </row>
    <row r="240" spans="1:24" s="2228" customFormat="1" ht="19.5" customHeight="1">
      <c r="A240" s="2254"/>
      <c r="B240" s="3838" t="str">
        <f>L212</f>
        <v/>
      </c>
      <c r="C240" s="3839"/>
      <c r="D240" s="2232" t="s">
        <v>987</v>
      </c>
      <c r="E240" s="3790" t="str">
        <f>S236</f>
        <v/>
      </c>
      <c r="F240" s="3791"/>
      <c r="G240" s="2232" t="s">
        <v>1240</v>
      </c>
      <c r="H240" s="3838" t="str">
        <f>IF(ISBLANK(E198),"",B240+E240)</f>
        <v/>
      </c>
      <c r="I240" s="3839"/>
      <c r="J240" s="2258" t="s">
        <v>1584</v>
      </c>
      <c r="U240" s="2255"/>
    </row>
    <row r="241" spans="1:27" s="2228" customFormat="1" ht="6" customHeight="1">
      <c r="A241" s="2254"/>
      <c r="U241" s="2255"/>
    </row>
    <row r="242" spans="1:27" s="2228" customFormat="1" ht="19.5" customHeight="1">
      <c r="A242" s="2254" t="s">
        <v>1601</v>
      </c>
      <c r="B242" s="2228" t="s">
        <v>1602</v>
      </c>
      <c r="K242" s="3790" t="str">
        <f>H240</f>
        <v/>
      </c>
      <c r="L242" s="3791"/>
      <c r="M242" s="2232" t="s">
        <v>1343</v>
      </c>
      <c r="N242" s="3802" t="str">
        <f>R226</f>
        <v/>
      </c>
      <c r="O242" s="3791"/>
      <c r="P242" s="2232" t="s">
        <v>1240</v>
      </c>
      <c r="Q242" s="3806" t="str">
        <f>IF(ISBLANK(E198),"",K242*N242)</f>
        <v/>
      </c>
      <c r="R242" s="3807"/>
      <c r="S242" s="2228" t="s">
        <v>1537</v>
      </c>
      <c r="U242" s="2255"/>
    </row>
    <row r="243" spans="1:27" s="2228" customFormat="1" ht="6" customHeight="1">
      <c r="A243" s="2254"/>
      <c r="U243" s="2255"/>
    </row>
    <row r="244" spans="1:27" s="2228" customFormat="1" ht="15" customHeight="1">
      <c r="A244" s="2254" t="s">
        <v>1603</v>
      </c>
      <c r="B244" s="2228" t="s">
        <v>1604</v>
      </c>
      <c r="C244" s="1244"/>
      <c r="D244" s="1244"/>
      <c r="E244" s="1244"/>
      <c r="F244" s="1244"/>
      <c r="G244" s="1244"/>
      <c r="H244" s="1244"/>
      <c r="I244" s="1244"/>
      <c r="J244" s="1244"/>
      <c r="K244" s="1244"/>
      <c r="L244" s="2263"/>
      <c r="U244" s="2255"/>
    </row>
    <row r="245" spans="1:27" s="2228" customFormat="1" ht="6" customHeight="1">
      <c r="A245" s="2254"/>
      <c r="U245" s="2255"/>
    </row>
    <row r="246" spans="1:27" s="2228" customFormat="1" ht="19.5" customHeight="1">
      <c r="A246" s="2254"/>
      <c r="B246" s="3802">
        <f>IF(ISBLANK(E88),"",E43)</f>
        <v>0</v>
      </c>
      <c r="C246" s="3815"/>
      <c r="D246" s="2263" t="s">
        <v>1343</v>
      </c>
      <c r="E246" s="3802" t="str">
        <f>L230</f>
        <v/>
      </c>
      <c r="F246" s="3815"/>
      <c r="G246" s="2263" t="s">
        <v>1343</v>
      </c>
      <c r="H246" s="3802" t="str">
        <f>R226</f>
        <v/>
      </c>
      <c r="I246" s="3815"/>
      <c r="J246" s="2263" t="s">
        <v>1240</v>
      </c>
      <c r="K246" s="3802" t="str">
        <f>IF(ISBLANK(E198),"",B246*E246*H246)</f>
        <v/>
      </c>
      <c r="L246" s="3815"/>
      <c r="M246" s="1244" t="s">
        <v>1592</v>
      </c>
      <c r="O246" s="1653" t="s">
        <v>2198</v>
      </c>
      <c r="U246" s="2255"/>
      <c r="V246" s="2228" t="s">
        <v>2202</v>
      </c>
    </row>
    <row r="247" spans="1:27" ht="6" customHeight="1">
      <c r="A247" s="2226"/>
      <c r="U247" s="2227"/>
    </row>
    <row r="248" spans="1:27" ht="15" customHeight="1">
      <c r="A248" s="3794" t="s">
        <v>1631</v>
      </c>
      <c r="B248" s="3795"/>
      <c r="C248" s="3795"/>
      <c r="D248" s="3795"/>
      <c r="E248" s="3795"/>
      <c r="F248" s="3795"/>
      <c r="G248" s="3795"/>
      <c r="H248" s="3795"/>
      <c r="I248" s="3795"/>
      <c r="J248" s="3795"/>
      <c r="K248" s="3795"/>
      <c r="L248" s="3795"/>
      <c r="M248" s="3795"/>
      <c r="N248" s="3795"/>
      <c r="O248" s="3795"/>
      <c r="P248" s="3795"/>
      <c r="Q248" s="3795"/>
      <c r="R248" s="3795"/>
      <c r="S248" s="3795"/>
      <c r="T248" s="3795"/>
      <c r="U248" s="3796"/>
    </row>
    <row r="249" spans="1:27" ht="6" customHeight="1">
      <c r="A249" s="2250"/>
      <c r="B249" s="2251"/>
      <c r="C249" s="2251"/>
      <c r="D249" s="2251"/>
      <c r="E249" s="2251"/>
      <c r="F249" s="2251"/>
      <c r="G249" s="2251"/>
      <c r="H249" s="2251"/>
      <c r="I249" s="2251"/>
      <c r="J249" s="2251"/>
      <c r="K249" s="2251"/>
      <c r="L249" s="2251"/>
      <c r="M249" s="2251"/>
      <c r="N249" s="2251"/>
      <c r="O249" s="2251"/>
      <c r="P249" s="2251"/>
      <c r="Q249" s="2251"/>
      <c r="R249" s="2251"/>
      <c r="S249" s="2251"/>
      <c r="T249" s="2251"/>
      <c r="U249" s="2252"/>
    </row>
    <row r="250" spans="1:27" ht="19.5" customHeight="1">
      <c r="A250" s="2226" t="s">
        <v>1011</v>
      </c>
      <c r="B250" s="2228" t="s">
        <v>1569</v>
      </c>
      <c r="E250" s="3810">
        <v>2</v>
      </c>
      <c r="F250" s="3811"/>
      <c r="G250" s="2228" t="s">
        <v>609</v>
      </c>
      <c r="I250" s="3822" t="s">
        <v>2182</v>
      </c>
      <c r="J250" s="3822"/>
      <c r="K250" s="3822"/>
      <c r="L250" s="3822"/>
      <c r="M250" s="3822"/>
      <c r="N250" s="3822"/>
      <c r="O250" s="3822"/>
      <c r="P250" s="3822"/>
      <c r="Q250" s="3822"/>
      <c r="R250" s="3822"/>
      <c r="S250" s="3822"/>
      <c r="T250" s="3822"/>
      <c r="U250" s="2227"/>
      <c r="X250" s="2253"/>
      <c r="Y250" s="2253"/>
      <c r="Z250" s="2253"/>
      <c r="AA250" s="2253"/>
    </row>
    <row r="251" spans="1:27" ht="6" customHeight="1">
      <c r="A251" s="2226"/>
      <c r="U251" s="2227"/>
      <c r="W251" s="2253"/>
      <c r="X251" s="2253"/>
      <c r="Y251" s="2253"/>
      <c r="Z251" s="2253"/>
      <c r="AA251" s="2253"/>
    </row>
    <row r="252" spans="1:27" ht="19.5" customHeight="1">
      <c r="A252" s="2226" t="s">
        <v>1019</v>
      </c>
      <c r="B252" s="2228" t="s">
        <v>848</v>
      </c>
      <c r="E252" s="3804"/>
      <c r="F252" s="3805"/>
      <c r="G252" s="2254" t="s">
        <v>609</v>
      </c>
      <c r="I252" s="2228" t="s">
        <v>1570</v>
      </c>
      <c r="M252" s="3819"/>
      <c r="N252" s="3820"/>
      <c r="O252" s="2228" t="s">
        <v>762</v>
      </c>
      <c r="U252" s="2227"/>
      <c r="W252" s="2253"/>
      <c r="X252" s="2253"/>
      <c r="Y252" s="2253"/>
      <c r="Z252" s="2253"/>
      <c r="AA252" s="2253"/>
    </row>
    <row r="253" spans="1:27" ht="6" customHeight="1">
      <c r="A253" s="2226"/>
      <c r="U253" s="2227"/>
    </row>
    <row r="254" spans="1:27" ht="19.5" customHeight="1">
      <c r="A254" s="2226"/>
      <c r="B254" s="2228" t="s">
        <v>1571</v>
      </c>
      <c r="M254" s="3790">
        <f>E252</f>
        <v>0</v>
      </c>
      <c r="N254" s="3791"/>
      <c r="O254" s="2241" t="s">
        <v>1572</v>
      </c>
      <c r="P254" s="3816"/>
      <c r="Q254" s="3817"/>
      <c r="R254" s="2241" t="s">
        <v>1573</v>
      </c>
      <c r="S254" s="3790">
        <f>IF(ISBLANK(E250),"",M254*P254)</f>
        <v>0</v>
      </c>
      <c r="T254" s="3791"/>
      <c r="U254" s="2255" t="s">
        <v>1537</v>
      </c>
      <c r="W254" s="2222" t="s">
        <v>2183</v>
      </c>
    </row>
    <row r="255" spans="1:27" ht="6" customHeight="1">
      <c r="A255" s="2226"/>
      <c r="U255" s="2227"/>
    </row>
    <row r="256" spans="1:27" ht="19.5" customHeight="1">
      <c r="A256" s="2226" t="s">
        <v>1168</v>
      </c>
      <c r="B256" s="2228" t="s">
        <v>1574</v>
      </c>
      <c r="E256" s="3804"/>
      <c r="F256" s="3805"/>
      <c r="G256" s="2228" t="s">
        <v>609</v>
      </c>
      <c r="I256" s="2228" t="s">
        <v>1575</v>
      </c>
      <c r="M256" s="3819"/>
      <c r="N256" s="3820"/>
      <c r="O256" s="2228" t="s">
        <v>762</v>
      </c>
      <c r="U256" s="2227"/>
    </row>
    <row r="257" spans="1:21" ht="6" customHeight="1">
      <c r="A257" s="2226"/>
      <c r="U257" s="2227"/>
    </row>
    <row r="258" spans="1:21" ht="19.5" customHeight="1">
      <c r="A258" s="2226"/>
      <c r="B258" s="2228" t="s">
        <v>1576</v>
      </c>
      <c r="M258" s="3790">
        <f>E256</f>
        <v>0</v>
      </c>
      <c r="N258" s="3791"/>
      <c r="O258" s="2241" t="s">
        <v>1572</v>
      </c>
      <c r="P258" s="3816"/>
      <c r="Q258" s="3817"/>
      <c r="R258" s="2241" t="s">
        <v>1573</v>
      </c>
      <c r="S258" s="3802">
        <f>IF(ISBLANK(E250),"",M258*P258)</f>
        <v>0</v>
      </c>
      <c r="T258" s="3815"/>
      <c r="U258" s="2255" t="s">
        <v>1537</v>
      </c>
    </row>
    <row r="259" spans="1:21" ht="6" customHeight="1">
      <c r="A259" s="2226"/>
      <c r="U259" s="2227"/>
    </row>
    <row r="260" spans="1:21" ht="19.5" customHeight="1">
      <c r="A260" s="2226" t="s">
        <v>1172</v>
      </c>
      <c r="B260" s="2228" t="s">
        <v>1577</v>
      </c>
      <c r="L260" s="2256"/>
      <c r="M260" s="3790">
        <f>S254</f>
        <v>0</v>
      </c>
      <c r="N260" s="3791"/>
      <c r="O260" s="2232" t="s">
        <v>1578</v>
      </c>
      <c r="P260" s="3802">
        <f>S258</f>
        <v>0</v>
      </c>
      <c r="Q260" s="3815"/>
      <c r="R260" s="2232" t="s">
        <v>1579</v>
      </c>
      <c r="S260" s="3823">
        <f>IF(ISBLANK(E250),"",M260+P260)</f>
        <v>0</v>
      </c>
      <c r="T260" s="3824"/>
      <c r="U260" s="2256" t="s">
        <v>1537</v>
      </c>
    </row>
    <row r="261" spans="1:21" ht="6" customHeight="1">
      <c r="A261" s="2226"/>
      <c r="U261" s="2227"/>
    </row>
    <row r="262" spans="1:21" ht="19.5" customHeight="1">
      <c r="A262" s="2226" t="s">
        <v>1177</v>
      </c>
      <c r="B262" s="2228" t="s">
        <v>1580</v>
      </c>
      <c r="M262" s="3790" t="str">
        <f>IF(ISBLANK(E90)," ",I52)</f>
        <v xml:space="preserve"> </v>
      </c>
      <c r="N262" s="3791"/>
      <c r="O262" s="2241" t="s">
        <v>1552</v>
      </c>
      <c r="P262" s="3790">
        <v>2</v>
      </c>
      <c r="Q262" s="3791"/>
      <c r="R262" s="2241" t="s">
        <v>1279</v>
      </c>
      <c r="S262" s="3790" t="str">
        <f>IF(ISBLANK(E252),"",M262/P262)</f>
        <v/>
      </c>
      <c r="T262" s="3791"/>
      <c r="U262" s="2255" t="s">
        <v>1581</v>
      </c>
    </row>
    <row r="263" spans="1:21" ht="6" customHeight="1">
      <c r="A263" s="2226"/>
      <c r="U263" s="2227"/>
    </row>
    <row r="264" spans="1:21" s="2228" customFormat="1" ht="15" customHeight="1">
      <c r="A264" s="2254" t="s">
        <v>1177</v>
      </c>
      <c r="B264" s="2228" t="s">
        <v>1582</v>
      </c>
      <c r="U264" s="2255"/>
    </row>
    <row r="265" spans="1:21" s="2228" customFormat="1" ht="6" customHeight="1">
      <c r="A265" s="2254"/>
      <c r="U265" s="2255"/>
    </row>
    <row r="266" spans="1:21" s="2228" customFormat="1" ht="19.5" customHeight="1">
      <c r="A266" s="2254"/>
      <c r="B266" s="2257" t="s">
        <v>1557</v>
      </c>
      <c r="C266" s="3790" t="str">
        <f>S262</f>
        <v/>
      </c>
      <c r="D266" s="3791"/>
      <c r="E266" s="2241" t="s">
        <v>1343</v>
      </c>
      <c r="F266" s="3790">
        <v>0.61</v>
      </c>
      <c r="G266" s="3791"/>
      <c r="H266" s="2258" t="s">
        <v>1583</v>
      </c>
      <c r="I266" s="2232" t="s">
        <v>1558</v>
      </c>
      <c r="J266" s="2259">
        <v>60</v>
      </c>
      <c r="K266" s="2232" t="s">
        <v>1240</v>
      </c>
      <c r="L266" s="3823" t="str">
        <f>IF(ISBLANK(E252),"",(C266*F266)/60)</f>
        <v/>
      </c>
      <c r="M266" s="3824"/>
      <c r="N266" s="2258" t="s">
        <v>1584</v>
      </c>
      <c r="U266" s="2255"/>
    </row>
    <row r="267" spans="1:21" s="2228" customFormat="1" ht="6" customHeight="1">
      <c r="A267" s="2254"/>
      <c r="U267" s="2255"/>
    </row>
    <row r="268" spans="1:21" s="2228" customFormat="1" ht="19.5" customHeight="1">
      <c r="A268" s="2254" t="s">
        <v>1179</v>
      </c>
      <c r="B268" s="2228" t="s">
        <v>1585</v>
      </c>
      <c r="M268" s="3790" t="str">
        <f>M214</f>
        <v xml:space="preserve"> </v>
      </c>
      <c r="N268" s="3791"/>
      <c r="O268" s="2232" t="s">
        <v>1572</v>
      </c>
      <c r="P268" s="3790">
        <v>1.2E-2</v>
      </c>
      <c r="Q268" s="3791"/>
      <c r="R268" s="2232" t="s">
        <v>1240</v>
      </c>
      <c r="S268" s="3790" t="str">
        <f>IF(ISBLANK(E252),"",M268*P268)</f>
        <v/>
      </c>
      <c r="T268" s="3791"/>
      <c r="U268" s="2255" t="s">
        <v>1537</v>
      </c>
    </row>
    <row r="269" spans="1:21" s="2228" customFormat="1" ht="6" customHeight="1">
      <c r="A269" s="2254"/>
      <c r="U269" s="2255"/>
    </row>
    <row r="270" spans="1:21" s="2228" customFormat="1" ht="15" customHeight="1">
      <c r="A270" s="2254" t="s">
        <v>1181</v>
      </c>
      <c r="B270" s="2228" t="s">
        <v>1586</v>
      </c>
      <c r="U270" s="2255"/>
    </row>
    <row r="271" spans="1:21" s="2228" customFormat="1" ht="6" customHeight="1">
      <c r="A271" s="2254"/>
      <c r="U271" s="2255"/>
    </row>
    <row r="272" spans="1:21" s="2228" customFormat="1" ht="19.5" customHeight="1">
      <c r="A272" s="2254"/>
      <c r="B272" s="2257" t="s">
        <v>1557</v>
      </c>
      <c r="C272" s="3831">
        <v>4</v>
      </c>
      <c r="D272" s="3831"/>
      <c r="E272" s="2232" t="s">
        <v>1343</v>
      </c>
      <c r="F272" s="3790" t="str">
        <f>S268</f>
        <v/>
      </c>
      <c r="G272" s="3791"/>
      <c r="H272" s="2260" t="s">
        <v>1587</v>
      </c>
      <c r="I272" s="2232" t="s">
        <v>1588</v>
      </c>
      <c r="J272" s="3790">
        <f>S260</f>
        <v>0</v>
      </c>
      <c r="K272" s="3791"/>
      <c r="L272" s="2232" t="s">
        <v>1579</v>
      </c>
      <c r="M272" s="3823" t="str">
        <f>IF(ISBLANK(E252),"",(4*S268)+S260)</f>
        <v/>
      </c>
      <c r="N272" s="3824"/>
      <c r="O272" s="2228" t="s">
        <v>1537</v>
      </c>
      <c r="U272" s="2255"/>
    </row>
    <row r="273" spans="1:24" s="2228" customFormat="1" ht="6" customHeight="1">
      <c r="A273" s="2254"/>
      <c r="U273" s="2255"/>
    </row>
    <row r="274" spans="1:24" s="2228" customFormat="1" ht="15" customHeight="1">
      <c r="A274" s="2254" t="s">
        <v>1184</v>
      </c>
      <c r="B274" s="520" t="s">
        <v>2199</v>
      </c>
      <c r="U274" s="2255"/>
    </row>
    <row r="275" spans="1:24" s="2228" customFormat="1" ht="6" customHeight="1">
      <c r="A275" s="2254"/>
      <c r="U275" s="2255"/>
    </row>
    <row r="276" spans="1:24" s="2228" customFormat="1" ht="19.5" customHeight="1">
      <c r="A276" s="2254"/>
      <c r="B276" s="3790">
        <f>IF(ISBLANK(E88),"",F10/12)</f>
        <v>0</v>
      </c>
      <c r="C276" s="3791"/>
      <c r="D276" s="2232" t="s">
        <v>1389</v>
      </c>
      <c r="E276" s="3825">
        <v>8.3000000000000004E-2</v>
      </c>
      <c r="F276" s="3826"/>
      <c r="G276" s="2232" t="s">
        <v>1552</v>
      </c>
      <c r="H276" s="3790" t="str">
        <f>M214</f>
        <v xml:space="preserve"> </v>
      </c>
      <c r="I276" s="3791"/>
      <c r="J276" s="2232" t="s">
        <v>1572</v>
      </c>
      <c r="K276" s="3827">
        <f>IF(ISBLANK(E88),"",F18)</f>
        <v>0</v>
      </c>
      <c r="L276" s="3828"/>
      <c r="M276" s="2232" t="s">
        <v>1343</v>
      </c>
      <c r="N276" s="2259">
        <v>7.5</v>
      </c>
      <c r="O276" s="2259" t="s">
        <v>987</v>
      </c>
      <c r="P276" s="3829">
        <f>S260</f>
        <v>0</v>
      </c>
      <c r="Q276" s="3830"/>
      <c r="R276" s="2232" t="s">
        <v>1240</v>
      </c>
      <c r="S276" s="3823" t="str">
        <f>IF(ISBLANK(E252),"",B276*E276*H276*K276*N276+P276)</f>
        <v/>
      </c>
      <c r="T276" s="3824"/>
      <c r="U276" s="2228" t="s">
        <v>1537</v>
      </c>
    </row>
    <row r="277" spans="1:24" s="2228" customFormat="1" ht="6" customHeight="1">
      <c r="A277" s="2254"/>
      <c r="U277" s="2255"/>
    </row>
    <row r="278" spans="1:24" s="2228" customFormat="1" ht="19.5" customHeight="1">
      <c r="A278" s="2254" t="s">
        <v>1186</v>
      </c>
      <c r="B278" s="2228" t="s">
        <v>1590</v>
      </c>
      <c r="O278" s="3832"/>
      <c r="P278" s="3833"/>
      <c r="Q278" s="2228" t="s">
        <v>1537</v>
      </c>
      <c r="U278" s="2255"/>
    </row>
    <row r="279" spans="1:24" s="2228" customFormat="1" ht="6" customHeight="1">
      <c r="A279" s="2254"/>
      <c r="U279" s="2255"/>
    </row>
    <row r="280" spans="1:24" s="2228" customFormat="1" ht="19.5" customHeight="1">
      <c r="A280" s="2254" t="s">
        <v>1224</v>
      </c>
      <c r="B280" s="2228" t="s">
        <v>1591</v>
      </c>
      <c r="L280" s="3790">
        <f>IF(ISBLANK(E250),"",O278)</f>
        <v>0</v>
      </c>
      <c r="M280" s="3791"/>
      <c r="N280" s="2241" t="s">
        <v>1558</v>
      </c>
      <c r="O280" s="3802" t="str">
        <f>L266</f>
        <v/>
      </c>
      <c r="P280" s="3815"/>
      <c r="Q280" s="2241" t="s">
        <v>1240</v>
      </c>
      <c r="R280" s="3802" t="str">
        <f>IF(ISBLANK(E252),"",L280/O280)</f>
        <v/>
      </c>
      <c r="S280" s="3815"/>
      <c r="T280" s="2228" t="s">
        <v>1592</v>
      </c>
      <c r="U280" s="2255"/>
    </row>
    <row r="281" spans="1:24" s="2228" customFormat="1" ht="6" customHeight="1">
      <c r="A281" s="2254"/>
      <c r="U281" s="2255"/>
    </row>
    <row r="282" spans="1:24" s="2228" customFormat="1" ht="15" customHeight="1">
      <c r="A282" s="2254" t="s">
        <v>1227</v>
      </c>
      <c r="B282" s="2228" t="s">
        <v>1593</v>
      </c>
      <c r="U282" s="2255"/>
    </row>
    <row r="283" spans="1:24" s="2228" customFormat="1" ht="6" customHeight="1">
      <c r="A283" s="2254"/>
      <c r="U283" s="2255"/>
    </row>
    <row r="284" spans="1:24" s="2228" customFormat="1" ht="19.5" customHeight="1">
      <c r="A284" s="2254"/>
      <c r="B284" s="3790" t="str">
        <f>IF(ISBLANK(E4)," ",E4)</f>
        <v xml:space="preserve"> </v>
      </c>
      <c r="C284" s="3791"/>
      <c r="D284" s="2232" t="s">
        <v>1890</v>
      </c>
      <c r="E284" s="3790">
        <f>IF(ISBLANK(E88),"",E43)</f>
        <v>0</v>
      </c>
      <c r="F284" s="3791"/>
      <c r="G284" s="2232" t="s">
        <v>2187</v>
      </c>
      <c r="H284" s="3790">
        <f>IF(ISBLANK(E250),"",O278)</f>
        <v>0</v>
      </c>
      <c r="I284" s="3791"/>
      <c r="J284" s="3813" t="s">
        <v>2188</v>
      </c>
      <c r="K284" s="3814"/>
      <c r="L284" s="3802" t="str">
        <f>IF(ISBLANK(E252),"",MAX(4,(B284/E284/H284)))</f>
        <v/>
      </c>
      <c r="M284" s="3815"/>
      <c r="N284" s="2228" t="s">
        <v>1595</v>
      </c>
      <c r="O284" s="2234" t="s">
        <v>1594</v>
      </c>
      <c r="U284" s="2255"/>
      <c r="W284" s="2261" t="s">
        <v>2201</v>
      </c>
      <c r="X284" s="1655"/>
    </row>
    <row r="285" spans="1:24" s="2228" customFormat="1" ht="6" customHeight="1">
      <c r="A285" s="2254"/>
      <c r="U285" s="2255"/>
    </row>
    <row r="286" spans="1:24" s="2228" customFormat="1" ht="19.5" customHeight="1">
      <c r="A286" s="2254" t="s">
        <v>1480</v>
      </c>
      <c r="B286" s="2262" t="s">
        <v>2189</v>
      </c>
      <c r="J286" s="3788">
        <v>1440</v>
      </c>
      <c r="K286" s="3789"/>
      <c r="L286" s="2232" t="s">
        <v>1558</v>
      </c>
      <c r="M286" s="3834" t="str">
        <f>L284</f>
        <v/>
      </c>
      <c r="N286" s="3835"/>
      <c r="O286" s="2232" t="s">
        <v>1240</v>
      </c>
      <c r="P286" s="3834" t="str">
        <f>IF(ISBLANK(E252),"",J286/M286)</f>
        <v/>
      </c>
      <c r="Q286" s="3835"/>
      <c r="T286" s="2228" t="s">
        <v>1592</v>
      </c>
      <c r="U286" s="2255"/>
    </row>
    <row r="287" spans="1:24" s="2228" customFormat="1" ht="6" customHeight="1">
      <c r="A287" s="2254"/>
      <c r="U287" s="2255"/>
    </row>
    <row r="288" spans="1:24" s="2228" customFormat="1" ht="19.5" customHeight="1">
      <c r="A288" s="2254" t="s">
        <v>1483</v>
      </c>
      <c r="B288" s="2228" t="s">
        <v>1597</v>
      </c>
      <c r="I288" s="3802" t="str">
        <f>P286</f>
        <v/>
      </c>
      <c r="J288" s="3791"/>
      <c r="K288" s="2232" t="s">
        <v>988</v>
      </c>
      <c r="L288" s="3802" t="str">
        <f>R280</f>
        <v/>
      </c>
      <c r="M288" s="3791"/>
      <c r="N288" s="2232" t="s">
        <v>1240</v>
      </c>
      <c r="O288" s="3802" t="str">
        <f>IF(ISBLANK(E252),"",I288-L288)</f>
        <v/>
      </c>
      <c r="P288" s="3791"/>
      <c r="Q288" s="2228" t="s">
        <v>1592</v>
      </c>
      <c r="U288" s="2255"/>
    </row>
    <row r="289" spans="1:21" s="2228" customFormat="1" ht="6" customHeight="1">
      <c r="A289" s="2254"/>
      <c r="U289" s="2255"/>
    </row>
    <row r="290" spans="1:21" s="2228" customFormat="1" ht="19.5" customHeight="1">
      <c r="A290" s="2254" t="s">
        <v>1485</v>
      </c>
      <c r="B290" s="2228" t="s">
        <v>1598</v>
      </c>
      <c r="M290" s="3790" t="str">
        <f>Q54</f>
        <v/>
      </c>
      <c r="N290" s="3791"/>
      <c r="O290" s="2259" t="s">
        <v>1343</v>
      </c>
      <c r="P290" s="3831">
        <f>1.6</f>
        <v>1.6</v>
      </c>
      <c r="Q290" s="3831"/>
      <c r="R290" s="2259" t="s">
        <v>1240</v>
      </c>
      <c r="S290" s="3790" t="str">
        <f>IF(ISBLANK(E252),"",M290*P290)</f>
        <v/>
      </c>
      <c r="T290" s="3791"/>
      <c r="U290" s="2256" t="s">
        <v>1537</v>
      </c>
    </row>
    <row r="291" spans="1:21" s="2228" customFormat="1" ht="6" customHeight="1">
      <c r="A291" s="2254"/>
      <c r="U291" s="2255"/>
    </row>
    <row r="292" spans="1:21" s="2228" customFormat="1" ht="15" customHeight="1">
      <c r="A292" s="2254" t="s">
        <v>1599</v>
      </c>
      <c r="B292" s="2228" t="s">
        <v>1600</v>
      </c>
      <c r="U292" s="2255"/>
    </row>
    <row r="293" spans="1:21" s="2228" customFormat="1" ht="6" customHeight="1">
      <c r="A293" s="2254"/>
      <c r="U293" s="2255"/>
    </row>
    <row r="294" spans="1:21" s="2228" customFormat="1" ht="19.5" customHeight="1">
      <c r="A294" s="2254"/>
      <c r="B294" s="3838" t="str">
        <f>L266</f>
        <v/>
      </c>
      <c r="C294" s="3839"/>
      <c r="D294" s="2232" t="s">
        <v>987</v>
      </c>
      <c r="E294" s="3790" t="str">
        <f>S290</f>
        <v/>
      </c>
      <c r="F294" s="3791"/>
      <c r="G294" s="2232" t="s">
        <v>1240</v>
      </c>
      <c r="H294" s="3838" t="str">
        <f>IF(ISBLANK(E252),"",B294+E294)</f>
        <v/>
      </c>
      <c r="I294" s="3839"/>
      <c r="J294" s="2258" t="s">
        <v>1584</v>
      </c>
      <c r="U294" s="2255"/>
    </row>
    <row r="295" spans="1:21" s="2228" customFormat="1" ht="6" customHeight="1">
      <c r="A295" s="2254"/>
      <c r="U295" s="2255"/>
    </row>
    <row r="296" spans="1:21" s="2228" customFormat="1" ht="19.5" customHeight="1">
      <c r="A296" s="2254" t="s">
        <v>1601</v>
      </c>
      <c r="B296" s="2228" t="s">
        <v>1602</v>
      </c>
      <c r="K296" s="3790" t="str">
        <f>H294</f>
        <v/>
      </c>
      <c r="L296" s="3791"/>
      <c r="M296" s="2232" t="s">
        <v>1343</v>
      </c>
      <c r="N296" s="3802" t="str">
        <f>R280</f>
        <v/>
      </c>
      <c r="O296" s="3791"/>
      <c r="P296" s="2232" t="s">
        <v>1240</v>
      </c>
      <c r="Q296" s="3806" t="str">
        <f>IF(ISBLANK(E252),"",K296*N296)</f>
        <v/>
      </c>
      <c r="R296" s="3807"/>
      <c r="S296" s="2228" t="s">
        <v>1537</v>
      </c>
      <c r="U296" s="2255"/>
    </row>
    <row r="297" spans="1:21" s="2228" customFormat="1" ht="6" customHeight="1">
      <c r="A297" s="2254"/>
      <c r="U297" s="2255"/>
    </row>
    <row r="298" spans="1:21" s="2228" customFormat="1" ht="15" customHeight="1">
      <c r="A298" s="2254" t="s">
        <v>1603</v>
      </c>
      <c r="B298" s="2228" t="s">
        <v>1604</v>
      </c>
      <c r="C298" s="1244"/>
      <c r="D298" s="1244"/>
      <c r="E298" s="1244"/>
      <c r="F298" s="1244"/>
      <c r="G298" s="1244"/>
      <c r="H298" s="1244"/>
      <c r="I298" s="1244"/>
      <c r="J298" s="1244"/>
      <c r="K298" s="1244"/>
      <c r="L298" s="2263"/>
      <c r="U298" s="2255"/>
    </row>
    <row r="299" spans="1:21" s="2228" customFormat="1" ht="6" customHeight="1">
      <c r="A299" s="2254"/>
      <c r="U299" s="2255"/>
    </row>
    <row r="300" spans="1:21" s="2228" customFormat="1" ht="19.5" customHeight="1">
      <c r="A300" s="2254"/>
      <c r="B300" s="3802">
        <f>IF(ISBLANK(E88),"",E43)</f>
        <v>0</v>
      </c>
      <c r="C300" s="3815"/>
      <c r="D300" s="2263" t="s">
        <v>1343</v>
      </c>
      <c r="E300" s="3802" t="str">
        <f>L284</f>
        <v/>
      </c>
      <c r="F300" s="3815"/>
      <c r="G300" s="2263" t="s">
        <v>1343</v>
      </c>
      <c r="H300" s="3802" t="str">
        <f>R280</f>
        <v/>
      </c>
      <c r="I300" s="3815"/>
      <c r="J300" s="2263" t="s">
        <v>1240</v>
      </c>
      <c r="K300" s="3802" t="str">
        <f>IF(ISBLANK(E252),"",B300*E300*H300)</f>
        <v/>
      </c>
      <c r="L300" s="3815"/>
      <c r="M300" s="1244" t="s">
        <v>1592</v>
      </c>
      <c r="O300" s="1653" t="s">
        <v>2198</v>
      </c>
      <c r="U300" s="2255"/>
    </row>
    <row r="301" spans="1:21" ht="6" customHeight="1">
      <c r="A301" s="2247"/>
      <c r="B301" s="2248"/>
      <c r="C301" s="2248"/>
      <c r="D301" s="2248"/>
      <c r="E301" s="2248"/>
      <c r="F301" s="2248"/>
      <c r="G301" s="2248"/>
      <c r="H301" s="2248"/>
      <c r="I301" s="2248"/>
      <c r="J301" s="2248"/>
      <c r="K301" s="2248"/>
      <c r="L301" s="2248"/>
      <c r="M301" s="2248"/>
      <c r="N301" s="2248"/>
      <c r="O301" s="2248"/>
      <c r="P301" s="2248"/>
      <c r="Q301" s="2248"/>
      <c r="R301" s="2248"/>
      <c r="S301" s="2248"/>
      <c r="T301" s="2248"/>
      <c r="U301" s="2249"/>
    </row>
    <row r="302" spans="1:21">
      <c r="A302" s="2226"/>
      <c r="B302" s="2222" t="s">
        <v>719</v>
      </c>
      <c r="U302" s="2227"/>
    </row>
    <row r="303" spans="1:21">
      <c r="A303" s="2226"/>
      <c r="B303" s="3840"/>
      <c r="C303" s="3841"/>
      <c r="D303" s="3841"/>
      <c r="E303" s="3841"/>
      <c r="F303" s="3841"/>
      <c r="G303" s="3841"/>
      <c r="H303" s="3841"/>
      <c r="I303" s="3841"/>
      <c r="J303" s="3841"/>
      <c r="K303" s="3841"/>
      <c r="L303" s="3841"/>
      <c r="M303" s="3841"/>
      <c r="N303" s="3841"/>
      <c r="O303" s="3841"/>
      <c r="P303" s="3841"/>
      <c r="Q303" s="3841"/>
      <c r="R303" s="3841"/>
      <c r="S303" s="3841"/>
      <c r="T303" s="3841"/>
      <c r="U303" s="3842"/>
    </row>
    <row r="304" spans="1:21">
      <c r="A304" s="2226"/>
      <c r="B304" s="3843"/>
      <c r="C304" s="3844"/>
      <c r="D304" s="3844"/>
      <c r="E304" s="3844"/>
      <c r="F304" s="3844"/>
      <c r="G304" s="3844"/>
      <c r="H304" s="3844"/>
      <c r="I304" s="3844"/>
      <c r="J304" s="3844"/>
      <c r="K304" s="3844"/>
      <c r="L304" s="3844"/>
      <c r="M304" s="3844"/>
      <c r="N304" s="3844"/>
      <c r="O304" s="3844"/>
      <c r="P304" s="3844"/>
      <c r="Q304" s="3844"/>
      <c r="R304" s="3844"/>
      <c r="S304" s="3844"/>
      <c r="T304" s="3844"/>
      <c r="U304" s="3845"/>
    </row>
    <row r="305" spans="1:21">
      <c r="A305" s="2226"/>
      <c r="B305" s="3843"/>
      <c r="C305" s="3844"/>
      <c r="D305" s="3844"/>
      <c r="E305" s="3844"/>
      <c r="F305" s="3844"/>
      <c r="G305" s="3844"/>
      <c r="H305" s="3844"/>
      <c r="I305" s="3844"/>
      <c r="J305" s="3844"/>
      <c r="K305" s="3844"/>
      <c r="L305" s="3844"/>
      <c r="M305" s="3844"/>
      <c r="N305" s="3844"/>
      <c r="O305" s="3844"/>
      <c r="P305" s="3844"/>
      <c r="Q305" s="3844"/>
      <c r="R305" s="3844"/>
      <c r="S305" s="3844"/>
      <c r="T305" s="3844"/>
      <c r="U305" s="3845"/>
    </row>
    <row r="306" spans="1:21">
      <c r="A306" s="2226"/>
      <c r="B306" s="3843"/>
      <c r="C306" s="3844"/>
      <c r="D306" s="3844"/>
      <c r="E306" s="3844"/>
      <c r="F306" s="3844"/>
      <c r="G306" s="3844"/>
      <c r="H306" s="3844"/>
      <c r="I306" s="3844"/>
      <c r="J306" s="3844"/>
      <c r="K306" s="3844"/>
      <c r="L306" s="3844"/>
      <c r="M306" s="3844"/>
      <c r="N306" s="3844"/>
      <c r="O306" s="3844"/>
      <c r="P306" s="3844"/>
      <c r="Q306" s="3844"/>
      <c r="R306" s="3844"/>
      <c r="S306" s="3844"/>
      <c r="T306" s="3844"/>
      <c r="U306" s="3845"/>
    </row>
    <row r="307" spans="1:21">
      <c r="A307" s="2226"/>
      <c r="B307" s="3843"/>
      <c r="C307" s="3844"/>
      <c r="D307" s="3844"/>
      <c r="E307" s="3844"/>
      <c r="F307" s="3844"/>
      <c r="G307" s="3844"/>
      <c r="H307" s="3844"/>
      <c r="I307" s="3844"/>
      <c r="J307" s="3844"/>
      <c r="K307" s="3844"/>
      <c r="L307" s="3844"/>
      <c r="M307" s="3844"/>
      <c r="N307" s="3844"/>
      <c r="O307" s="3844"/>
      <c r="P307" s="3844"/>
      <c r="Q307" s="3844"/>
      <c r="R307" s="3844"/>
      <c r="S307" s="3844"/>
      <c r="T307" s="3844"/>
      <c r="U307" s="3845"/>
    </row>
    <row r="308" spans="1:21">
      <c r="A308" s="2226"/>
      <c r="B308" s="3843"/>
      <c r="C308" s="3844"/>
      <c r="D308" s="3844"/>
      <c r="E308" s="3844"/>
      <c r="F308" s="3844"/>
      <c r="G308" s="3844"/>
      <c r="H308" s="3844"/>
      <c r="I308" s="3844"/>
      <c r="J308" s="3844"/>
      <c r="K308" s="3844"/>
      <c r="L308" s="3844"/>
      <c r="M308" s="3844"/>
      <c r="N308" s="3844"/>
      <c r="O308" s="3844"/>
      <c r="P308" s="3844"/>
      <c r="Q308" s="3844"/>
      <c r="R308" s="3844"/>
      <c r="S308" s="3844"/>
      <c r="T308" s="3844"/>
      <c r="U308" s="3845"/>
    </row>
    <row r="309" spans="1:21">
      <c r="A309" s="2226"/>
      <c r="B309" s="3843"/>
      <c r="C309" s="3844"/>
      <c r="D309" s="3844"/>
      <c r="E309" s="3844"/>
      <c r="F309" s="3844"/>
      <c r="G309" s="3844"/>
      <c r="H309" s="3844"/>
      <c r="I309" s="3844"/>
      <c r="J309" s="3844"/>
      <c r="K309" s="3844"/>
      <c r="L309" s="3844"/>
      <c r="M309" s="3844"/>
      <c r="N309" s="3844"/>
      <c r="O309" s="3844"/>
      <c r="P309" s="3844"/>
      <c r="Q309" s="3844"/>
      <c r="R309" s="3844"/>
      <c r="S309" s="3844"/>
      <c r="T309" s="3844"/>
      <c r="U309" s="3845"/>
    </row>
    <row r="310" spans="1:21">
      <c r="A310" s="2226"/>
      <c r="B310" s="3846"/>
      <c r="C310" s="3847"/>
      <c r="D310" s="3847"/>
      <c r="E310" s="3847"/>
      <c r="F310" s="3847"/>
      <c r="G310" s="3847"/>
      <c r="H310" s="3847"/>
      <c r="I310" s="3847"/>
      <c r="J310" s="3847"/>
      <c r="K310" s="3847"/>
      <c r="L310" s="3847"/>
      <c r="M310" s="3847"/>
      <c r="N310" s="3847"/>
      <c r="O310" s="3847"/>
      <c r="P310" s="3847"/>
      <c r="Q310" s="3847"/>
      <c r="R310" s="3847"/>
      <c r="S310" s="3847"/>
      <c r="T310" s="3847"/>
      <c r="U310" s="3848"/>
    </row>
    <row r="311" spans="1:21">
      <c r="A311" s="2247"/>
      <c r="B311" s="2248"/>
      <c r="C311" s="2248"/>
      <c r="D311" s="2248"/>
      <c r="E311" s="2248"/>
      <c r="F311" s="2248"/>
      <c r="G311" s="2248"/>
      <c r="H311" s="2248"/>
      <c r="I311" s="2248"/>
      <c r="J311" s="2248"/>
      <c r="K311" s="2248"/>
      <c r="L311" s="2248"/>
      <c r="M311" s="2248"/>
      <c r="N311" s="2248"/>
      <c r="O311" s="2248"/>
      <c r="P311" s="2248"/>
      <c r="Q311" s="2248"/>
      <c r="R311" s="2248"/>
      <c r="S311" s="2248"/>
      <c r="T311" s="2248"/>
      <c r="U311" s="2249"/>
    </row>
  </sheetData>
  <mergeCells count="296">
    <mergeCell ref="B303:U310"/>
    <mergeCell ref="K296:L296"/>
    <mergeCell ref="N296:O296"/>
    <mergeCell ref="Q296:R296"/>
    <mergeCell ref="B300:C300"/>
    <mergeCell ref="E300:F300"/>
    <mergeCell ref="H300:I300"/>
    <mergeCell ref="K300:L300"/>
    <mergeCell ref="M290:N290"/>
    <mergeCell ref="P290:Q290"/>
    <mergeCell ref="S290:T290"/>
    <mergeCell ref="B294:C294"/>
    <mergeCell ref="E294:F294"/>
    <mergeCell ref="H294:I294"/>
    <mergeCell ref="J286:K286"/>
    <mergeCell ref="M286:N286"/>
    <mergeCell ref="P286:Q286"/>
    <mergeCell ref="I288:J288"/>
    <mergeCell ref="L288:M288"/>
    <mergeCell ref="O288:P288"/>
    <mergeCell ref="O278:P278"/>
    <mergeCell ref="L280:M280"/>
    <mergeCell ref="O280:P280"/>
    <mergeCell ref="R280:S280"/>
    <mergeCell ref="B284:C284"/>
    <mergeCell ref="E284:F284"/>
    <mergeCell ref="H284:I284"/>
    <mergeCell ref="J284:K284"/>
    <mergeCell ref="L284:M284"/>
    <mergeCell ref="B276:C276"/>
    <mergeCell ref="E276:F276"/>
    <mergeCell ref="H276:I276"/>
    <mergeCell ref="K276:L276"/>
    <mergeCell ref="P276:Q276"/>
    <mergeCell ref="S276:T276"/>
    <mergeCell ref="M268:N268"/>
    <mergeCell ref="P268:Q268"/>
    <mergeCell ref="S268:T268"/>
    <mergeCell ref="C272:D272"/>
    <mergeCell ref="F272:G272"/>
    <mergeCell ref="J272:K272"/>
    <mergeCell ref="M272:N272"/>
    <mergeCell ref="M262:N262"/>
    <mergeCell ref="P262:Q262"/>
    <mergeCell ref="S262:T262"/>
    <mergeCell ref="C266:D266"/>
    <mergeCell ref="F266:G266"/>
    <mergeCell ref="L266:M266"/>
    <mergeCell ref="E256:F256"/>
    <mergeCell ref="M256:N256"/>
    <mergeCell ref="M258:N258"/>
    <mergeCell ref="P258:Q258"/>
    <mergeCell ref="S258:T258"/>
    <mergeCell ref="M260:N260"/>
    <mergeCell ref="P260:Q260"/>
    <mergeCell ref="S260:T260"/>
    <mergeCell ref="A248:U248"/>
    <mergeCell ref="E250:F250"/>
    <mergeCell ref="I250:T250"/>
    <mergeCell ref="E252:F252"/>
    <mergeCell ref="M252:N252"/>
    <mergeCell ref="M254:N254"/>
    <mergeCell ref="P254:Q254"/>
    <mergeCell ref="S254:T254"/>
    <mergeCell ref="K242:L242"/>
    <mergeCell ref="N242:O242"/>
    <mergeCell ref="Q242:R242"/>
    <mergeCell ref="B246:C246"/>
    <mergeCell ref="E246:F246"/>
    <mergeCell ref="H246:I246"/>
    <mergeCell ref="K246:L246"/>
    <mergeCell ref="M236:N236"/>
    <mergeCell ref="P236:Q236"/>
    <mergeCell ref="S236:T236"/>
    <mergeCell ref="B240:C240"/>
    <mergeCell ref="E240:F240"/>
    <mergeCell ref="H240:I240"/>
    <mergeCell ref="J232:K232"/>
    <mergeCell ref="M232:N232"/>
    <mergeCell ref="P232:Q232"/>
    <mergeCell ref="I234:J234"/>
    <mergeCell ref="L234:M234"/>
    <mergeCell ref="O234:P234"/>
    <mergeCell ref="O224:P224"/>
    <mergeCell ref="L226:M226"/>
    <mergeCell ref="O226:P226"/>
    <mergeCell ref="R226:S226"/>
    <mergeCell ref="B230:C230"/>
    <mergeCell ref="E230:F230"/>
    <mergeCell ref="H230:I230"/>
    <mergeCell ref="J230:K230"/>
    <mergeCell ref="L230:M230"/>
    <mergeCell ref="B222:C222"/>
    <mergeCell ref="E222:F222"/>
    <mergeCell ref="H222:I222"/>
    <mergeCell ref="K222:L222"/>
    <mergeCell ref="P222:Q222"/>
    <mergeCell ref="S222:T222"/>
    <mergeCell ref="M214:N214"/>
    <mergeCell ref="P214:Q214"/>
    <mergeCell ref="S214:T214"/>
    <mergeCell ref="C218:D218"/>
    <mergeCell ref="F218:G218"/>
    <mergeCell ref="J218:K218"/>
    <mergeCell ref="M218:N218"/>
    <mergeCell ref="M208:N208"/>
    <mergeCell ref="P208:Q208"/>
    <mergeCell ref="S208:T208"/>
    <mergeCell ref="C212:D212"/>
    <mergeCell ref="F212:G212"/>
    <mergeCell ref="L212:M212"/>
    <mergeCell ref="M204:N204"/>
    <mergeCell ref="P204:Q204"/>
    <mergeCell ref="S204:T204"/>
    <mergeCell ref="M206:N206"/>
    <mergeCell ref="P206:Q206"/>
    <mergeCell ref="S206:T206"/>
    <mergeCell ref="E198:F198"/>
    <mergeCell ref="M198:N198"/>
    <mergeCell ref="M200:N200"/>
    <mergeCell ref="P200:Q200"/>
    <mergeCell ref="S200:T200"/>
    <mergeCell ref="E202:F202"/>
    <mergeCell ref="M202:N202"/>
    <mergeCell ref="B192:C192"/>
    <mergeCell ref="E192:F192"/>
    <mergeCell ref="H192:I192"/>
    <mergeCell ref="K192:L192"/>
    <mergeCell ref="A194:U194"/>
    <mergeCell ref="E196:F196"/>
    <mergeCell ref="I196:T196"/>
    <mergeCell ref="B186:C186"/>
    <mergeCell ref="E186:F186"/>
    <mergeCell ref="H186:I186"/>
    <mergeCell ref="I188:J188"/>
    <mergeCell ref="L188:M188"/>
    <mergeCell ref="O188:P188"/>
    <mergeCell ref="L178:M178"/>
    <mergeCell ref="O178:P178"/>
    <mergeCell ref="I180:J180"/>
    <mergeCell ref="L180:M180"/>
    <mergeCell ref="O180:P180"/>
    <mergeCell ref="K182:L182"/>
    <mergeCell ref="P182:Q182"/>
    <mergeCell ref="O170:P170"/>
    <mergeCell ref="L172:M172"/>
    <mergeCell ref="O172:P172"/>
    <mergeCell ref="R172:S172"/>
    <mergeCell ref="B176:C176"/>
    <mergeCell ref="E176:F176"/>
    <mergeCell ref="H176:I176"/>
    <mergeCell ref="J176:K176"/>
    <mergeCell ref="L176:M176"/>
    <mergeCell ref="B168:C168"/>
    <mergeCell ref="E168:F168"/>
    <mergeCell ref="H168:I168"/>
    <mergeCell ref="K168:L168"/>
    <mergeCell ref="P168:Q168"/>
    <mergeCell ref="S168:T168"/>
    <mergeCell ref="M160:N160"/>
    <mergeCell ref="P160:Q160"/>
    <mergeCell ref="S160:T160"/>
    <mergeCell ref="C164:D164"/>
    <mergeCell ref="F164:G164"/>
    <mergeCell ref="J164:K164"/>
    <mergeCell ref="M164:N164"/>
    <mergeCell ref="M154:N154"/>
    <mergeCell ref="P154:Q154"/>
    <mergeCell ref="S154:T154"/>
    <mergeCell ref="C158:D158"/>
    <mergeCell ref="F158:G158"/>
    <mergeCell ref="L158:M158"/>
    <mergeCell ref="E148:F148"/>
    <mergeCell ref="M148:N148"/>
    <mergeCell ref="M150:N150"/>
    <mergeCell ref="P150:Q150"/>
    <mergeCell ref="S150:T150"/>
    <mergeCell ref="M152:N152"/>
    <mergeCell ref="P152:Q152"/>
    <mergeCell ref="S152:T152"/>
    <mergeCell ref="A140:U140"/>
    <mergeCell ref="E142:F142"/>
    <mergeCell ref="I142:T142"/>
    <mergeCell ref="E144:F144"/>
    <mergeCell ref="M144:N144"/>
    <mergeCell ref="M146:N146"/>
    <mergeCell ref="P146:Q146"/>
    <mergeCell ref="S146:T146"/>
    <mergeCell ref="K134:L134"/>
    <mergeCell ref="N134:O134"/>
    <mergeCell ref="Q134:R134"/>
    <mergeCell ref="B138:C138"/>
    <mergeCell ref="E138:F138"/>
    <mergeCell ref="H138:I138"/>
    <mergeCell ref="K138:L138"/>
    <mergeCell ref="M128:N128"/>
    <mergeCell ref="S128:T128"/>
    <mergeCell ref="B132:C132"/>
    <mergeCell ref="E132:F132"/>
    <mergeCell ref="H132:I132"/>
    <mergeCell ref="J124:K124"/>
    <mergeCell ref="M124:N124"/>
    <mergeCell ref="P124:Q124"/>
    <mergeCell ref="I126:J126"/>
    <mergeCell ref="L126:M126"/>
    <mergeCell ref="O126:P126"/>
    <mergeCell ref="O128:P128"/>
    <mergeCell ref="O116:P116"/>
    <mergeCell ref="L118:M118"/>
    <mergeCell ref="O118:P118"/>
    <mergeCell ref="R118:S118"/>
    <mergeCell ref="B122:C122"/>
    <mergeCell ref="E122:F122"/>
    <mergeCell ref="H122:I122"/>
    <mergeCell ref="J122:K122"/>
    <mergeCell ref="L122:M122"/>
    <mergeCell ref="B114:C114"/>
    <mergeCell ref="E114:F114"/>
    <mergeCell ref="H114:I114"/>
    <mergeCell ref="K114:L114"/>
    <mergeCell ref="P114:Q114"/>
    <mergeCell ref="S114:T114"/>
    <mergeCell ref="M106:N106"/>
    <mergeCell ref="P106:Q106"/>
    <mergeCell ref="S106:T106"/>
    <mergeCell ref="C110:D110"/>
    <mergeCell ref="F110:G110"/>
    <mergeCell ref="J110:K110"/>
    <mergeCell ref="M110:N110"/>
    <mergeCell ref="M100:N100"/>
    <mergeCell ref="P100:Q100"/>
    <mergeCell ref="S100:T100"/>
    <mergeCell ref="C104:D104"/>
    <mergeCell ref="F104:G104"/>
    <mergeCell ref="L104:M104"/>
    <mergeCell ref="M96:N96"/>
    <mergeCell ref="P96:Q96"/>
    <mergeCell ref="S96:T96"/>
    <mergeCell ref="M98:N98"/>
    <mergeCell ref="P98:Q98"/>
    <mergeCell ref="S98:T98"/>
    <mergeCell ref="E90:F90"/>
    <mergeCell ref="M90:N90"/>
    <mergeCell ref="M92:N92"/>
    <mergeCell ref="P92:Q92"/>
    <mergeCell ref="S92:T92"/>
    <mergeCell ref="E94:F94"/>
    <mergeCell ref="M94:N94"/>
    <mergeCell ref="Q54:R54"/>
    <mergeCell ref="B81:K82"/>
    <mergeCell ref="M81:T82"/>
    <mergeCell ref="A86:U86"/>
    <mergeCell ref="E88:F88"/>
    <mergeCell ref="I88:T88"/>
    <mergeCell ref="C49:D49"/>
    <mergeCell ref="F49:G49"/>
    <mergeCell ref="J49:K49"/>
    <mergeCell ref="M49:N49"/>
    <mergeCell ref="N54:O54"/>
    <mergeCell ref="R35:S35"/>
    <mergeCell ref="E37:F37"/>
    <mergeCell ref="B41:C41"/>
    <mergeCell ref="E41:F41"/>
    <mergeCell ref="H41:I41"/>
    <mergeCell ref="E43:F43"/>
    <mergeCell ref="C52:D52"/>
    <mergeCell ref="F52:G52"/>
    <mergeCell ref="I52:J52"/>
    <mergeCell ref="F45:G45"/>
    <mergeCell ref="S45:T45"/>
    <mergeCell ref="B30:C30"/>
    <mergeCell ref="E30:F30"/>
    <mergeCell ref="I30:J30"/>
    <mergeCell ref="P32:Q32"/>
    <mergeCell ref="L35:M35"/>
    <mergeCell ref="O35:P35"/>
    <mergeCell ref="E22:F22"/>
    <mergeCell ref="L22:M22"/>
    <mergeCell ref="P22:T24"/>
    <mergeCell ref="E24:F24"/>
    <mergeCell ref="K26:L26"/>
    <mergeCell ref="N26:O26"/>
    <mergeCell ref="P26:Q26"/>
    <mergeCell ref="R26:S26"/>
    <mergeCell ref="F10:G10"/>
    <mergeCell ref="F12:I12"/>
    <mergeCell ref="G14:H14"/>
    <mergeCell ref="F16:G16"/>
    <mergeCell ref="F18:G18"/>
    <mergeCell ref="A20:U20"/>
    <mergeCell ref="E1:P1"/>
    <mergeCell ref="I2:J2"/>
    <mergeCell ref="K2:L2"/>
    <mergeCell ref="E4:F4"/>
    <mergeCell ref="A6:U6"/>
    <mergeCell ref="F8:G8"/>
  </mergeCells>
  <printOptions horizontalCentered="1"/>
  <pageMargins left="0.5" right="0.5" top="0.25" bottom="0.25" header="0.3" footer="0.3"/>
  <pageSetup scale="65" orientation="portrait" blackAndWhite="1" r:id="rId1"/>
  <rowBreaks count="3" manualBreakCount="3">
    <brk id="85" max="16383" man="1"/>
    <brk id="173" max="16383" man="1"/>
    <brk id="269" max="16383"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xr:uid="{E147530D-8EC5-447F-A93D-6A3E19C2CDCB}">
          <x14:formula1>
            <xm:f>'Drop-Down Lists'!$H$2:$H$25</xm:f>
          </x14:formula1>
          <xm:sqref>F12:I12</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9BD74-1BD8-4709-B9D1-475D7E9FF766}">
  <sheetPr>
    <tabColor rgb="FFFF6600"/>
  </sheetPr>
  <dimension ref="A1:AA311"/>
  <sheetViews>
    <sheetView showGridLines="0" showZeros="0" view="pageBreakPreview" zoomScaleNormal="100" zoomScaleSheetLayoutView="100" workbookViewId="0">
      <selection activeCell="E4" sqref="E4:F4"/>
    </sheetView>
  </sheetViews>
  <sheetFormatPr defaultColWidth="9.140625" defaultRowHeight="16.5"/>
  <cols>
    <col min="1" max="1" width="3.42578125" style="2222" customWidth="1"/>
    <col min="2" max="20" width="6.42578125" style="2222" customWidth="1"/>
    <col min="21" max="21" width="9.42578125" style="2222" customWidth="1"/>
    <col min="22" max="16384" width="9.140625" style="2222"/>
  </cols>
  <sheetData>
    <row r="1" spans="1:23" ht="54.95" customHeight="1">
      <c r="E1" s="3849" t="s">
        <v>1524</v>
      </c>
      <c r="F1" s="3849"/>
      <c r="G1" s="3849"/>
      <c r="H1" s="3849"/>
      <c r="I1" s="3849"/>
      <c r="J1" s="3849"/>
      <c r="K1" s="3849"/>
      <c r="L1" s="3849"/>
      <c r="M1" s="3849"/>
      <c r="N1" s="3849"/>
      <c r="O1" s="3849"/>
      <c r="P1" s="3849"/>
    </row>
    <row r="2" spans="1:23" ht="15" customHeight="1">
      <c r="A2" s="2223" t="s">
        <v>1525</v>
      </c>
      <c r="B2" s="2224"/>
      <c r="C2" s="2224"/>
      <c r="D2" s="2224"/>
      <c r="E2" s="2224"/>
      <c r="F2" s="2224"/>
      <c r="G2" s="2224"/>
      <c r="H2" s="2224"/>
      <c r="I2" s="3798" t="s">
        <v>1164</v>
      </c>
      <c r="J2" s="3798"/>
      <c r="K2" s="3799" t="s">
        <v>977</v>
      </c>
      <c r="L2" s="3799"/>
      <c r="M2" s="2224"/>
      <c r="N2" s="2224"/>
      <c r="O2" s="2224"/>
      <c r="P2" s="2224"/>
      <c r="Q2" s="2224"/>
      <c r="R2" s="2224"/>
      <c r="S2" s="2224"/>
      <c r="T2" s="2224"/>
      <c r="U2" s="2225" t="str">
        <f>'Drop-Down Lists'!A2</f>
        <v>v 05.01.2026</v>
      </c>
    </row>
    <row r="3" spans="1:23" ht="6" customHeight="1">
      <c r="A3" s="2226"/>
      <c r="U3" s="2227"/>
    </row>
    <row r="4" spans="1:23" ht="19.5" customHeight="1">
      <c r="A4" s="2226" t="s">
        <v>1011</v>
      </c>
      <c r="B4" s="2228" t="s">
        <v>582</v>
      </c>
      <c r="E4" s="3800"/>
      <c r="F4" s="3801"/>
      <c r="G4" s="2222" t="s">
        <v>583</v>
      </c>
      <c r="U4" s="2227"/>
    </row>
    <row r="5" spans="1:23" ht="6" customHeight="1">
      <c r="A5" s="2226"/>
      <c r="U5" s="2227"/>
    </row>
    <row r="6" spans="1:23" ht="15" customHeight="1">
      <c r="A6" s="3794" t="s">
        <v>1526</v>
      </c>
      <c r="B6" s="3795"/>
      <c r="C6" s="3795"/>
      <c r="D6" s="3795"/>
      <c r="E6" s="3795"/>
      <c r="F6" s="3795"/>
      <c r="G6" s="3795"/>
      <c r="H6" s="3795"/>
      <c r="I6" s="3795"/>
      <c r="J6" s="3795"/>
      <c r="K6" s="3795"/>
      <c r="L6" s="3795"/>
      <c r="M6" s="3795"/>
      <c r="N6" s="3795"/>
      <c r="O6" s="3795"/>
      <c r="P6" s="3795"/>
      <c r="Q6" s="3795"/>
      <c r="R6" s="3795"/>
      <c r="S6" s="3795"/>
      <c r="T6" s="3795"/>
      <c r="U6" s="3796"/>
    </row>
    <row r="7" spans="1:23" ht="6" customHeight="1">
      <c r="A7" s="2226"/>
      <c r="U7" s="2227"/>
    </row>
    <row r="8" spans="1:23" ht="19.5" customHeight="1">
      <c r="A8" s="2226" t="s">
        <v>1011</v>
      </c>
      <c r="B8" s="2228" t="s">
        <v>1527</v>
      </c>
      <c r="F8" s="3790" t="str">
        <f>IF(ISBLANK(E4), " ", 'Design Details &amp; Summary'!G94)</f>
        <v xml:space="preserve"> </v>
      </c>
      <c r="G8" s="3791"/>
      <c r="H8" s="2228" t="s">
        <v>762</v>
      </c>
      <c r="U8" s="2227"/>
      <c r="W8" s="2229"/>
    </row>
    <row r="9" spans="1:23" ht="6" customHeight="1">
      <c r="A9" s="2226"/>
      <c r="U9" s="2227"/>
    </row>
    <row r="10" spans="1:23" ht="19.5" customHeight="1">
      <c r="A10" s="2226" t="s">
        <v>1019</v>
      </c>
      <c r="B10" s="2228" t="s">
        <v>1528</v>
      </c>
      <c r="E10" s="2323"/>
      <c r="F10" s="3785"/>
      <c r="G10" s="3786"/>
      <c r="H10" s="2228" t="s">
        <v>762</v>
      </c>
      <c r="U10" s="2227"/>
    </row>
    <row r="11" spans="1:23" ht="6" customHeight="1">
      <c r="A11" s="2226"/>
      <c r="U11" s="2227"/>
    </row>
    <row r="12" spans="1:23" ht="19.5" customHeight="1">
      <c r="A12" s="2226" t="s">
        <v>1529</v>
      </c>
      <c r="B12" s="2228" t="s">
        <v>669</v>
      </c>
      <c r="F12" s="3787"/>
      <c r="G12" s="3787"/>
      <c r="H12" s="3787"/>
      <c r="I12" s="3787"/>
      <c r="J12" s="1940"/>
      <c r="U12" s="2227"/>
    </row>
    <row r="13" spans="1:23" ht="6" customHeight="1">
      <c r="A13" s="2226"/>
      <c r="U13" s="2227"/>
    </row>
    <row r="14" spans="1:23" ht="19.5" customHeight="1">
      <c r="A14" s="2226" t="s">
        <v>1172</v>
      </c>
      <c r="B14" s="2228" t="s">
        <v>1530</v>
      </c>
      <c r="G14" s="3788" t="str">
        <f>IF(ISBLANK(E4),"",'Design Details &amp; Summary'!G104)</f>
        <v/>
      </c>
      <c r="H14" s="3789"/>
      <c r="I14" s="2228" t="s">
        <v>1531</v>
      </c>
      <c r="U14" s="2227"/>
      <c r="W14" s="2230" t="s">
        <v>2165</v>
      </c>
    </row>
    <row r="15" spans="1:23" ht="6" customHeight="1">
      <c r="A15" s="2226"/>
      <c r="U15" s="2227"/>
    </row>
    <row r="16" spans="1:23" ht="19.5" customHeight="1">
      <c r="A16" s="2226" t="s">
        <v>1177</v>
      </c>
      <c r="B16" s="2228" t="s">
        <v>1171</v>
      </c>
      <c r="F16" s="3790" t="str">
        <f>IF(ISBLANK(E4),"",'Design Details &amp; Summary'!G106)</f>
        <v/>
      </c>
      <c r="G16" s="3791"/>
      <c r="H16" s="2228" t="s">
        <v>1315</v>
      </c>
      <c r="U16" s="2227"/>
    </row>
    <row r="17" spans="1:23" ht="6" customHeight="1">
      <c r="A17" s="2226"/>
      <c r="U17" s="2227"/>
    </row>
    <row r="18" spans="1:23" ht="19.5" customHeight="1">
      <c r="A18" s="2226" t="s">
        <v>1179</v>
      </c>
      <c r="B18" s="2228" t="s">
        <v>2166</v>
      </c>
      <c r="E18" s="2231"/>
      <c r="F18" s="3792"/>
      <c r="G18" s="3793"/>
      <c r="U18" s="2227"/>
    </row>
    <row r="19" spans="1:23" ht="6" customHeight="1">
      <c r="A19" s="2226"/>
      <c r="U19" s="2227"/>
    </row>
    <row r="20" spans="1:23" ht="15" customHeight="1">
      <c r="A20" s="3794" t="s">
        <v>1534</v>
      </c>
      <c r="B20" s="3795"/>
      <c r="C20" s="3795"/>
      <c r="D20" s="3795"/>
      <c r="E20" s="3795"/>
      <c r="F20" s="3795"/>
      <c r="G20" s="3795"/>
      <c r="H20" s="3795"/>
      <c r="I20" s="3795"/>
      <c r="J20" s="3795"/>
      <c r="K20" s="3795"/>
      <c r="L20" s="3795"/>
      <c r="M20" s="3795"/>
      <c r="N20" s="3795"/>
      <c r="O20" s="3795"/>
      <c r="P20" s="3795"/>
      <c r="Q20" s="3795"/>
      <c r="R20" s="3795"/>
      <c r="S20" s="3795"/>
      <c r="T20" s="3795"/>
      <c r="U20" s="3796"/>
    </row>
    <row r="21" spans="1:23" ht="6" customHeight="1">
      <c r="A21" s="2226"/>
      <c r="U21" s="2227"/>
    </row>
    <row r="22" spans="1:23" ht="19.5" customHeight="1">
      <c r="A22" s="2226" t="s">
        <v>1011</v>
      </c>
      <c r="B22" s="2228" t="s">
        <v>1535</v>
      </c>
      <c r="E22" s="3808">
        <v>0.5</v>
      </c>
      <c r="F22" s="3809"/>
      <c r="G22" s="2228" t="s">
        <v>762</v>
      </c>
      <c r="I22" s="2228" t="s">
        <v>1536</v>
      </c>
      <c r="L22" s="3810">
        <v>1.2E-2</v>
      </c>
      <c r="M22" s="3811"/>
      <c r="N22" s="2222" t="s">
        <v>1537</v>
      </c>
      <c r="P22" s="3812" t="s">
        <v>2167</v>
      </c>
      <c r="Q22" s="3812"/>
      <c r="R22" s="3812"/>
      <c r="S22" s="3812"/>
      <c r="T22" s="3812"/>
      <c r="U22" s="2227"/>
    </row>
    <row r="23" spans="1:23" ht="6" customHeight="1">
      <c r="A23" s="2226"/>
      <c r="P23" s="3812"/>
      <c r="Q23" s="3812"/>
      <c r="R23" s="3812"/>
      <c r="S23" s="3812"/>
      <c r="T23" s="3812"/>
      <c r="U23" s="2227"/>
    </row>
    <row r="24" spans="1:23" ht="19.5" customHeight="1">
      <c r="A24" s="2226" t="s">
        <v>1019</v>
      </c>
      <c r="B24" s="2228" t="s">
        <v>1538</v>
      </c>
      <c r="E24" s="3810">
        <v>0.61</v>
      </c>
      <c r="F24" s="3811"/>
      <c r="G24" s="2228" t="s">
        <v>1539</v>
      </c>
      <c r="P24" s="3812"/>
      <c r="Q24" s="3812"/>
      <c r="R24" s="3812"/>
      <c r="S24" s="3812"/>
      <c r="T24" s="3812"/>
      <c r="U24" s="2227"/>
    </row>
    <row r="25" spans="1:23" ht="6" customHeight="1">
      <c r="A25" s="2226"/>
      <c r="U25" s="2227"/>
    </row>
    <row r="26" spans="1:23" ht="19.5" customHeight="1">
      <c r="A26" s="2226" t="s">
        <v>1168</v>
      </c>
      <c r="B26" s="2228" t="s">
        <v>2168</v>
      </c>
      <c r="K26" s="3790" t="str">
        <f>IF(ISBLANK(E4)," ",E4)</f>
        <v xml:space="preserve"> </v>
      </c>
      <c r="L26" s="3791"/>
      <c r="M26" s="2232" t="s">
        <v>1541</v>
      </c>
      <c r="N26" s="3790" t="str">
        <f>G14</f>
        <v/>
      </c>
      <c r="O26" s="3791"/>
      <c r="P26" s="3813" t="s">
        <v>1542</v>
      </c>
      <c r="Q26" s="3814"/>
      <c r="R26" s="3806" t="str">
        <f>IF(ISBLANK(F10),"",K26/N26)</f>
        <v/>
      </c>
      <c r="S26" s="3807"/>
      <c r="T26" s="2228" t="s">
        <v>1543</v>
      </c>
      <c r="U26" s="2227"/>
    </row>
    <row r="27" spans="1:23" ht="6" customHeight="1">
      <c r="A27" s="2226"/>
      <c r="U27" s="2227"/>
    </row>
    <row r="28" spans="1:23" ht="15" customHeight="1">
      <c r="A28" s="2226" t="s">
        <v>1172</v>
      </c>
      <c r="B28" s="2228" t="s">
        <v>2169</v>
      </c>
      <c r="U28" s="2227"/>
    </row>
    <row r="29" spans="1:23" ht="6" customHeight="1">
      <c r="A29" s="2226"/>
      <c r="U29" s="2227"/>
    </row>
    <row r="30" spans="1:23" ht="19.5" customHeight="1">
      <c r="A30" s="2226"/>
      <c r="B30" s="3790" t="str">
        <f>IF(ISBLANK(E4)," ",E4)</f>
        <v xml:space="preserve"> </v>
      </c>
      <c r="C30" s="3791"/>
      <c r="D30" s="2232" t="s">
        <v>1541</v>
      </c>
      <c r="E30" s="3790" t="str">
        <f>F16</f>
        <v/>
      </c>
      <c r="F30" s="3791"/>
      <c r="G30" s="2228" t="s">
        <v>1545</v>
      </c>
      <c r="I30" s="3802" t="str">
        <f>IF(ISBLANK(F10),"",B30/E30)</f>
        <v/>
      </c>
      <c r="J30" s="3803"/>
      <c r="K30" s="2228" t="s">
        <v>609</v>
      </c>
      <c r="U30" s="2227"/>
    </row>
    <row r="31" spans="1:23" ht="6" customHeight="1">
      <c r="A31" s="2226"/>
      <c r="U31" s="2227"/>
    </row>
    <row r="32" spans="1:23" ht="19.5" customHeight="1">
      <c r="A32" s="2226" t="s">
        <v>1177</v>
      </c>
      <c r="B32" s="2228" t="s">
        <v>2170</v>
      </c>
      <c r="P32" s="3804"/>
      <c r="Q32" s="3805"/>
      <c r="R32" s="2228" t="s">
        <v>609</v>
      </c>
      <c r="S32" s="2222" t="s">
        <v>2171</v>
      </c>
      <c r="U32" s="2227"/>
      <c r="W32" s="2222" t="s">
        <v>2172</v>
      </c>
    </row>
    <row r="33" spans="1:23" s="2235" customFormat="1" ht="15" customHeight="1">
      <c r="A33" s="2233"/>
      <c r="B33" s="2234" t="s">
        <v>1547</v>
      </c>
      <c r="U33" s="2236"/>
    </row>
    <row r="34" spans="1:23" ht="6" customHeight="1">
      <c r="A34" s="2226"/>
      <c r="U34" s="2227"/>
    </row>
    <row r="35" spans="1:23" ht="19.5" customHeight="1">
      <c r="A35" s="2226" t="s">
        <v>1179</v>
      </c>
      <c r="B35" s="2228" t="s">
        <v>1548</v>
      </c>
      <c r="L35" s="3806" t="str">
        <f>R26</f>
        <v/>
      </c>
      <c r="M35" s="3807"/>
      <c r="N35" s="2232" t="s">
        <v>1549</v>
      </c>
      <c r="O35" s="3790" t="str">
        <f>IF(ISBLANK(F10),"",P32)</f>
        <v/>
      </c>
      <c r="P35" s="3791"/>
      <c r="Q35" s="2237" t="s">
        <v>1240</v>
      </c>
      <c r="R35" s="3802" t="str">
        <f>IF(ISBLANK(F10),"",L35/O35)</f>
        <v/>
      </c>
      <c r="S35" s="3815"/>
      <c r="T35" s="2228" t="s">
        <v>609</v>
      </c>
      <c r="U35" s="2227"/>
    </row>
    <row r="36" spans="1:23" ht="6" customHeight="1">
      <c r="A36" s="2226"/>
      <c r="U36" s="2227"/>
    </row>
    <row r="37" spans="1:23" ht="19.5" customHeight="1">
      <c r="A37" s="2226" t="s">
        <v>1181</v>
      </c>
      <c r="B37" s="2228" t="s">
        <v>1550</v>
      </c>
      <c r="E37" s="3816"/>
      <c r="F37" s="3817"/>
      <c r="G37" s="2228" t="s">
        <v>609</v>
      </c>
      <c r="H37" s="2222" t="s">
        <v>2173</v>
      </c>
      <c r="U37" s="2227"/>
    </row>
    <row r="38" spans="1:23" ht="6" customHeight="1">
      <c r="A38" s="2226"/>
      <c r="U38" s="2227"/>
    </row>
    <row r="39" spans="1:23" ht="15" customHeight="1">
      <c r="A39" s="2226" t="s">
        <v>1184</v>
      </c>
      <c r="B39" s="2228" t="s">
        <v>2666</v>
      </c>
      <c r="U39" s="2227"/>
    </row>
    <row r="40" spans="1:23" ht="6" customHeight="1">
      <c r="A40" s="2226"/>
      <c r="U40" s="2227"/>
    </row>
    <row r="41" spans="1:23" ht="19.5" customHeight="1">
      <c r="A41" s="2226"/>
      <c r="B41" s="3802" t="str">
        <f>R35</f>
        <v/>
      </c>
      <c r="C41" s="3791"/>
      <c r="D41" s="2232" t="s">
        <v>1552</v>
      </c>
      <c r="E41" s="3790" t="str">
        <f>IF(ISBLANK(F10),"",E37)</f>
        <v/>
      </c>
      <c r="F41" s="3791"/>
      <c r="G41" s="2232" t="s">
        <v>1443</v>
      </c>
      <c r="H41" s="3790" t="str">
        <f>IF(ISBLANK(E37),"",ROUNDUP((B41/E41),0))</f>
        <v/>
      </c>
      <c r="I41" s="3791"/>
      <c r="J41" s="2228" t="s">
        <v>1553</v>
      </c>
      <c r="U41" s="2227"/>
      <c r="W41" s="2238"/>
    </row>
    <row r="42" spans="1:23" ht="6" customHeight="1">
      <c r="A42" s="2226"/>
      <c r="U42" s="2227"/>
    </row>
    <row r="43" spans="1:23" ht="19.5" customHeight="1">
      <c r="A43" s="2226" t="s">
        <v>1186</v>
      </c>
      <c r="B43" s="2228" t="s">
        <v>1554</v>
      </c>
      <c r="E43" s="3816"/>
      <c r="F43" s="3817"/>
      <c r="G43" s="2228" t="s">
        <v>1555</v>
      </c>
      <c r="U43" s="2227"/>
    </row>
    <row r="44" spans="1:23" ht="6" customHeight="1">
      <c r="A44" s="2226"/>
      <c r="U44" s="2227"/>
    </row>
    <row r="45" spans="1:23" ht="19.5" customHeight="1">
      <c r="A45" s="2226" t="s">
        <v>1224</v>
      </c>
      <c r="B45" s="2228" t="s">
        <v>2175</v>
      </c>
      <c r="F45" s="3816"/>
      <c r="G45" s="3817"/>
      <c r="H45" s="2228" t="s">
        <v>1553</v>
      </c>
      <c r="J45" s="2262"/>
      <c r="S45" s="3850"/>
      <c r="T45" s="3850"/>
      <c r="U45" s="2228"/>
    </row>
    <row r="46" spans="1:23" ht="6" customHeight="1">
      <c r="A46" s="2226"/>
      <c r="U46" s="2227"/>
    </row>
    <row r="47" spans="1:23" ht="15" customHeight="1">
      <c r="A47" s="2226" t="s">
        <v>1227</v>
      </c>
      <c r="B47" s="2228" t="s">
        <v>2177</v>
      </c>
      <c r="U47" s="2227"/>
    </row>
    <row r="48" spans="1:23" ht="6" customHeight="1">
      <c r="A48" s="2226"/>
      <c r="U48" s="2227"/>
    </row>
    <row r="49" spans="1:21" ht="19.5" customHeight="1">
      <c r="A49" s="2226"/>
      <c r="B49" s="2239" t="s">
        <v>1557</v>
      </c>
      <c r="C49" s="3802">
        <f>F45</f>
        <v>0</v>
      </c>
      <c r="D49" s="3791"/>
      <c r="E49" s="2237" t="s">
        <v>1282</v>
      </c>
      <c r="F49" s="3790" t="str">
        <f>IF(ISBLANK(F10),"",E43)</f>
        <v/>
      </c>
      <c r="G49" s="3791"/>
      <c r="H49" s="2240" t="s">
        <v>1559</v>
      </c>
      <c r="I49" s="2232" t="s">
        <v>1343</v>
      </c>
      <c r="J49" s="3790" t="str">
        <f>IF(ISBLANK(F10),"",P32)</f>
        <v/>
      </c>
      <c r="K49" s="3791"/>
      <c r="L49" s="2232" t="s">
        <v>1560</v>
      </c>
      <c r="M49" s="3790" t="str">
        <f>IF(ISBLANK(F10),"",(C49*F49)*J49)</f>
        <v/>
      </c>
      <c r="N49" s="3791"/>
      <c r="O49" s="2228" t="s">
        <v>609</v>
      </c>
      <c r="U49" s="2227"/>
    </row>
    <row r="50" spans="1:21" ht="6" customHeight="1">
      <c r="A50" s="2226"/>
      <c r="U50" s="2227"/>
    </row>
    <row r="51" spans="1:21" ht="19.5" customHeight="1">
      <c r="A51" s="2226" t="s">
        <v>1480</v>
      </c>
      <c r="B51" s="2228" t="s">
        <v>2178</v>
      </c>
      <c r="U51" s="2227"/>
    </row>
    <row r="52" spans="1:21" ht="19.5" customHeight="1">
      <c r="A52" s="2226"/>
      <c r="C52" s="3788" t="str">
        <f>M49</f>
        <v/>
      </c>
      <c r="D52" s="3789"/>
      <c r="E52" s="2318" t="s">
        <v>1558</v>
      </c>
      <c r="F52" s="3788">
        <f>E43</f>
        <v>0</v>
      </c>
      <c r="G52" s="3789"/>
      <c r="H52" s="2317" t="s">
        <v>2179</v>
      </c>
      <c r="I52" s="3788" t="str">
        <f>IF(ISBLANK(E37), " ",C52/F52)</f>
        <v xml:space="preserve"> </v>
      </c>
      <c r="J52" s="3789"/>
      <c r="K52" s="2228" t="s">
        <v>2180</v>
      </c>
      <c r="U52" s="2227"/>
    </row>
    <row r="53" spans="1:21" ht="6" customHeight="1">
      <c r="A53" s="2226"/>
      <c r="U53" s="2227"/>
    </row>
    <row r="54" spans="1:21" ht="19.5" customHeight="1">
      <c r="A54" s="2226" t="s">
        <v>1483</v>
      </c>
      <c r="B54" s="2228" t="s">
        <v>2181</v>
      </c>
      <c r="L54" s="2319">
        <v>2</v>
      </c>
      <c r="M54" s="2232" t="s">
        <v>1343</v>
      </c>
      <c r="N54" s="3790">
        <f>F45</f>
        <v>0</v>
      </c>
      <c r="O54" s="3791"/>
      <c r="P54" s="2237" t="s">
        <v>1240</v>
      </c>
      <c r="Q54" s="3790" t="str">
        <f>IF(ISBLANK(F10),"",L54*N54)</f>
        <v/>
      </c>
      <c r="R54" s="3791"/>
      <c r="S54" s="2228" t="s">
        <v>1562</v>
      </c>
      <c r="U54" s="2227"/>
    </row>
    <row r="55" spans="1:21" ht="6" customHeight="1">
      <c r="A55" s="2226"/>
      <c r="U55" s="2227"/>
    </row>
    <row r="56" spans="1:21" ht="12" customHeight="1">
      <c r="A56" s="2226"/>
      <c r="U56" s="2227"/>
    </row>
    <row r="57" spans="1:21" ht="12" customHeight="1">
      <c r="A57" s="2226"/>
      <c r="U57" s="2227"/>
    </row>
    <row r="58" spans="1:21" ht="12" customHeight="1">
      <c r="A58" s="2226"/>
      <c r="U58" s="2227"/>
    </row>
    <row r="59" spans="1:21" ht="12" customHeight="1">
      <c r="A59" s="2226"/>
      <c r="U59" s="2227"/>
    </row>
    <row r="60" spans="1:21" ht="12" customHeight="1">
      <c r="A60" s="2226"/>
      <c r="U60" s="2227"/>
    </row>
    <row r="61" spans="1:21" ht="12" customHeight="1">
      <c r="A61" s="2226"/>
      <c r="U61" s="2227"/>
    </row>
    <row r="62" spans="1:21" ht="12" customHeight="1">
      <c r="A62" s="2226"/>
      <c r="U62" s="2227"/>
    </row>
    <row r="63" spans="1:21" ht="12" customHeight="1">
      <c r="A63" s="2226"/>
      <c r="U63" s="2227"/>
    </row>
    <row r="64" spans="1:21" ht="12" customHeight="1">
      <c r="A64" s="2226"/>
      <c r="U64" s="2227"/>
    </row>
    <row r="65" spans="1:21" ht="12" customHeight="1">
      <c r="A65" s="2226"/>
      <c r="U65" s="2227"/>
    </row>
    <row r="66" spans="1:21" ht="12" customHeight="1">
      <c r="A66" s="2226"/>
      <c r="U66" s="2227"/>
    </row>
    <row r="67" spans="1:21" ht="12" customHeight="1">
      <c r="A67" s="2226"/>
      <c r="U67" s="2227"/>
    </row>
    <row r="68" spans="1:21" ht="12" customHeight="1">
      <c r="A68" s="2226"/>
      <c r="U68" s="2227"/>
    </row>
    <row r="69" spans="1:21" ht="12" customHeight="1">
      <c r="A69" s="2226"/>
      <c r="U69" s="2227"/>
    </row>
    <row r="70" spans="1:21" ht="12" customHeight="1">
      <c r="A70" s="2226"/>
      <c r="U70" s="2227"/>
    </row>
    <row r="71" spans="1:21" ht="12" customHeight="1">
      <c r="A71" s="2226"/>
      <c r="U71" s="2227"/>
    </row>
    <row r="72" spans="1:21" ht="12" customHeight="1">
      <c r="A72" s="2226"/>
      <c r="U72" s="2227"/>
    </row>
    <row r="73" spans="1:21" ht="12" customHeight="1">
      <c r="A73" s="2226"/>
      <c r="U73" s="2227"/>
    </row>
    <row r="74" spans="1:21" ht="12" customHeight="1">
      <c r="A74" s="2226"/>
      <c r="U74" s="2227"/>
    </row>
    <row r="75" spans="1:21" ht="12" customHeight="1">
      <c r="A75" s="2226"/>
      <c r="U75" s="2227"/>
    </row>
    <row r="76" spans="1:21" ht="12" customHeight="1">
      <c r="A76" s="2226"/>
      <c r="U76" s="2227"/>
    </row>
    <row r="77" spans="1:21" ht="12" customHeight="1">
      <c r="A77" s="2226"/>
      <c r="U77" s="2227"/>
    </row>
    <row r="78" spans="1:21" ht="12" customHeight="1">
      <c r="A78" s="2226"/>
      <c r="U78" s="2227"/>
    </row>
    <row r="79" spans="1:21" ht="6" customHeight="1">
      <c r="A79" s="2226"/>
      <c r="U79" s="2227"/>
    </row>
    <row r="80" spans="1:21" ht="15" customHeight="1">
      <c r="A80" s="2226"/>
      <c r="B80" s="2222" t="s">
        <v>1563</v>
      </c>
      <c r="M80" s="2222" t="s">
        <v>1564</v>
      </c>
      <c r="U80" s="2227"/>
    </row>
    <row r="81" spans="1:27" ht="14.45" customHeight="1">
      <c r="A81" s="2226"/>
      <c r="B81" s="3821" t="s">
        <v>1565</v>
      </c>
      <c r="C81" s="3821"/>
      <c r="D81" s="3821"/>
      <c r="E81" s="3821"/>
      <c r="F81" s="3821"/>
      <c r="G81" s="3821"/>
      <c r="H81" s="3821"/>
      <c r="I81" s="3821"/>
      <c r="J81" s="3821"/>
      <c r="K81" s="3821"/>
      <c r="L81" s="2243"/>
      <c r="M81" s="3821" t="s">
        <v>1566</v>
      </c>
      <c r="N81" s="3821"/>
      <c r="O81" s="3821"/>
      <c r="P81" s="3821"/>
      <c r="Q81" s="3821"/>
      <c r="R81" s="3821"/>
      <c r="S81" s="3821"/>
      <c r="T81" s="3821"/>
      <c r="U81" s="2244"/>
    </row>
    <row r="82" spans="1:27">
      <c r="A82" s="2226"/>
      <c r="B82" s="3821"/>
      <c r="C82" s="3821"/>
      <c r="D82" s="3821"/>
      <c r="E82" s="3821"/>
      <c r="F82" s="3821"/>
      <c r="G82" s="3821"/>
      <c r="H82" s="3821"/>
      <c r="I82" s="3821"/>
      <c r="J82" s="3821"/>
      <c r="K82" s="3821"/>
      <c r="L82" s="2243"/>
      <c r="M82" s="3821"/>
      <c r="N82" s="3821"/>
      <c r="O82" s="3821"/>
      <c r="P82" s="3821"/>
      <c r="Q82" s="3821"/>
      <c r="R82" s="3821"/>
      <c r="S82" s="3821"/>
      <c r="T82" s="3821"/>
      <c r="U82" s="2244"/>
    </row>
    <row r="83" spans="1:27" ht="6" customHeight="1">
      <c r="A83" s="2226"/>
      <c r="B83" s="2242"/>
      <c r="C83" s="2242"/>
      <c r="D83" s="2242"/>
      <c r="E83" s="2242"/>
      <c r="F83" s="2242"/>
      <c r="G83" s="2242"/>
      <c r="H83" s="2242"/>
      <c r="I83" s="2242"/>
      <c r="J83" s="2242"/>
      <c r="K83" s="2242"/>
      <c r="L83" s="2243"/>
      <c r="M83" s="2242"/>
      <c r="N83" s="2242"/>
      <c r="O83" s="2242"/>
      <c r="P83" s="2242"/>
      <c r="Q83" s="2242"/>
      <c r="R83" s="2242"/>
      <c r="S83" s="2242"/>
      <c r="T83" s="2242"/>
      <c r="U83" s="2245"/>
    </row>
    <row r="84" spans="1:27" ht="15" customHeight="1">
      <c r="A84" s="2226"/>
      <c r="B84" s="2246" t="s">
        <v>1567</v>
      </c>
      <c r="C84" s="2242"/>
      <c r="D84" s="2242"/>
      <c r="E84" s="2242"/>
      <c r="F84" s="2242"/>
      <c r="G84" s="2242"/>
      <c r="H84" s="2242"/>
      <c r="I84" s="2242"/>
      <c r="J84" s="2242"/>
      <c r="K84" s="2242"/>
      <c r="L84" s="2243"/>
      <c r="M84" s="2242"/>
      <c r="N84" s="2242"/>
      <c r="O84" s="2242"/>
      <c r="P84" s="2242"/>
      <c r="Q84" s="2242"/>
      <c r="R84" s="2242"/>
      <c r="S84" s="2242"/>
      <c r="T84" s="2242"/>
      <c r="U84" s="2245"/>
    </row>
    <row r="85" spans="1:27" ht="6" customHeight="1">
      <c r="A85" s="2247"/>
      <c r="B85" s="2248"/>
      <c r="C85" s="2248"/>
      <c r="D85" s="2248"/>
      <c r="E85" s="2248"/>
      <c r="F85" s="2248"/>
      <c r="G85" s="2248"/>
      <c r="H85" s="2248"/>
      <c r="I85" s="2248"/>
      <c r="J85" s="2248"/>
      <c r="K85" s="2248"/>
      <c r="L85" s="2248"/>
      <c r="M85" s="2248"/>
      <c r="N85" s="2248"/>
      <c r="O85" s="2248"/>
      <c r="P85" s="2248"/>
      <c r="Q85" s="2248"/>
      <c r="R85" s="2248"/>
      <c r="S85" s="2248"/>
      <c r="T85" s="2248"/>
      <c r="U85" s="2249"/>
    </row>
    <row r="86" spans="1:27" ht="15" customHeight="1">
      <c r="A86" s="3794" t="s">
        <v>1568</v>
      </c>
      <c r="B86" s="3795"/>
      <c r="C86" s="3795"/>
      <c r="D86" s="3795"/>
      <c r="E86" s="3795"/>
      <c r="F86" s="3795"/>
      <c r="G86" s="3795"/>
      <c r="H86" s="3795"/>
      <c r="I86" s="3795"/>
      <c r="J86" s="3795"/>
      <c r="K86" s="3795"/>
      <c r="L86" s="3795"/>
      <c r="M86" s="3795"/>
      <c r="N86" s="3795"/>
      <c r="O86" s="3795"/>
      <c r="P86" s="3795"/>
      <c r="Q86" s="3795"/>
      <c r="R86" s="3795"/>
      <c r="S86" s="3795"/>
      <c r="T86" s="3795"/>
      <c r="U86" s="3796"/>
    </row>
    <row r="87" spans="1:27" ht="6" customHeight="1">
      <c r="A87" s="2250"/>
      <c r="B87" s="2251"/>
      <c r="C87" s="2251"/>
      <c r="D87" s="2251"/>
      <c r="E87" s="2251"/>
      <c r="F87" s="2251"/>
      <c r="G87" s="2251"/>
      <c r="H87" s="2251"/>
      <c r="I87" s="2251"/>
      <c r="J87" s="2251"/>
      <c r="K87" s="2251"/>
      <c r="L87" s="2251"/>
      <c r="M87" s="2251"/>
      <c r="N87" s="2251"/>
      <c r="O87" s="2251"/>
      <c r="P87" s="2251"/>
      <c r="Q87" s="2251"/>
      <c r="R87" s="2251"/>
      <c r="S87" s="2251"/>
      <c r="T87" s="2251"/>
      <c r="U87" s="2252"/>
    </row>
    <row r="88" spans="1:27" ht="19.5" customHeight="1">
      <c r="A88" s="2226" t="s">
        <v>1011</v>
      </c>
      <c r="B88" s="2228" t="s">
        <v>1569</v>
      </c>
      <c r="E88" s="3810">
        <v>2</v>
      </c>
      <c r="F88" s="3811"/>
      <c r="G88" s="2228" t="s">
        <v>609</v>
      </c>
      <c r="I88" s="3822" t="s">
        <v>2182</v>
      </c>
      <c r="J88" s="3822"/>
      <c r="K88" s="3822"/>
      <c r="L88" s="3822"/>
      <c r="M88" s="3822"/>
      <c r="N88" s="3822"/>
      <c r="O88" s="3822"/>
      <c r="P88" s="3822"/>
      <c r="Q88" s="3822"/>
      <c r="R88" s="3822"/>
      <c r="S88" s="3822"/>
      <c r="T88" s="3822"/>
      <c r="U88" s="2227"/>
      <c r="X88" s="2253"/>
      <c r="Y88" s="2253"/>
      <c r="Z88" s="2253"/>
      <c r="AA88" s="2253"/>
    </row>
    <row r="89" spans="1:27" ht="6" customHeight="1">
      <c r="A89" s="2226"/>
      <c r="U89" s="2227"/>
      <c r="W89" s="2253"/>
      <c r="X89" s="2253"/>
      <c r="Y89" s="2253"/>
      <c r="Z89" s="2253"/>
      <c r="AA89" s="2253"/>
    </row>
    <row r="90" spans="1:27" ht="19.5" customHeight="1">
      <c r="A90" s="2226" t="s">
        <v>1019</v>
      </c>
      <c r="B90" s="2228" t="s">
        <v>848</v>
      </c>
      <c r="E90" s="3804"/>
      <c r="F90" s="3805"/>
      <c r="G90" s="2254" t="s">
        <v>609</v>
      </c>
      <c r="I90" s="2228" t="s">
        <v>1570</v>
      </c>
      <c r="M90" s="3819"/>
      <c r="N90" s="3820"/>
      <c r="O90" s="2228" t="s">
        <v>762</v>
      </c>
      <c r="U90" s="2227"/>
      <c r="W90" s="2253"/>
      <c r="X90" s="2253"/>
      <c r="Y90" s="2253"/>
      <c r="Z90" s="2253"/>
      <c r="AA90" s="2253"/>
    </row>
    <row r="91" spans="1:27" ht="6" customHeight="1">
      <c r="A91" s="2226"/>
      <c r="U91" s="2227"/>
    </row>
    <row r="92" spans="1:27" ht="19.5" customHeight="1">
      <c r="A92" s="2226"/>
      <c r="B92" s="2228" t="s">
        <v>1571</v>
      </c>
      <c r="M92" s="3790">
        <f>E90</f>
        <v>0</v>
      </c>
      <c r="N92" s="3791"/>
      <c r="O92" s="2241" t="s">
        <v>1572</v>
      </c>
      <c r="P92" s="3816"/>
      <c r="Q92" s="3817"/>
      <c r="R92" s="2241" t="s">
        <v>1573</v>
      </c>
      <c r="S92" s="3790" t="str">
        <f>IF(ISBLANK(E90)," ",M92*P92)</f>
        <v xml:space="preserve"> </v>
      </c>
      <c r="T92" s="3791"/>
      <c r="U92" s="2255" t="s">
        <v>1537</v>
      </c>
      <c r="W92" s="2222" t="s">
        <v>2183</v>
      </c>
    </row>
    <row r="93" spans="1:27" ht="6" customHeight="1">
      <c r="A93" s="2226"/>
      <c r="U93" s="2227"/>
    </row>
    <row r="94" spans="1:27" ht="19.5" customHeight="1">
      <c r="A94" s="2226" t="s">
        <v>1168</v>
      </c>
      <c r="B94" s="2228" t="s">
        <v>1574</v>
      </c>
      <c r="E94" s="3804"/>
      <c r="F94" s="3805"/>
      <c r="G94" s="2228" t="s">
        <v>609</v>
      </c>
      <c r="I94" s="2228" t="s">
        <v>1575</v>
      </c>
      <c r="M94" s="3819"/>
      <c r="N94" s="3820"/>
      <c r="O94" s="2228" t="s">
        <v>762</v>
      </c>
      <c r="U94" s="2227"/>
    </row>
    <row r="95" spans="1:27" ht="6" customHeight="1">
      <c r="A95" s="2226"/>
      <c r="U95" s="2227"/>
    </row>
    <row r="96" spans="1:27" ht="19.5" customHeight="1">
      <c r="A96" s="2226"/>
      <c r="B96" s="2228" t="s">
        <v>1576</v>
      </c>
      <c r="M96" s="3790">
        <f>E94</f>
        <v>0</v>
      </c>
      <c r="N96" s="3791"/>
      <c r="O96" s="2241" t="s">
        <v>1572</v>
      </c>
      <c r="P96" s="3816"/>
      <c r="Q96" s="3817"/>
      <c r="R96" s="2241" t="s">
        <v>1573</v>
      </c>
      <c r="S96" s="3802">
        <f>IF(ISBLANK(E88),"",M96*P96)</f>
        <v>0</v>
      </c>
      <c r="T96" s="3815"/>
      <c r="U96" s="2255" t="s">
        <v>1537</v>
      </c>
    </row>
    <row r="97" spans="1:21" ht="6" customHeight="1">
      <c r="A97" s="2226"/>
      <c r="U97" s="2227"/>
    </row>
    <row r="98" spans="1:21" ht="19.5" customHeight="1">
      <c r="A98" s="2226" t="s">
        <v>1172</v>
      </c>
      <c r="B98" s="2228" t="s">
        <v>1577</v>
      </c>
      <c r="L98" s="2256"/>
      <c r="M98" s="3790" t="str">
        <f>S92</f>
        <v xml:space="preserve"> </v>
      </c>
      <c r="N98" s="3791"/>
      <c r="O98" s="2232" t="s">
        <v>1578</v>
      </c>
      <c r="P98" s="3802">
        <f>S96</f>
        <v>0</v>
      </c>
      <c r="Q98" s="3815"/>
      <c r="R98" s="2232" t="s">
        <v>1579</v>
      </c>
      <c r="S98" s="3823" t="str">
        <f>IF(ISBLANK(E94)," ",(M98+P98))</f>
        <v xml:space="preserve"> </v>
      </c>
      <c r="T98" s="3824"/>
      <c r="U98" s="2256" t="s">
        <v>1537</v>
      </c>
    </row>
    <row r="99" spans="1:21" ht="6" customHeight="1">
      <c r="A99" s="2226"/>
      <c r="U99" s="2227"/>
    </row>
    <row r="100" spans="1:21" ht="19.5" customHeight="1">
      <c r="A100" s="2226" t="s">
        <v>1177</v>
      </c>
      <c r="B100" s="2228" t="s">
        <v>2184</v>
      </c>
      <c r="M100" s="3788" t="str">
        <f>IF(ISBLANK(E90)," ",I52)</f>
        <v xml:space="preserve"> </v>
      </c>
      <c r="N100" s="3789"/>
      <c r="O100" s="2241" t="s">
        <v>1552</v>
      </c>
      <c r="P100" s="3790">
        <f>E88</f>
        <v>2</v>
      </c>
      <c r="Q100" s="3791"/>
      <c r="R100" s="2241" t="s">
        <v>1279</v>
      </c>
      <c r="S100" s="3790" t="str">
        <f>IF(ISBLANK(E43),"",M100/P100)</f>
        <v/>
      </c>
      <c r="T100" s="3791"/>
      <c r="U100" s="2255" t="s">
        <v>1581</v>
      </c>
    </row>
    <row r="101" spans="1:21" ht="6" customHeight="1">
      <c r="A101" s="2226"/>
      <c r="U101" s="2227"/>
    </row>
    <row r="102" spans="1:21" s="2228" customFormat="1" ht="15" customHeight="1">
      <c r="A102" s="2254" t="s">
        <v>1177</v>
      </c>
      <c r="B102" s="2228" t="s">
        <v>1582</v>
      </c>
      <c r="U102" s="2255"/>
    </row>
    <row r="103" spans="1:21" s="2228" customFormat="1" ht="6" customHeight="1">
      <c r="A103" s="2254"/>
      <c r="U103" s="2255"/>
    </row>
    <row r="104" spans="1:21" s="2228" customFormat="1" ht="19.5" customHeight="1">
      <c r="A104" s="2254"/>
      <c r="B104" s="2257" t="s">
        <v>1557</v>
      </c>
      <c r="C104" s="3790" t="str">
        <f>S100</f>
        <v/>
      </c>
      <c r="D104" s="3791"/>
      <c r="E104" s="2241" t="s">
        <v>1343</v>
      </c>
      <c r="F104" s="3810">
        <v>0.61</v>
      </c>
      <c r="G104" s="3811"/>
      <c r="H104" s="2258" t="s">
        <v>1583</v>
      </c>
      <c r="I104" s="2232" t="s">
        <v>1558</v>
      </c>
      <c r="J104" s="2259">
        <v>60</v>
      </c>
      <c r="K104" s="2232" t="s">
        <v>1240</v>
      </c>
      <c r="L104" s="3823" t="str">
        <f>IF(ISBLANK(E43),"",(C104*F104)/60)</f>
        <v/>
      </c>
      <c r="M104" s="3824"/>
      <c r="N104" s="2258" t="s">
        <v>1584</v>
      </c>
      <c r="U104" s="2255"/>
    </row>
    <row r="105" spans="1:21" s="2228" customFormat="1" ht="6" customHeight="1">
      <c r="A105" s="2254"/>
      <c r="U105" s="2255"/>
    </row>
    <row r="106" spans="1:21" s="2228" customFormat="1" ht="19.5" customHeight="1">
      <c r="A106" s="2254" t="s">
        <v>1179</v>
      </c>
      <c r="B106" s="2228" t="s">
        <v>2185</v>
      </c>
      <c r="M106" s="3790" t="str">
        <f>M100</f>
        <v xml:space="preserve"> </v>
      </c>
      <c r="N106" s="3791"/>
      <c r="O106" s="2232" t="s">
        <v>1572</v>
      </c>
      <c r="P106" s="3810">
        <v>1.2E-2</v>
      </c>
      <c r="Q106" s="3811"/>
      <c r="R106" s="2232" t="s">
        <v>1240</v>
      </c>
      <c r="S106" s="3790" t="str">
        <f>IF(ISBLANK(E43),"",M106*P106)</f>
        <v/>
      </c>
      <c r="T106" s="3791"/>
      <c r="U106" s="2255" t="s">
        <v>1537</v>
      </c>
    </row>
    <row r="107" spans="1:21" s="2228" customFormat="1" ht="6" customHeight="1">
      <c r="A107" s="2254"/>
      <c r="B107" s="2228" t="s">
        <v>881</v>
      </c>
      <c r="U107" s="2255"/>
    </row>
    <row r="108" spans="1:21" s="2228" customFormat="1" ht="15" customHeight="1">
      <c r="A108" s="2254" t="s">
        <v>1181</v>
      </c>
      <c r="B108" s="2228" t="s">
        <v>1586</v>
      </c>
      <c r="U108" s="2255"/>
    </row>
    <row r="109" spans="1:21" s="2228" customFormat="1" ht="6" customHeight="1">
      <c r="A109" s="2254"/>
      <c r="U109" s="2255"/>
    </row>
    <row r="110" spans="1:21" s="2228" customFormat="1" ht="19.5" customHeight="1">
      <c r="A110" s="2254"/>
      <c r="B110" s="2257" t="s">
        <v>1557</v>
      </c>
      <c r="C110" s="3831">
        <v>4</v>
      </c>
      <c r="D110" s="3831"/>
      <c r="E110" s="2232" t="s">
        <v>1343</v>
      </c>
      <c r="F110" s="3790" t="str">
        <f>S106</f>
        <v/>
      </c>
      <c r="G110" s="3791"/>
      <c r="H110" s="2260" t="s">
        <v>1587</v>
      </c>
      <c r="I110" s="2232" t="s">
        <v>1588</v>
      </c>
      <c r="J110" s="3790" t="str">
        <f>S98</f>
        <v xml:space="preserve"> </v>
      </c>
      <c r="K110" s="3791"/>
      <c r="L110" s="2232" t="s">
        <v>1579</v>
      </c>
      <c r="M110" s="3823" t="str">
        <f>IF(ISBLANK(E43),"",(4*S106)+S98)</f>
        <v/>
      </c>
      <c r="N110" s="3824"/>
      <c r="O110" s="2228" t="s">
        <v>1537</v>
      </c>
      <c r="U110" s="2255"/>
    </row>
    <row r="111" spans="1:21" s="2228" customFormat="1" ht="6" customHeight="1">
      <c r="A111" s="2254"/>
      <c r="U111" s="2255"/>
    </row>
    <row r="112" spans="1:21" s="2228" customFormat="1" ht="15" customHeight="1">
      <c r="A112" s="2254" t="s">
        <v>1184</v>
      </c>
      <c r="B112" s="520" t="s">
        <v>2186</v>
      </c>
      <c r="U112" s="2255"/>
    </row>
    <row r="113" spans="1:24" s="2228" customFormat="1" ht="6" customHeight="1">
      <c r="A113" s="2254"/>
      <c r="U113" s="2255"/>
    </row>
    <row r="114" spans="1:24" s="2228" customFormat="1" ht="19.5" customHeight="1">
      <c r="A114" s="2254"/>
      <c r="B114" s="3790">
        <f>IF(ISBLANK(E88),"",F10/12)</f>
        <v>0</v>
      </c>
      <c r="C114" s="3791"/>
      <c r="D114" s="2232" t="s">
        <v>1389</v>
      </c>
      <c r="E114" s="3825">
        <v>8.3000000000000004E-2</v>
      </c>
      <c r="F114" s="3826"/>
      <c r="G114" s="2232" t="s">
        <v>783</v>
      </c>
      <c r="H114" s="3790" t="str">
        <f>M100</f>
        <v xml:space="preserve"> </v>
      </c>
      <c r="I114" s="3791"/>
      <c r="J114" s="2232" t="s">
        <v>1572</v>
      </c>
      <c r="K114" s="3827">
        <f>IF(ISBLANK(E88),"",F18)</f>
        <v>0</v>
      </c>
      <c r="L114" s="3828"/>
      <c r="M114" s="2232" t="s">
        <v>1343</v>
      </c>
      <c r="N114" s="2259">
        <v>7.5</v>
      </c>
      <c r="O114" s="2259" t="s">
        <v>987</v>
      </c>
      <c r="P114" s="3829" t="str">
        <f>S98</f>
        <v xml:space="preserve"> </v>
      </c>
      <c r="Q114" s="3830"/>
      <c r="R114" s="2232" t="s">
        <v>1240</v>
      </c>
      <c r="S114" s="3823" t="str">
        <f>IF(ISBLANK(E43),"",B114*E114*H114*K114*N114+P114)</f>
        <v/>
      </c>
      <c r="T114" s="3824"/>
      <c r="U114" s="2228" t="s">
        <v>1537</v>
      </c>
    </row>
    <row r="115" spans="1:24" s="2228" customFormat="1" ht="6" customHeight="1">
      <c r="A115" s="2254"/>
      <c r="U115" s="2255"/>
    </row>
    <row r="116" spans="1:24" s="2228" customFormat="1" ht="19.5" customHeight="1">
      <c r="A116" s="2254" t="s">
        <v>1186</v>
      </c>
      <c r="B116" s="2228" t="s">
        <v>1590</v>
      </c>
      <c r="O116" s="3832"/>
      <c r="P116" s="3833"/>
      <c r="Q116" s="2228" t="s">
        <v>1537</v>
      </c>
      <c r="U116" s="2255"/>
    </row>
    <row r="117" spans="1:24" s="2228" customFormat="1" ht="6" customHeight="1">
      <c r="A117" s="2254"/>
      <c r="U117" s="2255"/>
    </row>
    <row r="118" spans="1:24" s="2228" customFormat="1" ht="19.5" customHeight="1">
      <c r="A118" s="2254" t="s">
        <v>1224</v>
      </c>
      <c r="B118" s="2228" t="s">
        <v>1591</v>
      </c>
      <c r="L118" s="3790">
        <f>IF(ISBLANK(E88),"",O116)</f>
        <v>0</v>
      </c>
      <c r="M118" s="3791"/>
      <c r="N118" s="2241" t="s">
        <v>1558</v>
      </c>
      <c r="O118" s="3802" t="str">
        <f>L104</f>
        <v/>
      </c>
      <c r="P118" s="3815"/>
      <c r="Q118" s="2241" t="s">
        <v>1240</v>
      </c>
      <c r="R118" s="3802" t="str">
        <f>IF(ISBLANK(O116)," ",L118/O118)</f>
        <v xml:space="preserve"> </v>
      </c>
      <c r="S118" s="3815"/>
      <c r="T118" s="2228" t="s">
        <v>1592</v>
      </c>
      <c r="U118" s="2255"/>
    </row>
    <row r="119" spans="1:24" s="2228" customFormat="1" ht="6" customHeight="1">
      <c r="A119" s="2254"/>
      <c r="U119" s="2255"/>
    </row>
    <row r="120" spans="1:24" s="2228" customFormat="1" ht="15" customHeight="1">
      <c r="A120" s="2254" t="s">
        <v>1227</v>
      </c>
      <c r="B120" s="2228" t="s">
        <v>1593</v>
      </c>
      <c r="U120" s="2255"/>
    </row>
    <row r="121" spans="1:24" s="2228" customFormat="1" ht="6" customHeight="1">
      <c r="A121" s="2254"/>
      <c r="U121" s="2255"/>
    </row>
    <row r="122" spans="1:24" s="2228" customFormat="1" ht="19.5" customHeight="1">
      <c r="A122" s="2254"/>
      <c r="B122" s="3790" t="str">
        <f>IF(ISBLANK(E4)," ",E4)</f>
        <v xml:space="preserve"> </v>
      </c>
      <c r="C122" s="3791"/>
      <c r="D122" s="2232" t="s">
        <v>1890</v>
      </c>
      <c r="E122" s="3790">
        <f>IF(ISBLANK(E88),"",E43)</f>
        <v>0</v>
      </c>
      <c r="F122" s="3791"/>
      <c r="G122" s="2232" t="s">
        <v>2187</v>
      </c>
      <c r="H122" s="3790">
        <f>IF(ISBLANK(E88),"",O116)</f>
        <v>0</v>
      </c>
      <c r="I122" s="3791"/>
      <c r="J122" s="3813" t="s">
        <v>2188</v>
      </c>
      <c r="K122" s="3814"/>
      <c r="L122" s="3802" t="str">
        <f>IF(ISBLANK(E90),"",MAX(4,(B122/E122/H122)))</f>
        <v/>
      </c>
      <c r="M122" s="3815"/>
      <c r="N122" s="2228" t="s">
        <v>1595</v>
      </c>
      <c r="O122" s="2234" t="s">
        <v>1594</v>
      </c>
      <c r="U122" s="2255"/>
      <c r="W122" s="2261"/>
      <c r="X122" s="1655"/>
    </row>
    <row r="123" spans="1:24" s="2228" customFormat="1" ht="6" customHeight="1">
      <c r="A123" s="2254"/>
      <c r="U123" s="2255"/>
    </row>
    <row r="124" spans="1:24" s="2228" customFormat="1" ht="19.5" customHeight="1">
      <c r="A124" s="2254" t="s">
        <v>1480</v>
      </c>
      <c r="B124" s="2262" t="s">
        <v>2189</v>
      </c>
      <c r="J124" s="3788">
        <v>1440</v>
      </c>
      <c r="K124" s="3789"/>
      <c r="L124" s="2260" t="s">
        <v>2190</v>
      </c>
      <c r="M124" s="3834" t="str">
        <f>L122</f>
        <v/>
      </c>
      <c r="N124" s="3835"/>
      <c r="O124" s="2232" t="s">
        <v>2191</v>
      </c>
      <c r="P124" s="3834" t="str">
        <f>IF(ISBLANK(E90),"",J124/M124)</f>
        <v/>
      </c>
      <c r="Q124" s="3835"/>
      <c r="R124" s="2228" t="s">
        <v>1592</v>
      </c>
      <c r="U124" s="2255"/>
    </row>
    <row r="125" spans="1:24" s="2228" customFormat="1" ht="6" customHeight="1">
      <c r="A125" s="2254"/>
      <c r="U125" s="2255"/>
    </row>
    <row r="126" spans="1:24" s="2228" customFormat="1" ht="19.5" customHeight="1">
      <c r="A126" s="2254" t="s">
        <v>1483</v>
      </c>
      <c r="B126" s="2228" t="s">
        <v>1597</v>
      </c>
      <c r="I126" s="3802" t="str">
        <f>P124</f>
        <v/>
      </c>
      <c r="J126" s="3791"/>
      <c r="K126" s="2260" t="s">
        <v>2192</v>
      </c>
      <c r="L126" s="3802" t="str">
        <f>R118</f>
        <v xml:space="preserve"> </v>
      </c>
      <c r="M126" s="3791"/>
      <c r="N126" s="2260" t="s">
        <v>2193</v>
      </c>
      <c r="O126" s="3802" t="str">
        <f>IF(ISBLANK(E90),"",I126-L126)</f>
        <v/>
      </c>
      <c r="P126" s="3791"/>
      <c r="Q126" s="2228" t="s">
        <v>1592</v>
      </c>
      <c r="U126" s="2255"/>
    </row>
    <row r="127" spans="1:24" s="2228" customFormat="1" ht="6" customHeight="1">
      <c r="A127" s="2254"/>
      <c r="U127" s="2255"/>
    </row>
    <row r="128" spans="1:24" s="2228" customFormat="1" ht="19.5" customHeight="1">
      <c r="A128" s="2254" t="s">
        <v>1485</v>
      </c>
      <c r="B128" s="2228" t="s">
        <v>1640</v>
      </c>
      <c r="M128" s="3790" t="str">
        <f>Q54</f>
        <v/>
      </c>
      <c r="N128" s="3791"/>
      <c r="O128" s="3836" t="s">
        <v>2194</v>
      </c>
      <c r="P128" s="3837"/>
      <c r="Q128" s="2321">
        <f>1.6</f>
        <v>1.6</v>
      </c>
      <c r="R128" s="2259" t="s">
        <v>1971</v>
      </c>
      <c r="S128" s="3790" t="str">
        <f>IF(ISBLANK(E90),"",M128*Q128)</f>
        <v/>
      </c>
      <c r="T128" s="3791"/>
      <c r="U128" s="2256" t="s">
        <v>1537</v>
      </c>
    </row>
    <row r="129" spans="1:27" s="2228" customFormat="1" ht="6" customHeight="1">
      <c r="A129" s="2254"/>
      <c r="U129" s="2255"/>
    </row>
    <row r="130" spans="1:27" s="2228" customFormat="1" ht="15" customHeight="1">
      <c r="A130" s="2254" t="s">
        <v>1599</v>
      </c>
      <c r="B130" s="2228" t="s">
        <v>1600</v>
      </c>
      <c r="U130" s="2255"/>
    </row>
    <row r="131" spans="1:27" s="2228" customFormat="1" ht="6" customHeight="1">
      <c r="A131" s="2254"/>
      <c r="U131" s="2255"/>
    </row>
    <row r="132" spans="1:27" s="2228" customFormat="1" ht="19.5" customHeight="1">
      <c r="A132" s="2254"/>
      <c r="B132" s="3834" t="str">
        <f>L104</f>
        <v/>
      </c>
      <c r="C132" s="3835"/>
      <c r="D132" s="2232" t="s">
        <v>2195</v>
      </c>
      <c r="E132" s="3790" t="str">
        <f>S128</f>
        <v/>
      </c>
      <c r="F132" s="3791"/>
      <c r="G132" s="2232" t="s">
        <v>1971</v>
      </c>
      <c r="H132" s="3834" t="str">
        <f>IF(ISBLANK(E90),"",B132+E132)</f>
        <v/>
      </c>
      <c r="I132" s="3835"/>
      <c r="J132" s="2258" t="s">
        <v>1584</v>
      </c>
      <c r="U132" s="2255"/>
    </row>
    <row r="133" spans="1:27" s="2228" customFormat="1" ht="6" customHeight="1">
      <c r="A133" s="2254"/>
      <c r="U133" s="2255"/>
    </row>
    <row r="134" spans="1:27" s="2228" customFormat="1" ht="19.5" customHeight="1">
      <c r="A134" s="2254" t="s">
        <v>1601</v>
      </c>
      <c r="B134" s="2228" t="s">
        <v>1602</v>
      </c>
      <c r="K134" s="3802" t="str">
        <f>H132</f>
        <v/>
      </c>
      <c r="L134" s="3815"/>
      <c r="M134" s="2232" t="s">
        <v>2196</v>
      </c>
      <c r="N134" s="3802" t="str">
        <f>R118</f>
        <v xml:space="preserve"> </v>
      </c>
      <c r="O134" s="3791"/>
      <c r="P134" s="2232" t="s">
        <v>1945</v>
      </c>
      <c r="Q134" s="3806" t="str">
        <f>IF(ISBLANK(E90),"",K134*N134)</f>
        <v/>
      </c>
      <c r="R134" s="3807"/>
      <c r="S134" s="2228" t="s">
        <v>1537</v>
      </c>
      <c r="U134" s="2255"/>
    </row>
    <row r="135" spans="1:27" s="2228" customFormat="1" ht="6" customHeight="1">
      <c r="A135" s="2254"/>
      <c r="U135" s="2255"/>
    </row>
    <row r="136" spans="1:27" s="2228" customFormat="1" ht="15" customHeight="1">
      <c r="A136" s="2254" t="s">
        <v>1603</v>
      </c>
      <c r="B136" s="2228" t="s">
        <v>2197</v>
      </c>
      <c r="C136" s="1244"/>
      <c r="D136" s="1244"/>
      <c r="E136" s="1244"/>
      <c r="F136" s="1244"/>
      <c r="G136" s="1244"/>
      <c r="H136" s="1244"/>
      <c r="I136" s="1244"/>
      <c r="J136" s="1244"/>
      <c r="K136" s="1244"/>
      <c r="L136" s="2263"/>
      <c r="U136" s="2255"/>
    </row>
    <row r="137" spans="1:27" s="2228" customFormat="1" ht="6" customHeight="1">
      <c r="A137" s="2254"/>
      <c r="U137" s="2255"/>
    </row>
    <row r="138" spans="1:27" s="2228" customFormat="1" ht="19.5" customHeight="1">
      <c r="A138" s="2254"/>
      <c r="B138" s="3802">
        <f>IF(ISBLANK(E88),"",E43)</f>
        <v>0</v>
      </c>
      <c r="C138" s="3815"/>
      <c r="D138" s="2263" t="s">
        <v>1343</v>
      </c>
      <c r="E138" s="3802" t="str">
        <f>L122</f>
        <v/>
      </c>
      <c r="F138" s="3815"/>
      <c r="G138" s="2263" t="s">
        <v>1343</v>
      </c>
      <c r="H138" s="3802" t="str">
        <f>R118</f>
        <v xml:space="preserve"> </v>
      </c>
      <c r="I138" s="3815"/>
      <c r="J138" s="2322" t="s">
        <v>1945</v>
      </c>
      <c r="K138" s="3802" t="str">
        <f>IF(ISBLANK(E90),"",B138*E138*H138)</f>
        <v/>
      </c>
      <c r="L138" s="3815"/>
      <c r="M138" s="1244" t="s">
        <v>1592</v>
      </c>
      <c r="O138" s="1653" t="s">
        <v>2198</v>
      </c>
      <c r="U138" s="2255"/>
    </row>
    <row r="139" spans="1:27" ht="6" customHeight="1">
      <c r="A139" s="2226"/>
      <c r="U139" s="2227"/>
    </row>
    <row r="140" spans="1:27" ht="15" customHeight="1">
      <c r="A140" s="3794" t="s">
        <v>1605</v>
      </c>
      <c r="B140" s="3795"/>
      <c r="C140" s="3795"/>
      <c r="D140" s="3795"/>
      <c r="E140" s="3795"/>
      <c r="F140" s="3795"/>
      <c r="G140" s="3795"/>
      <c r="H140" s="3795"/>
      <c r="I140" s="3795"/>
      <c r="J140" s="3795"/>
      <c r="K140" s="3795"/>
      <c r="L140" s="3795"/>
      <c r="M140" s="3795"/>
      <c r="N140" s="3795"/>
      <c r="O140" s="3795"/>
      <c r="P140" s="3795"/>
      <c r="Q140" s="3795"/>
      <c r="R140" s="3795"/>
      <c r="S140" s="3795"/>
      <c r="T140" s="3795"/>
      <c r="U140" s="3796"/>
    </row>
    <row r="141" spans="1:27" ht="6" customHeight="1">
      <c r="A141" s="2250"/>
      <c r="B141" s="2251"/>
      <c r="C141" s="2251"/>
      <c r="D141" s="2251"/>
      <c r="E141" s="2251"/>
      <c r="F141" s="2251"/>
      <c r="G141" s="2251"/>
      <c r="H141" s="2251"/>
      <c r="I141" s="2251"/>
      <c r="J141" s="2251"/>
      <c r="K141" s="2251"/>
      <c r="L141" s="2251"/>
      <c r="M141" s="2251"/>
      <c r="N141" s="2251"/>
      <c r="O141" s="2251"/>
      <c r="P141" s="2251"/>
      <c r="Q141" s="2251"/>
      <c r="R141" s="2251"/>
      <c r="S141" s="2251"/>
      <c r="T141" s="2251"/>
      <c r="U141" s="2252"/>
    </row>
    <row r="142" spans="1:27" ht="19.5" customHeight="1">
      <c r="A142" s="2226" t="s">
        <v>1011</v>
      </c>
      <c r="B142" s="2228" t="s">
        <v>1569</v>
      </c>
      <c r="E142" s="3810">
        <v>2</v>
      </c>
      <c r="F142" s="3811"/>
      <c r="G142" s="2228" t="s">
        <v>609</v>
      </c>
      <c r="I142" s="3822" t="s">
        <v>2182</v>
      </c>
      <c r="J142" s="3822"/>
      <c r="K142" s="3822"/>
      <c r="L142" s="3822"/>
      <c r="M142" s="3822"/>
      <c r="N142" s="3822"/>
      <c r="O142" s="3822"/>
      <c r="P142" s="3822"/>
      <c r="Q142" s="3822"/>
      <c r="R142" s="3822"/>
      <c r="S142" s="3822"/>
      <c r="T142" s="3822"/>
      <c r="U142" s="2227"/>
      <c r="X142" s="2253"/>
      <c r="Y142" s="2253"/>
      <c r="Z142" s="2253"/>
      <c r="AA142" s="2253"/>
    </row>
    <row r="143" spans="1:27" ht="6" customHeight="1">
      <c r="A143" s="2226"/>
      <c r="U143" s="2227"/>
      <c r="W143" s="2253"/>
      <c r="X143" s="2253"/>
      <c r="Y143" s="2253"/>
      <c r="Z143" s="2253"/>
      <c r="AA143" s="2253"/>
    </row>
    <row r="144" spans="1:27" ht="19.5" customHeight="1">
      <c r="A144" s="2226" t="s">
        <v>1019</v>
      </c>
      <c r="B144" s="2228" t="s">
        <v>848</v>
      </c>
      <c r="E144" s="3804"/>
      <c r="F144" s="3805"/>
      <c r="G144" s="2254" t="s">
        <v>609</v>
      </c>
      <c r="I144" s="2228" t="s">
        <v>1570</v>
      </c>
      <c r="M144" s="3819"/>
      <c r="N144" s="3820"/>
      <c r="O144" s="2228" t="s">
        <v>762</v>
      </c>
      <c r="U144" s="2227"/>
      <c r="W144" s="2253"/>
      <c r="X144" s="2253"/>
      <c r="Y144" s="2253"/>
      <c r="Z144" s="2253"/>
      <c r="AA144" s="2253"/>
    </row>
    <row r="145" spans="1:23" ht="6" customHeight="1">
      <c r="A145" s="2226"/>
      <c r="U145" s="2227"/>
    </row>
    <row r="146" spans="1:23" ht="19.5" customHeight="1">
      <c r="A146" s="2226"/>
      <c r="B146" s="2228" t="s">
        <v>1571</v>
      </c>
      <c r="M146" s="3790">
        <f>E144</f>
        <v>0</v>
      </c>
      <c r="N146" s="3791"/>
      <c r="O146" s="2241" t="s">
        <v>1572</v>
      </c>
      <c r="P146" s="3816"/>
      <c r="Q146" s="3817"/>
      <c r="R146" s="2241" t="s">
        <v>1573</v>
      </c>
      <c r="S146" s="3790">
        <f>IF(ISBLANK(E142),"",M146*P146)</f>
        <v>0</v>
      </c>
      <c r="T146" s="3791"/>
      <c r="U146" s="2255" t="s">
        <v>1537</v>
      </c>
      <c r="W146" s="2222" t="s">
        <v>2183</v>
      </c>
    </row>
    <row r="147" spans="1:23" ht="6" customHeight="1">
      <c r="A147" s="2226"/>
      <c r="U147" s="2227"/>
    </row>
    <row r="148" spans="1:23" ht="19.5" customHeight="1">
      <c r="A148" s="2226" t="s">
        <v>1168</v>
      </c>
      <c r="B148" s="2228" t="s">
        <v>1574</v>
      </c>
      <c r="E148" s="3804"/>
      <c r="F148" s="3805"/>
      <c r="G148" s="2228" t="s">
        <v>609</v>
      </c>
      <c r="I148" s="2228" t="s">
        <v>1575</v>
      </c>
      <c r="M148" s="3819"/>
      <c r="N148" s="3820"/>
      <c r="O148" s="2228" t="s">
        <v>762</v>
      </c>
      <c r="U148" s="2227"/>
    </row>
    <row r="149" spans="1:23" ht="6" customHeight="1">
      <c r="A149" s="2226"/>
      <c r="U149" s="2227"/>
    </row>
    <row r="150" spans="1:23" ht="19.5" customHeight="1">
      <c r="A150" s="2226"/>
      <c r="B150" s="2228" t="s">
        <v>1576</v>
      </c>
      <c r="M150" s="3790">
        <f>E148</f>
        <v>0</v>
      </c>
      <c r="N150" s="3791"/>
      <c r="O150" s="2241" t="s">
        <v>1572</v>
      </c>
      <c r="P150" s="3816"/>
      <c r="Q150" s="3817"/>
      <c r="R150" s="2241" t="s">
        <v>1573</v>
      </c>
      <c r="S150" s="3802">
        <f>IF(ISBLANK(E142),"",M150*P150)</f>
        <v>0</v>
      </c>
      <c r="T150" s="3815"/>
      <c r="U150" s="2255" t="s">
        <v>1537</v>
      </c>
    </row>
    <row r="151" spans="1:23" ht="6" customHeight="1">
      <c r="A151" s="2226"/>
      <c r="U151" s="2227"/>
    </row>
    <row r="152" spans="1:23" ht="19.5" customHeight="1">
      <c r="A152" s="2226" t="s">
        <v>1172</v>
      </c>
      <c r="B152" s="2228" t="s">
        <v>1577</v>
      </c>
      <c r="L152" s="2256"/>
      <c r="M152" s="3790">
        <f>S146</f>
        <v>0</v>
      </c>
      <c r="N152" s="3791"/>
      <c r="O152" s="2232" t="s">
        <v>1578</v>
      </c>
      <c r="P152" s="3802">
        <f>S150</f>
        <v>0</v>
      </c>
      <c r="Q152" s="3815"/>
      <c r="R152" s="2232" t="s">
        <v>1579</v>
      </c>
      <c r="S152" s="3823">
        <f>IF(ISBLANK(E142),"",M152+P152)</f>
        <v>0</v>
      </c>
      <c r="T152" s="3824"/>
      <c r="U152" s="2256" t="s">
        <v>1537</v>
      </c>
    </row>
    <row r="153" spans="1:23" ht="6" customHeight="1">
      <c r="A153" s="2226"/>
      <c r="U153" s="2227"/>
    </row>
    <row r="154" spans="1:23" ht="19.5" customHeight="1">
      <c r="A154" s="2226" t="s">
        <v>1177</v>
      </c>
      <c r="B154" s="2228" t="s">
        <v>1580</v>
      </c>
      <c r="M154" s="3790" t="str">
        <f>IF(ISBLANK(E90)," ",I52)</f>
        <v xml:space="preserve"> </v>
      </c>
      <c r="N154" s="3791"/>
      <c r="O154" s="2241" t="s">
        <v>1552</v>
      </c>
      <c r="P154" s="3790">
        <v>2</v>
      </c>
      <c r="Q154" s="3791"/>
      <c r="R154" s="2241" t="s">
        <v>1279</v>
      </c>
      <c r="S154" s="3790" t="str">
        <f>IF(ISBLANK(E144),"",M154/P154)</f>
        <v/>
      </c>
      <c r="T154" s="3791"/>
      <c r="U154" s="2255" t="s">
        <v>1581</v>
      </c>
    </row>
    <row r="155" spans="1:23" ht="6" customHeight="1">
      <c r="A155" s="2226"/>
      <c r="U155" s="2227"/>
    </row>
    <row r="156" spans="1:23" s="2228" customFormat="1" ht="15" customHeight="1">
      <c r="A156" s="2254" t="s">
        <v>1177</v>
      </c>
      <c r="B156" s="2228" t="s">
        <v>1582</v>
      </c>
      <c r="U156" s="2255"/>
    </row>
    <row r="157" spans="1:23" s="2228" customFormat="1" ht="6" customHeight="1">
      <c r="A157" s="2254"/>
      <c r="U157" s="2255"/>
    </row>
    <row r="158" spans="1:23" s="2228" customFormat="1" ht="19.5" customHeight="1">
      <c r="A158" s="2254"/>
      <c r="B158" s="2257" t="s">
        <v>1557</v>
      </c>
      <c r="C158" s="3790" t="str">
        <f>S154</f>
        <v/>
      </c>
      <c r="D158" s="3791"/>
      <c r="E158" s="2241" t="s">
        <v>1343</v>
      </c>
      <c r="F158" s="3790">
        <v>0.61</v>
      </c>
      <c r="G158" s="3791"/>
      <c r="H158" s="2258" t="s">
        <v>1583</v>
      </c>
      <c r="I158" s="2232" t="s">
        <v>1558</v>
      </c>
      <c r="J158" s="2259">
        <v>60</v>
      </c>
      <c r="K158" s="2232" t="s">
        <v>1240</v>
      </c>
      <c r="L158" s="3823" t="str">
        <f>IF(ISBLANK(E144),"",(C158*F158)/60)</f>
        <v/>
      </c>
      <c r="M158" s="3824"/>
      <c r="N158" s="2258" t="s">
        <v>1584</v>
      </c>
      <c r="U158" s="2255"/>
    </row>
    <row r="159" spans="1:23" s="2228" customFormat="1" ht="6" customHeight="1">
      <c r="A159" s="2254"/>
      <c r="U159" s="2255"/>
    </row>
    <row r="160" spans="1:23" s="2228" customFormat="1" ht="19.5" customHeight="1">
      <c r="A160" s="2254" t="s">
        <v>1179</v>
      </c>
      <c r="B160" s="2228" t="s">
        <v>1585</v>
      </c>
      <c r="M160" s="3790" t="str">
        <f>M106</f>
        <v xml:space="preserve"> </v>
      </c>
      <c r="N160" s="3791"/>
      <c r="O160" s="2232" t="s">
        <v>1572</v>
      </c>
      <c r="P160" s="3790">
        <v>1.2E-2</v>
      </c>
      <c r="Q160" s="3791"/>
      <c r="R160" s="2232" t="s">
        <v>1240</v>
      </c>
      <c r="S160" s="3790" t="str">
        <f>IF(ISBLANK(E144),"",M160*P160)</f>
        <v/>
      </c>
      <c r="T160" s="3791"/>
      <c r="U160" s="2255" t="s">
        <v>1537</v>
      </c>
    </row>
    <row r="161" spans="1:24" s="2228" customFormat="1" ht="6" customHeight="1">
      <c r="A161" s="2254"/>
      <c r="U161" s="2255"/>
    </row>
    <row r="162" spans="1:24" s="2228" customFormat="1" ht="15" customHeight="1">
      <c r="A162" s="2254" t="s">
        <v>1181</v>
      </c>
      <c r="B162" s="2228" t="s">
        <v>1586</v>
      </c>
      <c r="U162" s="2255"/>
    </row>
    <row r="163" spans="1:24" s="2228" customFormat="1" ht="6" customHeight="1">
      <c r="A163" s="2254"/>
      <c r="U163" s="2255"/>
    </row>
    <row r="164" spans="1:24" s="2228" customFormat="1" ht="19.5" customHeight="1">
      <c r="A164" s="2254"/>
      <c r="B164" s="2257" t="s">
        <v>1557</v>
      </c>
      <c r="C164" s="3831">
        <v>4</v>
      </c>
      <c r="D164" s="3831"/>
      <c r="E164" s="2232" t="s">
        <v>1343</v>
      </c>
      <c r="F164" s="3790" t="str">
        <f>S160</f>
        <v/>
      </c>
      <c r="G164" s="3791"/>
      <c r="H164" s="2260" t="s">
        <v>1587</v>
      </c>
      <c r="I164" s="2232" t="s">
        <v>1588</v>
      </c>
      <c r="J164" s="3790">
        <f>S152</f>
        <v>0</v>
      </c>
      <c r="K164" s="3791"/>
      <c r="L164" s="2232" t="s">
        <v>1579</v>
      </c>
      <c r="M164" s="3823" t="str">
        <f>IF(ISBLANK(E144),"",(4*S160)+S152)</f>
        <v/>
      </c>
      <c r="N164" s="3824"/>
      <c r="O164" s="2228" t="s">
        <v>1537</v>
      </c>
      <c r="U164" s="2255"/>
    </row>
    <row r="165" spans="1:24" s="2228" customFormat="1" ht="6" customHeight="1">
      <c r="A165" s="2254"/>
      <c r="U165" s="2255"/>
    </row>
    <row r="166" spans="1:24" s="2228" customFormat="1" ht="15" customHeight="1">
      <c r="A166" s="2254" t="s">
        <v>1184</v>
      </c>
      <c r="B166" s="520" t="s">
        <v>2199</v>
      </c>
      <c r="U166" s="2255"/>
    </row>
    <row r="167" spans="1:24" s="2228" customFormat="1" ht="6" customHeight="1">
      <c r="A167" s="2254"/>
      <c r="U167" s="2255"/>
    </row>
    <row r="168" spans="1:24" s="2228" customFormat="1" ht="19.5" customHeight="1">
      <c r="A168" s="2254"/>
      <c r="B168" s="3790">
        <f>IF(ISBLANK(E88),"",F10/12)</f>
        <v>0</v>
      </c>
      <c r="C168" s="3791"/>
      <c r="D168" s="2232" t="s">
        <v>1389</v>
      </c>
      <c r="E168" s="3825">
        <v>8.3000000000000004E-2</v>
      </c>
      <c r="F168" s="3826"/>
      <c r="G168" s="2232" t="s">
        <v>1552</v>
      </c>
      <c r="H168" s="3790" t="str">
        <f>M106</f>
        <v xml:space="preserve"> </v>
      </c>
      <c r="I168" s="3791"/>
      <c r="J168" s="2232" t="s">
        <v>1572</v>
      </c>
      <c r="K168" s="3827">
        <f>IF(ISBLANK(E142),"",F18)</f>
        <v>0</v>
      </c>
      <c r="L168" s="3828"/>
      <c r="M168" s="2232" t="s">
        <v>1343</v>
      </c>
      <c r="N168" s="2259">
        <v>7.5</v>
      </c>
      <c r="O168" s="2259" t="s">
        <v>987</v>
      </c>
      <c r="P168" s="3829">
        <f>S152</f>
        <v>0</v>
      </c>
      <c r="Q168" s="3830"/>
      <c r="R168" s="2232" t="s">
        <v>1240</v>
      </c>
      <c r="S168" s="3823" t="str">
        <f>IF(ISBLANK(E144),"",B168*E168*H168*K168*N168+P168)</f>
        <v/>
      </c>
      <c r="T168" s="3824"/>
      <c r="U168" s="2228" t="s">
        <v>1537</v>
      </c>
    </row>
    <row r="169" spans="1:24" s="2228" customFormat="1" ht="6" customHeight="1">
      <c r="A169" s="2254"/>
      <c r="U169" s="2255"/>
    </row>
    <row r="170" spans="1:24" s="2228" customFormat="1" ht="19.5" customHeight="1">
      <c r="A170" s="2254" t="s">
        <v>1186</v>
      </c>
      <c r="B170" s="2228" t="s">
        <v>1590</v>
      </c>
      <c r="O170" s="3832"/>
      <c r="P170" s="3833"/>
      <c r="Q170" s="2228" t="s">
        <v>1537</v>
      </c>
      <c r="U170" s="2255"/>
    </row>
    <row r="171" spans="1:24" s="2228" customFormat="1" ht="6" customHeight="1">
      <c r="A171" s="2254"/>
      <c r="U171" s="2255"/>
    </row>
    <row r="172" spans="1:24" s="2228" customFormat="1" ht="19.5" customHeight="1">
      <c r="A172" s="2254" t="s">
        <v>1224</v>
      </c>
      <c r="B172" s="2228" t="s">
        <v>1591</v>
      </c>
      <c r="L172" s="3790">
        <f>IF(ISBLANK(E142),"",O170)</f>
        <v>0</v>
      </c>
      <c r="M172" s="3791"/>
      <c r="N172" s="2241" t="s">
        <v>1558</v>
      </c>
      <c r="O172" s="3802" t="str">
        <f>L158</f>
        <v/>
      </c>
      <c r="P172" s="3815"/>
      <c r="Q172" s="2241" t="s">
        <v>1240</v>
      </c>
      <c r="R172" s="3802" t="str">
        <f>IF(ISBLANK(E144),"",L172/O172)</f>
        <v/>
      </c>
      <c r="S172" s="3815"/>
      <c r="T172" s="2228" t="s">
        <v>1592</v>
      </c>
      <c r="U172" s="2255"/>
    </row>
    <row r="173" spans="1:24" s="2228" customFormat="1" ht="6" customHeight="1">
      <c r="A173" s="2254"/>
      <c r="U173" s="2255"/>
    </row>
    <row r="174" spans="1:24" s="2228" customFormat="1" ht="15" customHeight="1">
      <c r="A174" s="2254" t="s">
        <v>1227</v>
      </c>
      <c r="B174" s="2228" t="s">
        <v>1593</v>
      </c>
      <c r="U174" s="2255"/>
    </row>
    <row r="175" spans="1:24" s="2228" customFormat="1" ht="6" customHeight="1">
      <c r="A175" s="2254"/>
      <c r="U175" s="2255"/>
    </row>
    <row r="176" spans="1:24" s="2228" customFormat="1" ht="19.5" customHeight="1">
      <c r="A176" s="2254"/>
      <c r="B176" s="3790" t="str">
        <f>IF(ISBLANK(E4)," ",E4)</f>
        <v xml:space="preserve"> </v>
      </c>
      <c r="C176" s="3791"/>
      <c r="D176" s="2232" t="s">
        <v>1890</v>
      </c>
      <c r="E176" s="3790">
        <f>IF(ISBLANK(E88),"",E43)</f>
        <v>0</v>
      </c>
      <c r="F176" s="3791"/>
      <c r="G176" s="2232" t="s">
        <v>2187</v>
      </c>
      <c r="H176" s="3790">
        <f>IF(ISBLANK(E142),"",O170)</f>
        <v>0</v>
      </c>
      <c r="I176" s="3791"/>
      <c r="J176" s="3813" t="s">
        <v>2188</v>
      </c>
      <c r="K176" s="3814"/>
      <c r="L176" s="3802" t="str">
        <f>IF(ISBLANK(E144),"",MAX(4,(B176/E176/H176)))</f>
        <v/>
      </c>
      <c r="M176" s="3815"/>
      <c r="N176" s="2228" t="s">
        <v>1595</v>
      </c>
      <c r="O176" s="2234" t="s">
        <v>2200</v>
      </c>
      <c r="U176" s="2255"/>
      <c r="W176" s="2261" t="s">
        <v>2201</v>
      </c>
      <c r="X176" s="1655"/>
    </row>
    <row r="177" spans="1:21" s="2228" customFormat="1" ht="6" customHeight="1">
      <c r="A177" s="2254"/>
      <c r="U177" s="2255"/>
    </row>
    <row r="178" spans="1:21" s="2228" customFormat="1" ht="19.5" customHeight="1">
      <c r="A178" s="2254" t="s">
        <v>1480</v>
      </c>
      <c r="B178" s="2262" t="s">
        <v>2189</v>
      </c>
      <c r="J178" s="2264">
        <v>1440</v>
      </c>
      <c r="K178" s="2232" t="s">
        <v>1558</v>
      </c>
      <c r="L178" s="3834" t="str">
        <f>L176</f>
        <v/>
      </c>
      <c r="M178" s="3835"/>
      <c r="N178" s="2232" t="s">
        <v>1240</v>
      </c>
      <c r="O178" s="3834" t="str">
        <f>IF(ISBLANK(E144),"",J178/L178)</f>
        <v/>
      </c>
      <c r="P178" s="3835"/>
      <c r="Q178" s="2228" t="s">
        <v>1592</v>
      </c>
    </row>
    <row r="179" spans="1:21" s="2228" customFormat="1" ht="6" customHeight="1">
      <c r="A179" s="2254"/>
      <c r="U179" s="2255"/>
    </row>
    <row r="180" spans="1:21" s="2228" customFormat="1" ht="19.5" customHeight="1">
      <c r="A180" s="2254" t="s">
        <v>1483</v>
      </c>
      <c r="B180" s="2228" t="s">
        <v>1597</v>
      </c>
      <c r="I180" s="3802" t="str">
        <f>O178</f>
        <v/>
      </c>
      <c r="J180" s="3791"/>
      <c r="K180" s="2232" t="s">
        <v>988</v>
      </c>
      <c r="L180" s="3802" t="str">
        <f>R172</f>
        <v/>
      </c>
      <c r="M180" s="3791"/>
      <c r="N180" s="2232" t="s">
        <v>1240</v>
      </c>
      <c r="O180" s="3802" t="str">
        <f>IF(ISBLANK(E144),"",I180-L180)</f>
        <v/>
      </c>
      <c r="P180" s="3791"/>
      <c r="Q180" s="2228" t="s">
        <v>1592</v>
      </c>
      <c r="U180" s="2255"/>
    </row>
    <row r="181" spans="1:21" s="2228" customFormat="1" ht="6" customHeight="1">
      <c r="A181" s="2254"/>
      <c r="U181" s="2255"/>
    </row>
    <row r="182" spans="1:21" s="2228" customFormat="1" ht="19.5" customHeight="1">
      <c r="A182" s="2254" t="s">
        <v>1485</v>
      </c>
      <c r="B182" s="2228" t="s">
        <v>1598</v>
      </c>
      <c r="K182" s="3790">
        <f>Q108</f>
        <v>0</v>
      </c>
      <c r="L182" s="3791"/>
      <c r="M182" s="2259" t="s">
        <v>1343</v>
      </c>
      <c r="N182" s="2265">
        <f>1.6</f>
        <v>1.6</v>
      </c>
      <c r="O182" s="2259" t="s">
        <v>1240</v>
      </c>
      <c r="P182" s="3790" t="str">
        <f>IF(ISBLANK(E144),"",K182*N182)</f>
        <v/>
      </c>
      <c r="Q182" s="3791"/>
      <c r="R182" s="2258" t="s">
        <v>1537</v>
      </c>
    </row>
    <row r="183" spans="1:21" s="2228" customFormat="1" ht="6" customHeight="1">
      <c r="A183" s="2254"/>
      <c r="U183" s="2255"/>
    </row>
    <row r="184" spans="1:21" s="2228" customFormat="1" ht="15" customHeight="1">
      <c r="A184" s="2254" t="s">
        <v>1599</v>
      </c>
      <c r="B184" s="2228" t="s">
        <v>1600</v>
      </c>
      <c r="U184" s="2255"/>
    </row>
    <row r="185" spans="1:21" s="2228" customFormat="1" ht="6" customHeight="1">
      <c r="A185" s="2254"/>
      <c r="U185" s="2255"/>
    </row>
    <row r="186" spans="1:21" s="2228" customFormat="1" ht="19.5" customHeight="1">
      <c r="A186" s="2254"/>
      <c r="B186" s="3838" t="str">
        <f>L158</f>
        <v/>
      </c>
      <c r="C186" s="3839"/>
      <c r="D186" s="2232" t="s">
        <v>987</v>
      </c>
      <c r="E186" s="3790" t="str">
        <f>P182</f>
        <v/>
      </c>
      <c r="F186" s="3791"/>
      <c r="G186" s="2232" t="s">
        <v>1240</v>
      </c>
      <c r="H186" s="3838" t="str">
        <f>IF(ISBLANK(E144),"",B186+E186)</f>
        <v/>
      </c>
      <c r="I186" s="3839"/>
      <c r="J186" s="2258" t="s">
        <v>1584</v>
      </c>
      <c r="U186" s="2255"/>
    </row>
    <row r="187" spans="1:21" s="2228" customFormat="1" ht="6" customHeight="1">
      <c r="A187" s="2254"/>
      <c r="U187" s="2255"/>
    </row>
    <row r="188" spans="1:21" s="2228" customFormat="1" ht="19.5" customHeight="1">
      <c r="A188" s="2254" t="s">
        <v>1601</v>
      </c>
      <c r="B188" s="2262" t="s">
        <v>1602</v>
      </c>
      <c r="I188" s="3790" t="str">
        <f>H186</f>
        <v/>
      </c>
      <c r="J188" s="3791"/>
      <c r="K188" s="2232" t="s">
        <v>1343</v>
      </c>
      <c r="L188" s="3802" t="str">
        <f>R172</f>
        <v/>
      </c>
      <c r="M188" s="3791"/>
      <c r="N188" s="2232" t="s">
        <v>1240</v>
      </c>
      <c r="O188" s="3806" t="str">
        <f>IF(ISBLANK(E144),"",I188*L188)</f>
        <v/>
      </c>
      <c r="P188" s="3807"/>
      <c r="Q188" s="2228" t="s">
        <v>1537</v>
      </c>
      <c r="U188" s="2255"/>
    </row>
    <row r="189" spans="1:21" s="2228" customFormat="1" ht="6" customHeight="1">
      <c r="A189" s="2254"/>
      <c r="U189" s="2255"/>
    </row>
    <row r="190" spans="1:21" s="2228" customFormat="1" ht="15" customHeight="1">
      <c r="A190" s="2254" t="s">
        <v>1603</v>
      </c>
      <c r="B190" s="2228" t="s">
        <v>1604</v>
      </c>
      <c r="C190" s="1244"/>
      <c r="D190" s="1244"/>
      <c r="E190" s="1244"/>
      <c r="F190" s="1244"/>
      <c r="G190" s="1244"/>
      <c r="H190" s="1244"/>
      <c r="I190" s="1244"/>
      <c r="J190" s="1244"/>
      <c r="K190" s="1244"/>
      <c r="L190" s="2263"/>
      <c r="U190" s="2255"/>
    </row>
    <row r="191" spans="1:21" s="2228" customFormat="1" ht="6" customHeight="1">
      <c r="A191" s="2254"/>
      <c r="U191" s="2255"/>
    </row>
    <row r="192" spans="1:21" s="2228" customFormat="1" ht="19.5" customHeight="1">
      <c r="A192" s="2254"/>
      <c r="B192" s="3802">
        <f>IF(ISBLANK(E88),"",E43)</f>
        <v>0</v>
      </c>
      <c r="C192" s="3815"/>
      <c r="D192" s="2263" t="s">
        <v>1343</v>
      </c>
      <c r="E192" s="3802" t="str">
        <f>L176</f>
        <v/>
      </c>
      <c r="F192" s="3815"/>
      <c r="G192" s="2263" t="s">
        <v>1343</v>
      </c>
      <c r="H192" s="3802" t="str">
        <f>R172</f>
        <v/>
      </c>
      <c r="I192" s="3815"/>
      <c r="J192" s="2263" t="s">
        <v>1240</v>
      </c>
      <c r="K192" s="3802" t="str">
        <f>IF(ISBLANK(E144),"",B192*E192*H192)</f>
        <v/>
      </c>
      <c r="L192" s="3815"/>
      <c r="M192" s="1244" t="s">
        <v>1592</v>
      </c>
      <c r="O192" s="1653" t="s">
        <v>2198</v>
      </c>
      <c r="U192" s="2255"/>
    </row>
    <row r="193" spans="1:27" ht="6" customHeight="1">
      <c r="A193" s="2226"/>
      <c r="U193" s="2227"/>
    </row>
    <row r="194" spans="1:27" ht="15" customHeight="1">
      <c r="A194" s="3794" t="s">
        <v>1620</v>
      </c>
      <c r="B194" s="3795"/>
      <c r="C194" s="3795"/>
      <c r="D194" s="3795"/>
      <c r="E194" s="3795"/>
      <c r="F194" s="3795"/>
      <c r="G194" s="3795"/>
      <c r="H194" s="3795"/>
      <c r="I194" s="3795"/>
      <c r="J194" s="3795"/>
      <c r="K194" s="3795"/>
      <c r="L194" s="3795"/>
      <c r="M194" s="3795"/>
      <c r="N194" s="3795"/>
      <c r="O194" s="3795"/>
      <c r="P194" s="3795"/>
      <c r="Q194" s="3795"/>
      <c r="R194" s="3795"/>
      <c r="S194" s="3795"/>
      <c r="T194" s="3795"/>
      <c r="U194" s="3796"/>
    </row>
    <row r="195" spans="1:27" ht="6" customHeight="1">
      <c r="A195" s="2250"/>
      <c r="B195" s="2251"/>
      <c r="C195" s="2251"/>
      <c r="D195" s="2251"/>
      <c r="E195" s="2251"/>
      <c r="F195" s="2251"/>
      <c r="G195" s="2251"/>
      <c r="H195" s="2251"/>
      <c r="I195" s="2251"/>
      <c r="J195" s="2251"/>
      <c r="K195" s="2251"/>
      <c r="L195" s="2251"/>
      <c r="M195" s="2251"/>
      <c r="N195" s="2251"/>
      <c r="O195" s="2251"/>
      <c r="P195" s="2251"/>
      <c r="Q195" s="2251"/>
      <c r="R195" s="2251"/>
      <c r="S195" s="2251"/>
      <c r="T195" s="2251"/>
      <c r="U195" s="2252"/>
    </row>
    <row r="196" spans="1:27" ht="19.5" customHeight="1">
      <c r="A196" s="2226" t="s">
        <v>1011</v>
      </c>
      <c r="B196" s="2228" t="s">
        <v>1569</v>
      </c>
      <c r="E196" s="3810">
        <v>2</v>
      </c>
      <c r="F196" s="3811"/>
      <c r="G196" s="2228" t="s">
        <v>609</v>
      </c>
      <c r="I196" s="3822" t="s">
        <v>2182</v>
      </c>
      <c r="J196" s="3822"/>
      <c r="K196" s="3822"/>
      <c r="L196" s="3822"/>
      <c r="M196" s="3822"/>
      <c r="N196" s="3822"/>
      <c r="O196" s="3822"/>
      <c r="P196" s="3822"/>
      <c r="Q196" s="3822"/>
      <c r="R196" s="3822"/>
      <c r="S196" s="3822"/>
      <c r="T196" s="3822"/>
      <c r="U196" s="2227"/>
      <c r="X196" s="2253"/>
      <c r="Y196" s="2253"/>
      <c r="Z196" s="2253"/>
      <c r="AA196" s="2253"/>
    </row>
    <row r="197" spans="1:27" ht="6" customHeight="1">
      <c r="A197" s="2226"/>
      <c r="U197" s="2227"/>
      <c r="W197" s="2253"/>
      <c r="X197" s="2253"/>
      <c r="Y197" s="2253"/>
      <c r="Z197" s="2253"/>
      <c r="AA197" s="2253"/>
    </row>
    <row r="198" spans="1:27" ht="19.5" customHeight="1">
      <c r="A198" s="2226" t="s">
        <v>1019</v>
      </c>
      <c r="B198" s="2228" t="s">
        <v>848</v>
      </c>
      <c r="E198" s="3804"/>
      <c r="F198" s="3805"/>
      <c r="G198" s="2254" t="s">
        <v>609</v>
      </c>
      <c r="I198" s="2228" t="s">
        <v>1570</v>
      </c>
      <c r="M198" s="3819"/>
      <c r="N198" s="3820"/>
      <c r="O198" s="2228" t="s">
        <v>762</v>
      </c>
      <c r="U198" s="2227"/>
      <c r="W198" s="2253"/>
      <c r="X198" s="2253"/>
      <c r="Y198" s="2253"/>
      <c r="Z198" s="2253"/>
      <c r="AA198" s="2253"/>
    </row>
    <row r="199" spans="1:27" ht="6" customHeight="1">
      <c r="A199" s="2226"/>
      <c r="U199" s="2227"/>
    </row>
    <row r="200" spans="1:27" ht="19.5" customHeight="1">
      <c r="A200" s="2226"/>
      <c r="B200" s="2228" t="s">
        <v>1571</v>
      </c>
      <c r="M200" s="3790">
        <f>E198</f>
        <v>0</v>
      </c>
      <c r="N200" s="3791"/>
      <c r="O200" s="2241" t="s">
        <v>1572</v>
      </c>
      <c r="P200" s="3816"/>
      <c r="Q200" s="3817"/>
      <c r="R200" s="2241" t="s">
        <v>1573</v>
      </c>
      <c r="S200" s="3790">
        <f>IF(ISBLANK(E196),"",M200*P200)</f>
        <v>0</v>
      </c>
      <c r="T200" s="3791"/>
      <c r="U200" s="2255" t="s">
        <v>1537</v>
      </c>
      <c r="W200" s="2222" t="s">
        <v>2183</v>
      </c>
    </row>
    <row r="201" spans="1:27" ht="6" customHeight="1">
      <c r="A201" s="2226"/>
      <c r="U201" s="2227"/>
    </row>
    <row r="202" spans="1:27" ht="19.5" customHeight="1">
      <c r="A202" s="2226" t="s">
        <v>1168</v>
      </c>
      <c r="B202" s="2228" t="s">
        <v>1574</v>
      </c>
      <c r="E202" s="3804"/>
      <c r="F202" s="3805"/>
      <c r="G202" s="2228" t="s">
        <v>609</v>
      </c>
      <c r="I202" s="2228" t="s">
        <v>1575</v>
      </c>
      <c r="M202" s="3819"/>
      <c r="N202" s="3820"/>
      <c r="O202" s="2228" t="s">
        <v>762</v>
      </c>
      <c r="U202" s="2227"/>
    </row>
    <row r="203" spans="1:27" ht="6" customHeight="1">
      <c r="A203" s="2226"/>
      <c r="U203" s="2227"/>
    </row>
    <row r="204" spans="1:27" ht="19.5" customHeight="1">
      <c r="A204" s="2226"/>
      <c r="B204" s="2228" t="s">
        <v>1576</v>
      </c>
      <c r="M204" s="3790">
        <f>E202</f>
        <v>0</v>
      </c>
      <c r="N204" s="3791"/>
      <c r="O204" s="2241" t="s">
        <v>1572</v>
      </c>
      <c r="P204" s="3816"/>
      <c r="Q204" s="3817"/>
      <c r="R204" s="2241" t="s">
        <v>1573</v>
      </c>
      <c r="S204" s="3802">
        <f>IF(ISBLANK(E196),"",M204*P204)</f>
        <v>0</v>
      </c>
      <c r="T204" s="3815"/>
      <c r="U204" s="2255" t="s">
        <v>1537</v>
      </c>
    </row>
    <row r="205" spans="1:27" ht="6" customHeight="1">
      <c r="A205" s="2226"/>
      <c r="U205" s="2227"/>
    </row>
    <row r="206" spans="1:27" ht="19.5" customHeight="1">
      <c r="A206" s="2226" t="s">
        <v>1172</v>
      </c>
      <c r="B206" s="2228" t="s">
        <v>1577</v>
      </c>
      <c r="L206" s="2256"/>
      <c r="M206" s="3790">
        <f>S200</f>
        <v>0</v>
      </c>
      <c r="N206" s="3791"/>
      <c r="O206" s="2232" t="s">
        <v>1578</v>
      </c>
      <c r="P206" s="3802">
        <f>S204</f>
        <v>0</v>
      </c>
      <c r="Q206" s="3815"/>
      <c r="R206" s="2232" t="s">
        <v>1579</v>
      </c>
      <c r="S206" s="3823">
        <f>IF(ISBLANK(E196),"",M206+P206)</f>
        <v>0</v>
      </c>
      <c r="T206" s="3824"/>
      <c r="U206" s="2256" t="s">
        <v>1537</v>
      </c>
    </row>
    <row r="207" spans="1:27" ht="6" customHeight="1">
      <c r="A207" s="2226"/>
      <c r="U207" s="2227"/>
    </row>
    <row r="208" spans="1:27" ht="19.5" customHeight="1">
      <c r="A208" s="2226" t="s">
        <v>1177</v>
      </c>
      <c r="B208" s="2228" t="s">
        <v>1580</v>
      </c>
      <c r="M208" s="3790" t="str">
        <f>IF(ISBLANK(E90)," ",I52)</f>
        <v xml:space="preserve"> </v>
      </c>
      <c r="N208" s="3791"/>
      <c r="O208" s="2241" t="s">
        <v>1552</v>
      </c>
      <c r="P208" s="3790">
        <v>2</v>
      </c>
      <c r="Q208" s="3791"/>
      <c r="R208" s="2241" t="s">
        <v>1279</v>
      </c>
      <c r="S208" s="3790" t="str">
        <f>IF(ISBLANK(E198),"",M208/P208)</f>
        <v/>
      </c>
      <c r="T208" s="3791"/>
      <c r="U208" s="2255" t="s">
        <v>1581</v>
      </c>
    </row>
    <row r="209" spans="1:21" ht="6" customHeight="1">
      <c r="A209" s="2226"/>
      <c r="U209" s="2227"/>
    </row>
    <row r="210" spans="1:21" s="2228" customFormat="1" ht="15" customHeight="1">
      <c r="A210" s="2254" t="s">
        <v>1177</v>
      </c>
      <c r="B210" s="2228" t="s">
        <v>1582</v>
      </c>
      <c r="U210" s="2255"/>
    </row>
    <row r="211" spans="1:21" s="2228" customFormat="1" ht="6" customHeight="1">
      <c r="A211" s="2254"/>
      <c r="U211" s="2255"/>
    </row>
    <row r="212" spans="1:21" s="2228" customFormat="1" ht="19.5" customHeight="1">
      <c r="A212" s="2254"/>
      <c r="B212" s="2257" t="s">
        <v>1557</v>
      </c>
      <c r="C212" s="3790" t="str">
        <f>S208</f>
        <v/>
      </c>
      <c r="D212" s="3791"/>
      <c r="E212" s="2241" t="s">
        <v>1343</v>
      </c>
      <c r="F212" s="3790">
        <v>0.61</v>
      </c>
      <c r="G212" s="3791"/>
      <c r="H212" s="2258" t="s">
        <v>1583</v>
      </c>
      <c r="I212" s="2232" t="s">
        <v>1558</v>
      </c>
      <c r="J212" s="2259">
        <v>60</v>
      </c>
      <c r="K212" s="2232" t="s">
        <v>1240</v>
      </c>
      <c r="L212" s="3823" t="str">
        <f>IF(ISBLANK(E198),"",(C212*F212)/60)</f>
        <v/>
      </c>
      <c r="M212" s="3824"/>
      <c r="N212" s="2258" t="s">
        <v>1584</v>
      </c>
      <c r="U212" s="2255"/>
    </row>
    <row r="213" spans="1:21" s="2228" customFormat="1" ht="6" customHeight="1">
      <c r="A213" s="2254"/>
      <c r="U213" s="2255"/>
    </row>
    <row r="214" spans="1:21" s="2228" customFormat="1" ht="19.5" customHeight="1">
      <c r="A214" s="2254" t="s">
        <v>1179</v>
      </c>
      <c r="B214" s="2228" t="s">
        <v>1585</v>
      </c>
      <c r="M214" s="3790" t="str">
        <f>M160</f>
        <v xml:space="preserve"> </v>
      </c>
      <c r="N214" s="3791"/>
      <c r="O214" s="2232" t="s">
        <v>1572</v>
      </c>
      <c r="P214" s="3790">
        <v>1.2E-2</v>
      </c>
      <c r="Q214" s="3791"/>
      <c r="R214" s="2232" t="s">
        <v>1240</v>
      </c>
      <c r="S214" s="3790" t="str">
        <f>IF(ISBLANK(E198),"",M214*P214)</f>
        <v/>
      </c>
      <c r="T214" s="3791"/>
      <c r="U214" s="2255" t="s">
        <v>1537</v>
      </c>
    </row>
    <row r="215" spans="1:21" s="2228" customFormat="1" ht="6" customHeight="1">
      <c r="A215" s="2254"/>
      <c r="U215" s="2255"/>
    </row>
    <row r="216" spans="1:21" s="2228" customFormat="1" ht="15" customHeight="1">
      <c r="A216" s="2254" t="s">
        <v>1181</v>
      </c>
      <c r="B216" s="2228" t="s">
        <v>1586</v>
      </c>
      <c r="U216" s="2255"/>
    </row>
    <row r="217" spans="1:21" s="2228" customFormat="1" ht="6" customHeight="1">
      <c r="A217" s="2254"/>
      <c r="U217" s="2255"/>
    </row>
    <row r="218" spans="1:21" s="2228" customFormat="1" ht="19.5" customHeight="1">
      <c r="A218" s="2254"/>
      <c r="B218" s="2257" t="s">
        <v>1557</v>
      </c>
      <c r="C218" s="3831">
        <v>4</v>
      </c>
      <c r="D218" s="3831"/>
      <c r="E218" s="2232" t="s">
        <v>1343</v>
      </c>
      <c r="F218" s="3790" t="str">
        <f>S214</f>
        <v/>
      </c>
      <c r="G218" s="3791"/>
      <c r="H218" s="2260" t="s">
        <v>1587</v>
      </c>
      <c r="I218" s="2232" t="s">
        <v>1588</v>
      </c>
      <c r="J218" s="3790">
        <f>S206</f>
        <v>0</v>
      </c>
      <c r="K218" s="3791"/>
      <c r="L218" s="2232" t="s">
        <v>1579</v>
      </c>
      <c r="M218" s="3823" t="str">
        <f>IF(ISBLANK(E198),"",(4*S214)+S206)</f>
        <v/>
      </c>
      <c r="N218" s="3824"/>
      <c r="O218" s="2228" t="s">
        <v>1537</v>
      </c>
      <c r="U218" s="2255"/>
    </row>
    <row r="219" spans="1:21" s="2228" customFormat="1" ht="6" customHeight="1">
      <c r="A219" s="2254"/>
      <c r="U219" s="2255"/>
    </row>
    <row r="220" spans="1:21" s="2228" customFormat="1" ht="15" customHeight="1">
      <c r="A220" s="2254" t="s">
        <v>1184</v>
      </c>
      <c r="B220" s="520" t="s">
        <v>2199</v>
      </c>
      <c r="U220" s="2255"/>
    </row>
    <row r="221" spans="1:21" s="2228" customFormat="1" ht="6" customHeight="1">
      <c r="A221" s="2254"/>
      <c r="U221" s="2255"/>
    </row>
    <row r="222" spans="1:21" s="2228" customFormat="1" ht="19.5" customHeight="1">
      <c r="A222" s="2254"/>
      <c r="B222" s="3790">
        <f>IF(ISBLANK(E196),"",F10/12)</f>
        <v>0</v>
      </c>
      <c r="C222" s="3791"/>
      <c r="D222" s="2232" t="s">
        <v>1389</v>
      </c>
      <c r="E222" s="3825">
        <v>8.3000000000000004E-2</v>
      </c>
      <c r="F222" s="3826"/>
      <c r="G222" s="2232" t="s">
        <v>1552</v>
      </c>
      <c r="H222" s="3790" t="str">
        <f>M160</f>
        <v xml:space="preserve"> </v>
      </c>
      <c r="I222" s="3791"/>
      <c r="J222" s="2232" t="s">
        <v>1572</v>
      </c>
      <c r="K222" s="3827">
        <f>IF(ISBLANK(E88),"",F18)</f>
        <v>0</v>
      </c>
      <c r="L222" s="3828"/>
      <c r="M222" s="2232" t="s">
        <v>1343</v>
      </c>
      <c r="N222" s="2259">
        <v>7.5</v>
      </c>
      <c r="O222" s="2259" t="s">
        <v>987</v>
      </c>
      <c r="P222" s="3829">
        <f>S206</f>
        <v>0</v>
      </c>
      <c r="Q222" s="3830"/>
      <c r="R222" s="2232" t="s">
        <v>1240</v>
      </c>
      <c r="S222" s="3823" t="str">
        <f>IF(ISBLANK(E198),"",B222*E222*H222*K222*N222+P222)</f>
        <v/>
      </c>
      <c r="T222" s="3824"/>
      <c r="U222" s="2228" t="s">
        <v>1537</v>
      </c>
    </row>
    <row r="223" spans="1:21" s="2228" customFormat="1" ht="6" customHeight="1">
      <c r="A223" s="2254"/>
      <c r="U223" s="2255"/>
    </row>
    <row r="224" spans="1:21" s="2228" customFormat="1" ht="19.5" customHeight="1">
      <c r="A224" s="2254" t="s">
        <v>1186</v>
      </c>
      <c r="B224" s="2228" t="s">
        <v>1590</v>
      </c>
      <c r="O224" s="3832"/>
      <c r="P224" s="3833"/>
      <c r="Q224" s="2228" t="s">
        <v>1537</v>
      </c>
      <c r="U224" s="2255"/>
    </row>
    <row r="225" spans="1:24" s="2228" customFormat="1" ht="6" customHeight="1">
      <c r="A225" s="2254"/>
      <c r="U225" s="2255"/>
    </row>
    <row r="226" spans="1:24" s="2228" customFormat="1" ht="19.5" customHeight="1">
      <c r="A226" s="2254" t="s">
        <v>1224</v>
      </c>
      <c r="B226" s="2228" t="s">
        <v>1591</v>
      </c>
      <c r="L226" s="3790">
        <f>IF(ISBLANK(E196),"",O224)</f>
        <v>0</v>
      </c>
      <c r="M226" s="3791"/>
      <c r="N226" s="2241" t="s">
        <v>1558</v>
      </c>
      <c r="O226" s="3802" t="str">
        <f>L212</f>
        <v/>
      </c>
      <c r="P226" s="3815"/>
      <c r="Q226" s="2241" t="s">
        <v>1240</v>
      </c>
      <c r="R226" s="3802" t="str">
        <f>IF(ISBLANK(E198),"",L226/O226)</f>
        <v/>
      </c>
      <c r="S226" s="3815"/>
      <c r="T226" s="2228" t="s">
        <v>1592</v>
      </c>
      <c r="U226" s="2255"/>
    </row>
    <row r="227" spans="1:24" s="2228" customFormat="1" ht="6" customHeight="1">
      <c r="A227" s="2254"/>
      <c r="U227" s="2255"/>
    </row>
    <row r="228" spans="1:24" s="2228" customFormat="1" ht="15" customHeight="1">
      <c r="A228" s="2254" t="s">
        <v>1227</v>
      </c>
      <c r="B228" s="2228" t="s">
        <v>1593</v>
      </c>
      <c r="U228" s="2255"/>
    </row>
    <row r="229" spans="1:24" s="2228" customFormat="1" ht="6" customHeight="1">
      <c r="A229" s="2254"/>
      <c r="U229" s="2255"/>
    </row>
    <row r="230" spans="1:24" s="2228" customFormat="1" ht="19.5" customHeight="1">
      <c r="A230" s="2254"/>
      <c r="B230" s="3790" t="str">
        <f>IF(ISBLANK(E4)," ",E4)</f>
        <v xml:space="preserve"> </v>
      </c>
      <c r="C230" s="3791"/>
      <c r="D230" s="2232" t="s">
        <v>1890</v>
      </c>
      <c r="E230" s="3790">
        <f>IF(ISBLANK(E88),"",E43)</f>
        <v>0</v>
      </c>
      <c r="F230" s="3791"/>
      <c r="G230" s="2232" t="s">
        <v>2187</v>
      </c>
      <c r="H230" s="3790">
        <f>IF(ISBLANK(E196),"",O224)</f>
        <v>0</v>
      </c>
      <c r="I230" s="3791"/>
      <c r="J230" s="3813" t="s">
        <v>2188</v>
      </c>
      <c r="K230" s="3814"/>
      <c r="L230" s="3802" t="str">
        <f>IF(ISBLANK(E198),"",MAX(4,(B230/E230/H230)))</f>
        <v/>
      </c>
      <c r="M230" s="3815"/>
      <c r="N230" s="2228" t="s">
        <v>1595</v>
      </c>
      <c r="O230" s="2234" t="s">
        <v>1594</v>
      </c>
      <c r="U230" s="2255"/>
      <c r="W230" s="2261" t="s">
        <v>2201</v>
      </c>
      <c r="X230" s="1655"/>
    </row>
    <row r="231" spans="1:24" s="2228" customFormat="1" ht="6" customHeight="1">
      <c r="A231" s="2254"/>
      <c r="U231" s="2255"/>
    </row>
    <row r="232" spans="1:24" s="2228" customFormat="1" ht="19.5" customHeight="1">
      <c r="A232" s="2254" t="s">
        <v>1480</v>
      </c>
      <c r="B232" s="2262" t="s">
        <v>2189</v>
      </c>
      <c r="J232" s="3788">
        <v>1440</v>
      </c>
      <c r="K232" s="3789"/>
      <c r="L232" s="2232" t="s">
        <v>1558</v>
      </c>
      <c r="M232" s="3834" t="str">
        <f>L230</f>
        <v/>
      </c>
      <c r="N232" s="3835"/>
      <c r="O232" s="2232" t="s">
        <v>1240</v>
      </c>
      <c r="P232" s="3834" t="str">
        <f>IF(ISBLANK(E198),"",J232/M232)</f>
        <v/>
      </c>
      <c r="Q232" s="3835"/>
      <c r="T232" s="2228" t="s">
        <v>1592</v>
      </c>
      <c r="U232" s="2255"/>
    </row>
    <row r="233" spans="1:24" s="2228" customFormat="1" ht="6" customHeight="1">
      <c r="A233" s="2254"/>
      <c r="U233" s="2255"/>
    </row>
    <row r="234" spans="1:24" s="2228" customFormat="1" ht="19.5" customHeight="1">
      <c r="A234" s="2254" t="s">
        <v>1483</v>
      </c>
      <c r="B234" s="2228" t="s">
        <v>1597</v>
      </c>
      <c r="I234" s="3802" t="str">
        <f>P232</f>
        <v/>
      </c>
      <c r="J234" s="3791"/>
      <c r="K234" s="2232" t="s">
        <v>988</v>
      </c>
      <c r="L234" s="3802" t="str">
        <f>R226</f>
        <v/>
      </c>
      <c r="M234" s="3791"/>
      <c r="N234" s="2232" t="s">
        <v>1240</v>
      </c>
      <c r="O234" s="3802" t="str">
        <f>IF(ISBLANK(E198),"",I234-L234)</f>
        <v/>
      </c>
      <c r="P234" s="3791"/>
      <c r="Q234" s="2228" t="s">
        <v>1592</v>
      </c>
      <c r="U234" s="2255"/>
    </row>
    <row r="235" spans="1:24" s="2228" customFormat="1" ht="6" customHeight="1">
      <c r="A235" s="2254"/>
      <c r="U235" s="2255"/>
    </row>
    <row r="236" spans="1:24" s="2228" customFormat="1" ht="19.5" customHeight="1">
      <c r="A236" s="2254" t="s">
        <v>1485</v>
      </c>
      <c r="B236" s="2228" t="s">
        <v>1598</v>
      </c>
      <c r="M236" s="3790" t="str">
        <f>Q54</f>
        <v/>
      </c>
      <c r="N236" s="3791"/>
      <c r="O236" s="2259" t="s">
        <v>1343</v>
      </c>
      <c r="P236" s="3831">
        <f>1.6</f>
        <v>1.6</v>
      </c>
      <c r="Q236" s="3831"/>
      <c r="R236" s="2259" t="s">
        <v>1240</v>
      </c>
      <c r="S236" s="3790" t="str">
        <f>IF(ISBLANK(E198),"",M236*P236)</f>
        <v/>
      </c>
      <c r="T236" s="3791"/>
      <c r="U236" s="2256" t="s">
        <v>1537</v>
      </c>
    </row>
    <row r="237" spans="1:24" s="2228" customFormat="1" ht="6" customHeight="1">
      <c r="A237" s="2254"/>
      <c r="U237" s="2255"/>
    </row>
    <row r="238" spans="1:24" s="2228" customFormat="1" ht="15" customHeight="1">
      <c r="A238" s="2254" t="s">
        <v>1599</v>
      </c>
      <c r="B238" s="2228" t="s">
        <v>1600</v>
      </c>
      <c r="U238" s="2255"/>
    </row>
    <row r="239" spans="1:24" s="2228" customFormat="1" ht="6" customHeight="1">
      <c r="A239" s="2254"/>
      <c r="U239" s="2255"/>
    </row>
    <row r="240" spans="1:24" s="2228" customFormat="1" ht="19.5" customHeight="1">
      <c r="A240" s="2254"/>
      <c r="B240" s="3838" t="str">
        <f>L212</f>
        <v/>
      </c>
      <c r="C240" s="3839"/>
      <c r="D240" s="2232" t="s">
        <v>987</v>
      </c>
      <c r="E240" s="3790" t="str">
        <f>S236</f>
        <v/>
      </c>
      <c r="F240" s="3791"/>
      <c r="G240" s="2232" t="s">
        <v>1240</v>
      </c>
      <c r="H240" s="3838" t="str">
        <f>IF(ISBLANK(E198),"",B240+E240)</f>
        <v/>
      </c>
      <c r="I240" s="3839"/>
      <c r="J240" s="2258" t="s">
        <v>1584</v>
      </c>
      <c r="U240" s="2255"/>
    </row>
    <row r="241" spans="1:27" s="2228" customFormat="1" ht="6" customHeight="1">
      <c r="A241" s="2254"/>
      <c r="U241" s="2255"/>
    </row>
    <row r="242" spans="1:27" s="2228" customFormat="1" ht="19.5" customHeight="1">
      <c r="A242" s="2254" t="s">
        <v>1601</v>
      </c>
      <c r="B242" s="2228" t="s">
        <v>1602</v>
      </c>
      <c r="K242" s="3790" t="str">
        <f>H240</f>
        <v/>
      </c>
      <c r="L242" s="3791"/>
      <c r="M242" s="2232" t="s">
        <v>1343</v>
      </c>
      <c r="N242" s="3802" t="str">
        <f>R226</f>
        <v/>
      </c>
      <c r="O242" s="3791"/>
      <c r="P242" s="2232" t="s">
        <v>1240</v>
      </c>
      <c r="Q242" s="3806" t="str">
        <f>IF(ISBLANK(E198),"",K242*N242)</f>
        <v/>
      </c>
      <c r="R242" s="3807"/>
      <c r="S242" s="2228" t="s">
        <v>1537</v>
      </c>
      <c r="U242" s="2255"/>
    </row>
    <row r="243" spans="1:27" s="2228" customFormat="1" ht="6" customHeight="1">
      <c r="A243" s="2254"/>
      <c r="U243" s="2255"/>
    </row>
    <row r="244" spans="1:27" s="2228" customFormat="1" ht="15" customHeight="1">
      <c r="A244" s="2254" t="s">
        <v>1603</v>
      </c>
      <c r="B244" s="2228" t="s">
        <v>1604</v>
      </c>
      <c r="C244" s="1244"/>
      <c r="D244" s="1244"/>
      <c r="E244" s="1244"/>
      <c r="F244" s="1244"/>
      <c r="G244" s="1244"/>
      <c r="H244" s="1244"/>
      <c r="I244" s="1244"/>
      <c r="J244" s="1244"/>
      <c r="K244" s="1244"/>
      <c r="L244" s="2263"/>
      <c r="U244" s="2255"/>
    </row>
    <row r="245" spans="1:27" s="2228" customFormat="1" ht="6" customHeight="1">
      <c r="A245" s="2254"/>
      <c r="U245" s="2255"/>
    </row>
    <row r="246" spans="1:27" s="2228" customFormat="1" ht="19.5" customHeight="1">
      <c r="A246" s="2254"/>
      <c r="B246" s="3802">
        <f>IF(ISBLANK(E88),"",E43)</f>
        <v>0</v>
      </c>
      <c r="C246" s="3815"/>
      <c r="D246" s="2263" t="s">
        <v>1343</v>
      </c>
      <c r="E246" s="3802" t="str">
        <f>L230</f>
        <v/>
      </c>
      <c r="F246" s="3815"/>
      <c r="G246" s="2263" t="s">
        <v>1343</v>
      </c>
      <c r="H246" s="3802" t="str">
        <f>R226</f>
        <v/>
      </c>
      <c r="I246" s="3815"/>
      <c r="J246" s="2263" t="s">
        <v>1240</v>
      </c>
      <c r="K246" s="3802" t="str">
        <f>IF(ISBLANK(E198),"",B246*E246*H246)</f>
        <v/>
      </c>
      <c r="L246" s="3815"/>
      <c r="M246" s="1244" t="s">
        <v>1592</v>
      </c>
      <c r="O246" s="1653" t="s">
        <v>2198</v>
      </c>
      <c r="U246" s="2255"/>
      <c r="V246" s="2228" t="s">
        <v>2202</v>
      </c>
    </row>
    <row r="247" spans="1:27" ht="6" customHeight="1">
      <c r="A247" s="2226"/>
      <c r="U247" s="2227"/>
    </row>
    <row r="248" spans="1:27" ht="15" customHeight="1">
      <c r="A248" s="3794" t="s">
        <v>1631</v>
      </c>
      <c r="B248" s="3795"/>
      <c r="C248" s="3795"/>
      <c r="D248" s="3795"/>
      <c r="E248" s="3795"/>
      <c r="F248" s="3795"/>
      <c r="G248" s="3795"/>
      <c r="H248" s="3795"/>
      <c r="I248" s="3795"/>
      <c r="J248" s="3795"/>
      <c r="K248" s="3795"/>
      <c r="L248" s="3795"/>
      <c r="M248" s="3795"/>
      <c r="N248" s="3795"/>
      <c r="O248" s="3795"/>
      <c r="P248" s="3795"/>
      <c r="Q248" s="3795"/>
      <c r="R248" s="3795"/>
      <c r="S248" s="3795"/>
      <c r="T248" s="3795"/>
      <c r="U248" s="3796"/>
    </row>
    <row r="249" spans="1:27" ht="6" customHeight="1">
      <c r="A249" s="2250"/>
      <c r="B249" s="2251"/>
      <c r="C249" s="2251"/>
      <c r="D249" s="2251"/>
      <c r="E249" s="2251"/>
      <c r="F249" s="2251"/>
      <c r="G249" s="2251"/>
      <c r="H249" s="2251"/>
      <c r="I249" s="2251"/>
      <c r="J249" s="2251"/>
      <c r="K249" s="2251"/>
      <c r="L249" s="2251"/>
      <c r="M249" s="2251"/>
      <c r="N249" s="2251"/>
      <c r="O249" s="2251"/>
      <c r="P249" s="2251"/>
      <c r="Q249" s="2251"/>
      <c r="R249" s="2251"/>
      <c r="S249" s="2251"/>
      <c r="T249" s="2251"/>
      <c r="U249" s="2252"/>
    </row>
    <row r="250" spans="1:27" ht="19.5" customHeight="1">
      <c r="A250" s="2226" t="s">
        <v>1011</v>
      </c>
      <c r="B250" s="2228" t="s">
        <v>1569</v>
      </c>
      <c r="E250" s="3810">
        <v>2</v>
      </c>
      <c r="F250" s="3811"/>
      <c r="G250" s="2228" t="s">
        <v>609</v>
      </c>
      <c r="I250" s="3822" t="s">
        <v>2182</v>
      </c>
      <c r="J250" s="3822"/>
      <c r="K250" s="3822"/>
      <c r="L250" s="3822"/>
      <c r="M250" s="3822"/>
      <c r="N250" s="3822"/>
      <c r="O250" s="3822"/>
      <c r="P250" s="3822"/>
      <c r="Q250" s="3822"/>
      <c r="R250" s="3822"/>
      <c r="S250" s="3822"/>
      <c r="T250" s="3822"/>
      <c r="U250" s="2227"/>
      <c r="X250" s="2253"/>
      <c r="Y250" s="2253"/>
      <c r="Z250" s="2253"/>
      <c r="AA250" s="2253"/>
    </row>
    <row r="251" spans="1:27" ht="6" customHeight="1">
      <c r="A251" s="2226"/>
      <c r="U251" s="2227"/>
      <c r="W251" s="2253"/>
      <c r="X251" s="2253"/>
      <c r="Y251" s="2253"/>
      <c r="Z251" s="2253"/>
      <c r="AA251" s="2253"/>
    </row>
    <row r="252" spans="1:27" ht="19.5" customHeight="1">
      <c r="A252" s="2226" t="s">
        <v>1019</v>
      </c>
      <c r="B252" s="2228" t="s">
        <v>848</v>
      </c>
      <c r="E252" s="3804"/>
      <c r="F252" s="3805"/>
      <c r="G252" s="2254" t="s">
        <v>609</v>
      </c>
      <c r="I252" s="2228" t="s">
        <v>1570</v>
      </c>
      <c r="M252" s="3819"/>
      <c r="N252" s="3820"/>
      <c r="O252" s="2228" t="s">
        <v>762</v>
      </c>
      <c r="U252" s="2227"/>
      <c r="W252" s="2253"/>
      <c r="X252" s="2253"/>
      <c r="Y252" s="2253"/>
      <c r="Z252" s="2253"/>
      <c r="AA252" s="2253"/>
    </row>
    <row r="253" spans="1:27" ht="6" customHeight="1">
      <c r="A253" s="2226"/>
      <c r="U253" s="2227"/>
    </row>
    <row r="254" spans="1:27" ht="19.5" customHeight="1">
      <c r="A254" s="2226"/>
      <c r="B254" s="2228" t="s">
        <v>1571</v>
      </c>
      <c r="M254" s="3790">
        <f>E252</f>
        <v>0</v>
      </c>
      <c r="N254" s="3791"/>
      <c r="O254" s="2241" t="s">
        <v>1572</v>
      </c>
      <c r="P254" s="3816"/>
      <c r="Q254" s="3817"/>
      <c r="R254" s="2241" t="s">
        <v>1573</v>
      </c>
      <c r="S254" s="3790">
        <f>IF(ISBLANK(E250),"",M254*P254)</f>
        <v>0</v>
      </c>
      <c r="T254" s="3791"/>
      <c r="U254" s="2255" t="s">
        <v>1537</v>
      </c>
      <c r="W254" s="2222" t="s">
        <v>2183</v>
      </c>
    </row>
    <row r="255" spans="1:27" ht="6" customHeight="1">
      <c r="A255" s="2226"/>
      <c r="U255" s="2227"/>
    </row>
    <row r="256" spans="1:27" ht="19.5" customHeight="1">
      <c r="A256" s="2226" t="s">
        <v>1168</v>
      </c>
      <c r="B256" s="2228" t="s">
        <v>1574</v>
      </c>
      <c r="E256" s="3804"/>
      <c r="F256" s="3805"/>
      <c r="G256" s="2228" t="s">
        <v>609</v>
      </c>
      <c r="I256" s="2228" t="s">
        <v>1575</v>
      </c>
      <c r="M256" s="3819"/>
      <c r="N256" s="3820"/>
      <c r="O256" s="2228" t="s">
        <v>762</v>
      </c>
      <c r="U256" s="2227"/>
    </row>
    <row r="257" spans="1:21" ht="6" customHeight="1">
      <c r="A257" s="2226"/>
      <c r="U257" s="2227"/>
    </row>
    <row r="258" spans="1:21" ht="19.5" customHeight="1">
      <c r="A258" s="2226"/>
      <c r="B258" s="2228" t="s">
        <v>1576</v>
      </c>
      <c r="M258" s="3790">
        <f>E256</f>
        <v>0</v>
      </c>
      <c r="N258" s="3791"/>
      <c r="O258" s="2241" t="s">
        <v>1572</v>
      </c>
      <c r="P258" s="3816"/>
      <c r="Q258" s="3817"/>
      <c r="R258" s="2241" t="s">
        <v>1573</v>
      </c>
      <c r="S258" s="3802">
        <f>IF(ISBLANK(E250),"",M258*P258)</f>
        <v>0</v>
      </c>
      <c r="T258" s="3815"/>
      <c r="U258" s="2255" t="s">
        <v>1537</v>
      </c>
    </row>
    <row r="259" spans="1:21" ht="6" customHeight="1">
      <c r="A259" s="2226"/>
      <c r="U259" s="2227"/>
    </row>
    <row r="260" spans="1:21" ht="19.5" customHeight="1">
      <c r="A260" s="2226" t="s">
        <v>1172</v>
      </c>
      <c r="B260" s="2228" t="s">
        <v>1577</v>
      </c>
      <c r="L260" s="2256"/>
      <c r="M260" s="3790">
        <f>S254</f>
        <v>0</v>
      </c>
      <c r="N260" s="3791"/>
      <c r="O260" s="2232" t="s">
        <v>1578</v>
      </c>
      <c r="P260" s="3802">
        <f>S258</f>
        <v>0</v>
      </c>
      <c r="Q260" s="3815"/>
      <c r="R260" s="2232" t="s">
        <v>1579</v>
      </c>
      <c r="S260" s="3823">
        <f>IF(ISBLANK(E250),"",M260+P260)</f>
        <v>0</v>
      </c>
      <c r="T260" s="3824"/>
      <c r="U260" s="2256" t="s">
        <v>1537</v>
      </c>
    </row>
    <row r="261" spans="1:21" ht="6" customHeight="1">
      <c r="A261" s="2226"/>
      <c r="U261" s="2227"/>
    </row>
    <row r="262" spans="1:21" ht="19.5" customHeight="1">
      <c r="A262" s="2226" t="s">
        <v>1177</v>
      </c>
      <c r="B262" s="2228" t="s">
        <v>1580</v>
      </c>
      <c r="M262" s="3790" t="str">
        <f>IF(ISBLANK(E90)," ",I52)</f>
        <v xml:space="preserve"> </v>
      </c>
      <c r="N262" s="3791"/>
      <c r="O262" s="2241" t="s">
        <v>1552</v>
      </c>
      <c r="P262" s="3790">
        <v>2</v>
      </c>
      <c r="Q262" s="3791"/>
      <c r="R262" s="2241" t="s">
        <v>1279</v>
      </c>
      <c r="S262" s="3790" t="str">
        <f>IF(ISBLANK(E252),"",M262/P262)</f>
        <v/>
      </c>
      <c r="T262" s="3791"/>
      <c r="U262" s="2255" t="s">
        <v>1581</v>
      </c>
    </row>
    <row r="263" spans="1:21" ht="6" customHeight="1">
      <c r="A263" s="2226"/>
      <c r="U263" s="2227"/>
    </row>
    <row r="264" spans="1:21" s="2228" customFormat="1" ht="15" customHeight="1">
      <c r="A264" s="2254" t="s">
        <v>1177</v>
      </c>
      <c r="B264" s="2228" t="s">
        <v>1582</v>
      </c>
      <c r="U264" s="2255"/>
    </row>
    <row r="265" spans="1:21" s="2228" customFormat="1" ht="6" customHeight="1">
      <c r="A265" s="2254"/>
      <c r="U265" s="2255"/>
    </row>
    <row r="266" spans="1:21" s="2228" customFormat="1" ht="19.5" customHeight="1">
      <c r="A266" s="2254"/>
      <c r="B266" s="2257" t="s">
        <v>1557</v>
      </c>
      <c r="C266" s="3790" t="str">
        <f>S262</f>
        <v/>
      </c>
      <c r="D266" s="3791"/>
      <c r="E266" s="2241" t="s">
        <v>1343</v>
      </c>
      <c r="F266" s="3790">
        <v>0.61</v>
      </c>
      <c r="G266" s="3791"/>
      <c r="H266" s="2258" t="s">
        <v>1583</v>
      </c>
      <c r="I266" s="2232" t="s">
        <v>1558</v>
      </c>
      <c r="J266" s="2259">
        <v>60</v>
      </c>
      <c r="K266" s="2232" t="s">
        <v>1240</v>
      </c>
      <c r="L266" s="3823" t="str">
        <f>IF(ISBLANK(E252),"",(C266*F266)/60)</f>
        <v/>
      </c>
      <c r="M266" s="3824"/>
      <c r="N266" s="2258" t="s">
        <v>1584</v>
      </c>
      <c r="U266" s="2255"/>
    </row>
    <row r="267" spans="1:21" s="2228" customFormat="1" ht="6" customHeight="1">
      <c r="A267" s="2254"/>
      <c r="U267" s="2255"/>
    </row>
    <row r="268" spans="1:21" s="2228" customFormat="1" ht="19.5" customHeight="1">
      <c r="A268" s="2254" t="s">
        <v>1179</v>
      </c>
      <c r="B268" s="2228" t="s">
        <v>1585</v>
      </c>
      <c r="M268" s="3790" t="str">
        <f>M214</f>
        <v xml:space="preserve"> </v>
      </c>
      <c r="N268" s="3791"/>
      <c r="O268" s="2232" t="s">
        <v>1572</v>
      </c>
      <c r="P268" s="3790">
        <v>1.2E-2</v>
      </c>
      <c r="Q268" s="3791"/>
      <c r="R268" s="2232" t="s">
        <v>1240</v>
      </c>
      <c r="S268" s="3790" t="str">
        <f>IF(ISBLANK(E252),"",M268*P268)</f>
        <v/>
      </c>
      <c r="T268" s="3791"/>
      <c r="U268" s="2255" t="s">
        <v>1537</v>
      </c>
    </row>
    <row r="269" spans="1:21" s="2228" customFormat="1" ht="6" customHeight="1">
      <c r="A269" s="2254"/>
      <c r="U269" s="2255"/>
    </row>
    <row r="270" spans="1:21" s="2228" customFormat="1" ht="15" customHeight="1">
      <c r="A270" s="2254" t="s">
        <v>1181</v>
      </c>
      <c r="B270" s="2228" t="s">
        <v>1586</v>
      </c>
      <c r="U270" s="2255"/>
    </row>
    <row r="271" spans="1:21" s="2228" customFormat="1" ht="6" customHeight="1">
      <c r="A271" s="2254"/>
      <c r="U271" s="2255"/>
    </row>
    <row r="272" spans="1:21" s="2228" customFormat="1" ht="19.5" customHeight="1">
      <c r="A272" s="2254"/>
      <c r="B272" s="2257" t="s">
        <v>1557</v>
      </c>
      <c r="C272" s="3831">
        <v>4</v>
      </c>
      <c r="D272" s="3831"/>
      <c r="E272" s="2232" t="s">
        <v>1343</v>
      </c>
      <c r="F272" s="3790" t="str">
        <f>S268</f>
        <v/>
      </c>
      <c r="G272" s="3791"/>
      <c r="H272" s="2260" t="s">
        <v>1587</v>
      </c>
      <c r="I272" s="2232" t="s">
        <v>1588</v>
      </c>
      <c r="J272" s="3790">
        <f>S260</f>
        <v>0</v>
      </c>
      <c r="K272" s="3791"/>
      <c r="L272" s="2232" t="s">
        <v>1579</v>
      </c>
      <c r="M272" s="3823" t="str">
        <f>IF(ISBLANK(E252),"",(4*S268)+S260)</f>
        <v/>
      </c>
      <c r="N272" s="3824"/>
      <c r="O272" s="2228" t="s">
        <v>1537</v>
      </c>
      <c r="U272" s="2255"/>
    </row>
    <row r="273" spans="1:24" s="2228" customFormat="1" ht="6" customHeight="1">
      <c r="A273" s="2254"/>
      <c r="U273" s="2255"/>
    </row>
    <row r="274" spans="1:24" s="2228" customFormat="1" ht="15" customHeight="1">
      <c r="A274" s="2254" t="s">
        <v>1184</v>
      </c>
      <c r="B274" s="520" t="s">
        <v>2199</v>
      </c>
      <c r="U274" s="2255"/>
    </row>
    <row r="275" spans="1:24" s="2228" customFormat="1" ht="6" customHeight="1">
      <c r="A275" s="2254"/>
      <c r="U275" s="2255"/>
    </row>
    <row r="276" spans="1:24" s="2228" customFormat="1" ht="19.5" customHeight="1">
      <c r="A276" s="2254"/>
      <c r="B276" s="3790">
        <f>IF(ISBLANK(E88),"",F10/12)</f>
        <v>0</v>
      </c>
      <c r="C276" s="3791"/>
      <c r="D276" s="2232" t="s">
        <v>1389</v>
      </c>
      <c r="E276" s="3825">
        <v>8.3000000000000004E-2</v>
      </c>
      <c r="F276" s="3826"/>
      <c r="G276" s="2232" t="s">
        <v>1552</v>
      </c>
      <c r="H276" s="3790" t="str">
        <f>M214</f>
        <v xml:space="preserve"> </v>
      </c>
      <c r="I276" s="3791"/>
      <c r="J276" s="2232" t="s">
        <v>1572</v>
      </c>
      <c r="K276" s="3827">
        <f>IF(ISBLANK(E88),"",F18)</f>
        <v>0</v>
      </c>
      <c r="L276" s="3828"/>
      <c r="M276" s="2232" t="s">
        <v>1343</v>
      </c>
      <c r="N276" s="2259">
        <v>7.5</v>
      </c>
      <c r="O276" s="2259" t="s">
        <v>987</v>
      </c>
      <c r="P276" s="3829">
        <f>S260</f>
        <v>0</v>
      </c>
      <c r="Q276" s="3830"/>
      <c r="R276" s="2232" t="s">
        <v>1240</v>
      </c>
      <c r="S276" s="3823" t="str">
        <f>IF(ISBLANK(E252),"",B276*E276*H276*K276*N276+P276)</f>
        <v/>
      </c>
      <c r="T276" s="3824"/>
      <c r="U276" s="2228" t="s">
        <v>1537</v>
      </c>
    </row>
    <row r="277" spans="1:24" s="2228" customFormat="1" ht="6" customHeight="1">
      <c r="A277" s="2254"/>
      <c r="U277" s="2255"/>
    </row>
    <row r="278" spans="1:24" s="2228" customFormat="1" ht="19.5" customHeight="1">
      <c r="A278" s="2254" t="s">
        <v>1186</v>
      </c>
      <c r="B278" s="2228" t="s">
        <v>1590</v>
      </c>
      <c r="O278" s="3832"/>
      <c r="P278" s="3833"/>
      <c r="Q278" s="2228" t="s">
        <v>1537</v>
      </c>
      <c r="U278" s="2255"/>
    </row>
    <row r="279" spans="1:24" s="2228" customFormat="1" ht="6" customHeight="1">
      <c r="A279" s="2254"/>
      <c r="U279" s="2255"/>
    </row>
    <row r="280" spans="1:24" s="2228" customFormat="1" ht="19.5" customHeight="1">
      <c r="A280" s="2254" t="s">
        <v>1224</v>
      </c>
      <c r="B280" s="2228" t="s">
        <v>1591</v>
      </c>
      <c r="L280" s="3790">
        <f>IF(ISBLANK(E250),"",O278)</f>
        <v>0</v>
      </c>
      <c r="M280" s="3791"/>
      <c r="N280" s="2241" t="s">
        <v>1558</v>
      </c>
      <c r="O280" s="3802" t="str">
        <f>L266</f>
        <v/>
      </c>
      <c r="P280" s="3815"/>
      <c r="Q280" s="2241" t="s">
        <v>1240</v>
      </c>
      <c r="R280" s="3802" t="str">
        <f>IF(ISBLANK(E252),"",L280/O280)</f>
        <v/>
      </c>
      <c r="S280" s="3815"/>
      <c r="T280" s="2228" t="s">
        <v>1592</v>
      </c>
      <c r="U280" s="2255"/>
    </row>
    <row r="281" spans="1:24" s="2228" customFormat="1" ht="6" customHeight="1">
      <c r="A281" s="2254"/>
      <c r="U281" s="2255"/>
    </row>
    <row r="282" spans="1:24" s="2228" customFormat="1" ht="15" customHeight="1">
      <c r="A282" s="2254" t="s">
        <v>1227</v>
      </c>
      <c r="B282" s="2228" t="s">
        <v>1593</v>
      </c>
      <c r="U282" s="2255"/>
    </row>
    <row r="283" spans="1:24" s="2228" customFormat="1" ht="6" customHeight="1">
      <c r="A283" s="2254"/>
      <c r="U283" s="2255"/>
    </row>
    <row r="284" spans="1:24" s="2228" customFormat="1" ht="19.5" customHeight="1">
      <c r="A284" s="2254"/>
      <c r="B284" s="3790" t="str">
        <f>IF(ISBLANK(E4)," ",E4)</f>
        <v xml:space="preserve"> </v>
      </c>
      <c r="C284" s="3791"/>
      <c r="D284" s="2232" t="s">
        <v>1890</v>
      </c>
      <c r="E284" s="3790">
        <f>IF(ISBLANK(E88),"",E43)</f>
        <v>0</v>
      </c>
      <c r="F284" s="3791"/>
      <c r="G284" s="2232" t="s">
        <v>2187</v>
      </c>
      <c r="H284" s="3790">
        <f>IF(ISBLANK(E250),"",O278)</f>
        <v>0</v>
      </c>
      <c r="I284" s="3791"/>
      <c r="J284" s="3813" t="s">
        <v>2188</v>
      </c>
      <c r="K284" s="3814"/>
      <c r="L284" s="3802" t="str">
        <f>IF(ISBLANK(E252),"",MAX(4,(B284/E284/H284)))</f>
        <v/>
      </c>
      <c r="M284" s="3815"/>
      <c r="N284" s="2228" t="s">
        <v>1595</v>
      </c>
      <c r="O284" s="2234" t="s">
        <v>1594</v>
      </c>
      <c r="U284" s="2255"/>
      <c r="W284" s="2261" t="s">
        <v>2201</v>
      </c>
      <c r="X284" s="1655"/>
    </row>
    <row r="285" spans="1:24" s="2228" customFormat="1" ht="6" customHeight="1">
      <c r="A285" s="2254"/>
      <c r="U285" s="2255"/>
    </row>
    <row r="286" spans="1:24" s="2228" customFormat="1" ht="19.5" customHeight="1">
      <c r="A286" s="2254" t="s">
        <v>1480</v>
      </c>
      <c r="B286" s="2262" t="s">
        <v>2189</v>
      </c>
      <c r="J286" s="3788">
        <v>1440</v>
      </c>
      <c r="K286" s="3789"/>
      <c r="L286" s="2232" t="s">
        <v>1558</v>
      </c>
      <c r="M286" s="3834" t="str">
        <f>L284</f>
        <v/>
      </c>
      <c r="N286" s="3835"/>
      <c r="O286" s="2232" t="s">
        <v>1240</v>
      </c>
      <c r="P286" s="3834" t="str">
        <f>IF(ISBLANK(E252),"",J286/M286)</f>
        <v/>
      </c>
      <c r="Q286" s="3835"/>
      <c r="T286" s="2228" t="s">
        <v>1592</v>
      </c>
      <c r="U286" s="2255"/>
    </row>
    <row r="287" spans="1:24" s="2228" customFormat="1" ht="6" customHeight="1">
      <c r="A287" s="2254"/>
      <c r="U287" s="2255"/>
    </row>
    <row r="288" spans="1:24" s="2228" customFormat="1" ht="19.5" customHeight="1">
      <c r="A288" s="2254" t="s">
        <v>1483</v>
      </c>
      <c r="B288" s="2228" t="s">
        <v>1597</v>
      </c>
      <c r="I288" s="3802" t="str">
        <f>P286</f>
        <v/>
      </c>
      <c r="J288" s="3791"/>
      <c r="K288" s="2232" t="s">
        <v>988</v>
      </c>
      <c r="L288" s="3802" t="str">
        <f>R280</f>
        <v/>
      </c>
      <c r="M288" s="3791"/>
      <c r="N288" s="2232" t="s">
        <v>1240</v>
      </c>
      <c r="O288" s="3802" t="str">
        <f>IF(ISBLANK(E252),"",I288-L288)</f>
        <v/>
      </c>
      <c r="P288" s="3791"/>
      <c r="Q288" s="2228" t="s">
        <v>1592</v>
      </c>
      <c r="U288" s="2255"/>
    </row>
    <row r="289" spans="1:21" s="2228" customFormat="1" ht="6" customHeight="1">
      <c r="A289" s="2254"/>
      <c r="U289" s="2255"/>
    </row>
    <row r="290" spans="1:21" s="2228" customFormat="1" ht="19.5" customHeight="1">
      <c r="A290" s="2254" t="s">
        <v>1485</v>
      </c>
      <c r="B290" s="2228" t="s">
        <v>1598</v>
      </c>
      <c r="M290" s="3790" t="str">
        <f>Q54</f>
        <v/>
      </c>
      <c r="N290" s="3791"/>
      <c r="O290" s="2259" t="s">
        <v>1343</v>
      </c>
      <c r="P290" s="3831">
        <f>1.6</f>
        <v>1.6</v>
      </c>
      <c r="Q290" s="3831"/>
      <c r="R290" s="2259" t="s">
        <v>1240</v>
      </c>
      <c r="S290" s="3790" t="str">
        <f>IF(ISBLANK(E252),"",M290*P290)</f>
        <v/>
      </c>
      <c r="T290" s="3791"/>
      <c r="U290" s="2256" t="s">
        <v>1537</v>
      </c>
    </row>
    <row r="291" spans="1:21" s="2228" customFormat="1" ht="6" customHeight="1">
      <c r="A291" s="2254"/>
      <c r="U291" s="2255"/>
    </row>
    <row r="292" spans="1:21" s="2228" customFormat="1" ht="15" customHeight="1">
      <c r="A292" s="2254" t="s">
        <v>1599</v>
      </c>
      <c r="B292" s="2228" t="s">
        <v>1600</v>
      </c>
      <c r="U292" s="2255"/>
    </row>
    <row r="293" spans="1:21" s="2228" customFormat="1" ht="6" customHeight="1">
      <c r="A293" s="2254"/>
      <c r="U293" s="2255"/>
    </row>
    <row r="294" spans="1:21" s="2228" customFormat="1" ht="19.5" customHeight="1">
      <c r="A294" s="2254"/>
      <c r="B294" s="3838" t="str">
        <f>L266</f>
        <v/>
      </c>
      <c r="C294" s="3839"/>
      <c r="D294" s="2232" t="s">
        <v>987</v>
      </c>
      <c r="E294" s="3790" t="str">
        <f>S290</f>
        <v/>
      </c>
      <c r="F294" s="3791"/>
      <c r="G294" s="2232" t="s">
        <v>1240</v>
      </c>
      <c r="H294" s="3838" t="str">
        <f>IF(ISBLANK(E252),"",B294+E294)</f>
        <v/>
      </c>
      <c r="I294" s="3839"/>
      <c r="J294" s="2258" t="s">
        <v>1584</v>
      </c>
      <c r="U294" s="2255"/>
    </row>
    <row r="295" spans="1:21" s="2228" customFormat="1" ht="6" customHeight="1">
      <c r="A295" s="2254"/>
      <c r="U295" s="2255"/>
    </row>
    <row r="296" spans="1:21" s="2228" customFormat="1" ht="19.5" customHeight="1">
      <c r="A296" s="2254" t="s">
        <v>1601</v>
      </c>
      <c r="B296" s="2228" t="s">
        <v>1602</v>
      </c>
      <c r="K296" s="3790" t="str">
        <f>H294</f>
        <v/>
      </c>
      <c r="L296" s="3791"/>
      <c r="M296" s="2232" t="s">
        <v>1343</v>
      </c>
      <c r="N296" s="3802" t="str">
        <f>R280</f>
        <v/>
      </c>
      <c r="O296" s="3791"/>
      <c r="P296" s="2232" t="s">
        <v>1240</v>
      </c>
      <c r="Q296" s="3806" t="str">
        <f>IF(ISBLANK(E252),"",K296*N296)</f>
        <v/>
      </c>
      <c r="R296" s="3807"/>
      <c r="S296" s="2228" t="s">
        <v>1537</v>
      </c>
      <c r="U296" s="2255"/>
    </row>
    <row r="297" spans="1:21" s="2228" customFormat="1" ht="6" customHeight="1">
      <c r="A297" s="2254"/>
      <c r="U297" s="2255"/>
    </row>
    <row r="298" spans="1:21" s="2228" customFormat="1" ht="15" customHeight="1">
      <c r="A298" s="2254" t="s">
        <v>1603</v>
      </c>
      <c r="B298" s="2228" t="s">
        <v>1604</v>
      </c>
      <c r="C298" s="1244"/>
      <c r="D298" s="1244"/>
      <c r="E298" s="1244"/>
      <c r="F298" s="1244"/>
      <c r="G298" s="1244"/>
      <c r="H298" s="1244"/>
      <c r="I298" s="1244"/>
      <c r="J298" s="1244"/>
      <c r="K298" s="1244"/>
      <c r="L298" s="2263"/>
      <c r="U298" s="2255"/>
    </row>
    <row r="299" spans="1:21" s="2228" customFormat="1" ht="6" customHeight="1">
      <c r="A299" s="2254"/>
      <c r="U299" s="2255"/>
    </row>
    <row r="300" spans="1:21" s="2228" customFormat="1" ht="19.5" customHeight="1">
      <c r="A300" s="2254"/>
      <c r="B300" s="3802">
        <f>IF(ISBLANK(E88),"",E43)</f>
        <v>0</v>
      </c>
      <c r="C300" s="3815"/>
      <c r="D300" s="2263" t="s">
        <v>1343</v>
      </c>
      <c r="E300" s="3802" t="str">
        <f>L284</f>
        <v/>
      </c>
      <c r="F300" s="3815"/>
      <c r="G300" s="2263" t="s">
        <v>1343</v>
      </c>
      <c r="H300" s="3802" t="str">
        <f>R280</f>
        <v/>
      </c>
      <c r="I300" s="3815"/>
      <c r="J300" s="2263" t="s">
        <v>1240</v>
      </c>
      <c r="K300" s="3802" t="str">
        <f>IF(ISBLANK(E252),"",B300*E300*H300)</f>
        <v/>
      </c>
      <c r="L300" s="3815"/>
      <c r="M300" s="1244" t="s">
        <v>1592</v>
      </c>
      <c r="O300" s="1653" t="s">
        <v>2198</v>
      </c>
      <c r="U300" s="2255"/>
    </row>
    <row r="301" spans="1:21" ht="6" customHeight="1">
      <c r="A301" s="2247"/>
      <c r="B301" s="2248"/>
      <c r="C301" s="2248"/>
      <c r="D301" s="2248"/>
      <c r="E301" s="2248"/>
      <c r="F301" s="2248"/>
      <c r="G301" s="2248"/>
      <c r="H301" s="2248"/>
      <c r="I301" s="2248"/>
      <c r="J301" s="2248"/>
      <c r="K301" s="2248"/>
      <c r="L301" s="2248"/>
      <c r="M301" s="2248"/>
      <c r="N301" s="2248"/>
      <c r="O301" s="2248"/>
      <c r="P301" s="2248"/>
      <c r="Q301" s="2248"/>
      <c r="R301" s="2248"/>
      <c r="S301" s="2248"/>
      <c r="T301" s="2248"/>
      <c r="U301" s="2249"/>
    </row>
    <row r="302" spans="1:21">
      <c r="A302" s="2226"/>
      <c r="B302" s="2222" t="s">
        <v>719</v>
      </c>
      <c r="U302" s="2227"/>
    </row>
    <row r="303" spans="1:21">
      <c r="A303" s="2226"/>
      <c r="B303" s="3840"/>
      <c r="C303" s="3841"/>
      <c r="D303" s="3841"/>
      <c r="E303" s="3841"/>
      <c r="F303" s="3841"/>
      <c r="G303" s="3841"/>
      <c r="H303" s="3841"/>
      <c r="I303" s="3841"/>
      <c r="J303" s="3841"/>
      <c r="K303" s="3841"/>
      <c r="L303" s="3841"/>
      <c r="M303" s="3841"/>
      <c r="N303" s="3841"/>
      <c r="O303" s="3841"/>
      <c r="P303" s="3841"/>
      <c r="Q303" s="3841"/>
      <c r="R303" s="3841"/>
      <c r="S303" s="3841"/>
      <c r="T303" s="3841"/>
      <c r="U303" s="3842"/>
    </row>
    <row r="304" spans="1:21">
      <c r="A304" s="2226"/>
      <c r="B304" s="3843"/>
      <c r="C304" s="3844"/>
      <c r="D304" s="3844"/>
      <c r="E304" s="3844"/>
      <c r="F304" s="3844"/>
      <c r="G304" s="3844"/>
      <c r="H304" s="3844"/>
      <c r="I304" s="3844"/>
      <c r="J304" s="3844"/>
      <c r="K304" s="3844"/>
      <c r="L304" s="3844"/>
      <c r="M304" s="3844"/>
      <c r="N304" s="3844"/>
      <c r="O304" s="3844"/>
      <c r="P304" s="3844"/>
      <c r="Q304" s="3844"/>
      <c r="R304" s="3844"/>
      <c r="S304" s="3844"/>
      <c r="T304" s="3844"/>
      <c r="U304" s="3845"/>
    </row>
    <row r="305" spans="1:21">
      <c r="A305" s="2226"/>
      <c r="B305" s="3843"/>
      <c r="C305" s="3844"/>
      <c r="D305" s="3844"/>
      <c r="E305" s="3844"/>
      <c r="F305" s="3844"/>
      <c r="G305" s="3844"/>
      <c r="H305" s="3844"/>
      <c r="I305" s="3844"/>
      <c r="J305" s="3844"/>
      <c r="K305" s="3844"/>
      <c r="L305" s="3844"/>
      <c r="M305" s="3844"/>
      <c r="N305" s="3844"/>
      <c r="O305" s="3844"/>
      <c r="P305" s="3844"/>
      <c r="Q305" s="3844"/>
      <c r="R305" s="3844"/>
      <c r="S305" s="3844"/>
      <c r="T305" s="3844"/>
      <c r="U305" s="3845"/>
    </row>
    <row r="306" spans="1:21">
      <c r="A306" s="2226"/>
      <c r="B306" s="3843"/>
      <c r="C306" s="3844"/>
      <c r="D306" s="3844"/>
      <c r="E306" s="3844"/>
      <c r="F306" s="3844"/>
      <c r="G306" s="3844"/>
      <c r="H306" s="3844"/>
      <c r="I306" s="3844"/>
      <c r="J306" s="3844"/>
      <c r="K306" s="3844"/>
      <c r="L306" s="3844"/>
      <c r="M306" s="3844"/>
      <c r="N306" s="3844"/>
      <c r="O306" s="3844"/>
      <c r="P306" s="3844"/>
      <c r="Q306" s="3844"/>
      <c r="R306" s="3844"/>
      <c r="S306" s="3844"/>
      <c r="T306" s="3844"/>
      <c r="U306" s="3845"/>
    </row>
    <row r="307" spans="1:21">
      <c r="A307" s="2226"/>
      <c r="B307" s="3843"/>
      <c r="C307" s="3844"/>
      <c r="D307" s="3844"/>
      <c r="E307" s="3844"/>
      <c r="F307" s="3844"/>
      <c r="G307" s="3844"/>
      <c r="H307" s="3844"/>
      <c r="I307" s="3844"/>
      <c r="J307" s="3844"/>
      <c r="K307" s="3844"/>
      <c r="L307" s="3844"/>
      <c r="M307" s="3844"/>
      <c r="N307" s="3844"/>
      <c r="O307" s="3844"/>
      <c r="P307" s="3844"/>
      <c r="Q307" s="3844"/>
      <c r="R307" s="3844"/>
      <c r="S307" s="3844"/>
      <c r="T307" s="3844"/>
      <c r="U307" s="3845"/>
    </row>
    <row r="308" spans="1:21">
      <c r="A308" s="2226"/>
      <c r="B308" s="3843"/>
      <c r="C308" s="3844"/>
      <c r="D308" s="3844"/>
      <c r="E308" s="3844"/>
      <c r="F308" s="3844"/>
      <c r="G308" s="3844"/>
      <c r="H308" s="3844"/>
      <c r="I308" s="3844"/>
      <c r="J308" s="3844"/>
      <c r="K308" s="3844"/>
      <c r="L308" s="3844"/>
      <c r="M308" s="3844"/>
      <c r="N308" s="3844"/>
      <c r="O308" s="3844"/>
      <c r="P308" s="3844"/>
      <c r="Q308" s="3844"/>
      <c r="R308" s="3844"/>
      <c r="S308" s="3844"/>
      <c r="T308" s="3844"/>
      <c r="U308" s="3845"/>
    </row>
    <row r="309" spans="1:21">
      <c r="A309" s="2226"/>
      <c r="B309" s="3843"/>
      <c r="C309" s="3844"/>
      <c r="D309" s="3844"/>
      <c r="E309" s="3844"/>
      <c r="F309" s="3844"/>
      <c r="G309" s="3844"/>
      <c r="H309" s="3844"/>
      <c r="I309" s="3844"/>
      <c r="J309" s="3844"/>
      <c r="K309" s="3844"/>
      <c r="L309" s="3844"/>
      <c r="M309" s="3844"/>
      <c r="N309" s="3844"/>
      <c r="O309" s="3844"/>
      <c r="P309" s="3844"/>
      <c r="Q309" s="3844"/>
      <c r="R309" s="3844"/>
      <c r="S309" s="3844"/>
      <c r="T309" s="3844"/>
      <c r="U309" s="3845"/>
    </row>
    <row r="310" spans="1:21">
      <c r="A310" s="2226"/>
      <c r="B310" s="3846"/>
      <c r="C310" s="3847"/>
      <c r="D310" s="3847"/>
      <c r="E310" s="3847"/>
      <c r="F310" s="3847"/>
      <c r="G310" s="3847"/>
      <c r="H310" s="3847"/>
      <c r="I310" s="3847"/>
      <c r="J310" s="3847"/>
      <c r="K310" s="3847"/>
      <c r="L310" s="3847"/>
      <c r="M310" s="3847"/>
      <c r="N310" s="3847"/>
      <c r="O310" s="3847"/>
      <c r="P310" s="3847"/>
      <c r="Q310" s="3847"/>
      <c r="R310" s="3847"/>
      <c r="S310" s="3847"/>
      <c r="T310" s="3847"/>
      <c r="U310" s="3848"/>
    </row>
    <row r="311" spans="1:21">
      <c r="A311" s="2247"/>
      <c r="B311" s="2248"/>
      <c r="C311" s="2248"/>
      <c r="D311" s="2248"/>
      <c r="E311" s="2248"/>
      <c r="F311" s="2248"/>
      <c r="G311" s="2248"/>
      <c r="H311" s="2248"/>
      <c r="I311" s="2248"/>
      <c r="J311" s="2248"/>
      <c r="K311" s="2248"/>
      <c r="L311" s="2248"/>
      <c r="M311" s="2248"/>
      <c r="N311" s="2248"/>
      <c r="O311" s="2248"/>
      <c r="P311" s="2248"/>
      <c r="Q311" s="2248"/>
      <c r="R311" s="2248"/>
      <c r="S311" s="2248"/>
      <c r="T311" s="2248"/>
      <c r="U311" s="2249"/>
    </row>
  </sheetData>
  <mergeCells count="296">
    <mergeCell ref="B303:U310"/>
    <mergeCell ref="K296:L296"/>
    <mergeCell ref="N296:O296"/>
    <mergeCell ref="Q296:R296"/>
    <mergeCell ref="B300:C300"/>
    <mergeCell ref="E300:F300"/>
    <mergeCell ref="H300:I300"/>
    <mergeCell ref="K300:L300"/>
    <mergeCell ref="M290:N290"/>
    <mergeCell ref="P290:Q290"/>
    <mergeCell ref="S290:T290"/>
    <mergeCell ref="B294:C294"/>
    <mergeCell ref="E294:F294"/>
    <mergeCell ref="H294:I294"/>
    <mergeCell ref="J286:K286"/>
    <mergeCell ref="M286:N286"/>
    <mergeCell ref="P286:Q286"/>
    <mergeCell ref="I288:J288"/>
    <mergeCell ref="L288:M288"/>
    <mergeCell ref="O288:P288"/>
    <mergeCell ref="O278:P278"/>
    <mergeCell ref="L280:M280"/>
    <mergeCell ref="O280:P280"/>
    <mergeCell ref="R280:S280"/>
    <mergeCell ref="B284:C284"/>
    <mergeCell ref="E284:F284"/>
    <mergeCell ref="H284:I284"/>
    <mergeCell ref="J284:K284"/>
    <mergeCell ref="L284:M284"/>
    <mergeCell ref="B276:C276"/>
    <mergeCell ref="E276:F276"/>
    <mergeCell ref="H276:I276"/>
    <mergeCell ref="K276:L276"/>
    <mergeCell ref="P276:Q276"/>
    <mergeCell ref="S276:T276"/>
    <mergeCell ref="M268:N268"/>
    <mergeCell ref="P268:Q268"/>
    <mergeCell ref="S268:T268"/>
    <mergeCell ref="C272:D272"/>
    <mergeCell ref="F272:G272"/>
    <mergeCell ref="J272:K272"/>
    <mergeCell ref="M272:N272"/>
    <mergeCell ref="M262:N262"/>
    <mergeCell ref="P262:Q262"/>
    <mergeCell ref="S262:T262"/>
    <mergeCell ref="C266:D266"/>
    <mergeCell ref="F266:G266"/>
    <mergeCell ref="L266:M266"/>
    <mergeCell ref="E256:F256"/>
    <mergeCell ref="M256:N256"/>
    <mergeCell ref="M258:N258"/>
    <mergeCell ref="P258:Q258"/>
    <mergeCell ref="S258:T258"/>
    <mergeCell ref="M260:N260"/>
    <mergeCell ref="P260:Q260"/>
    <mergeCell ref="S260:T260"/>
    <mergeCell ref="A248:U248"/>
    <mergeCell ref="E250:F250"/>
    <mergeCell ref="I250:T250"/>
    <mergeCell ref="E252:F252"/>
    <mergeCell ref="M252:N252"/>
    <mergeCell ref="M254:N254"/>
    <mergeCell ref="P254:Q254"/>
    <mergeCell ref="S254:T254"/>
    <mergeCell ref="K242:L242"/>
    <mergeCell ref="N242:O242"/>
    <mergeCell ref="Q242:R242"/>
    <mergeCell ref="B246:C246"/>
    <mergeCell ref="E246:F246"/>
    <mergeCell ref="H246:I246"/>
    <mergeCell ref="K246:L246"/>
    <mergeCell ref="M236:N236"/>
    <mergeCell ref="P236:Q236"/>
    <mergeCell ref="S236:T236"/>
    <mergeCell ref="B240:C240"/>
    <mergeCell ref="E240:F240"/>
    <mergeCell ref="H240:I240"/>
    <mergeCell ref="J232:K232"/>
    <mergeCell ref="M232:N232"/>
    <mergeCell ref="P232:Q232"/>
    <mergeCell ref="I234:J234"/>
    <mergeCell ref="L234:M234"/>
    <mergeCell ref="O234:P234"/>
    <mergeCell ref="O224:P224"/>
    <mergeCell ref="L226:M226"/>
    <mergeCell ref="O226:P226"/>
    <mergeCell ref="R226:S226"/>
    <mergeCell ref="B230:C230"/>
    <mergeCell ref="E230:F230"/>
    <mergeCell ref="H230:I230"/>
    <mergeCell ref="J230:K230"/>
    <mergeCell ref="L230:M230"/>
    <mergeCell ref="B222:C222"/>
    <mergeCell ref="E222:F222"/>
    <mergeCell ref="H222:I222"/>
    <mergeCell ref="K222:L222"/>
    <mergeCell ref="P222:Q222"/>
    <mergeCell ref="S222:T222"/>
    <mergeCell ref="M214:N214"/>
    <mergeCell ref="P214:Q214"/>
    <mergeCell ref="S214:T214"/>
    <mergeCell ref="C218:D218"/>
    <mergeCell ref="F218:G218"/>
    <mergeCell ref="J218:K218"/>
    <mergeCell ref="M218:N218"/>
    <mergeCell ref="M208:N208"/>
    <mergeCell ref="P208:Q208"/>
    <mergeCell ref="S208:T208"/>
    <mergeCell ref="C212:D212"/>
    <mergeCell ref="F212:G212"/>
    <mergeCell ref="L212:M212"/>
    <mergeCell ref="M204:N204"/>
    <mergeCell ref="P204:Q204"/>
    <mergeCell ref="S204:T204"/>
    <mergeCell ref="M206:N206"/>
    <mergeCell ref="P206:Q206"/>
    <mergeCell ref="S206:T206"/>
    <mergeCell ref="E198:F198"/>
    <mergeCell ref="M198:N198"/>
    <mergeCell ref="M200:N200"/>
    <mergeCell ref="P200:Q200"/>
    <mergeCell ref="S200:T200"/>
    <mergeCell ref="E202:F202"/>
    <mergeCell ref="M202:N202"/>
    <mergeCell ref="B192:C192"/>
    <mergeCell ref="E192:F192"/>
    <mergeCell ref="H192:I192"/>
    <mergeCell ref="K192:L192"/>
    <mergeCell ref="A194:U194"/>
    <mergeCell ref="E196:F196"/>
    <mergeCell ref="I196:T196"/>
    <mergeCell ref="B186:C186"/>
    <mergeCell ref="E186:F186"/>
    <mergeCell ref="H186:I186"/>
    <mergeCell ref="I188:J188"/>
    <mergeCell ref="L188:M188"/>
    <mergeCell ref="O188:P188"/>
    <mergeCell ref="L178:M178"/>
    <mergeCell ref="O178:P178"/>
    <mergeCell ref="I180:J180"/>
    <mergeCell ref="L180:M180"/>
    <mergeCell ref="O180:P180"/>
    <mergeCell ref="K182:L182"/>
    <mergeCell ref="P182:Q182"/>
    <mergeCell ref="O170:P170"/>
    <mergeCell ref="L172:M172"/>
    <mergeCell ref="O172:P172"/>
    <mergeCell ref="R172:S172"/>
    <mergeCell ref="B176:C176"/>
    <mergeCell ref="E176:F176"/>
    <mergeCell ref="H176:I176"/>
    <mergeCell ref="J176:K176"/>
    <mergeCell ref="L176:M176"/>
    <mergeCell ref="B168:C168"/>
    <mergeCell ref="E168:F168"/>
    <mergeCell ref="H168:I168"/>
    <mergeCell ref="K168:L168"/>
    <mergeCell ref="P168:Q168"/>
    <mergeCell ref="S168:T168"/>
    <mergeCell ref="M160:N160"/>
    <mergeCell ref="P160:Q160"/>
    <mergeCell ref="S160:T160"/>
    <mergeCell ref="C164:D164"/>
    <mergeCell ref="F164:G164"/>
    <mergeCell ref="J164:K164"/>
    <mergeCell ref="M164:N164"/>
    <mergeCell ref="M154:N154"/>
    <mergeCell ref="P154:Q154"/>
    <mergeCell ref="S154:T154"/>
    <mergeCell ref="C158:D158"/>
    <mergeCell ref="F158:G158"/>
    <mergeCell ref="L158:M158"/>
    <mergeCell ref="E148:F148"/>
    <mergeCell ref="M148:N148"/>
    <mergeCell ref="M150:N150"/>
    <mergeCell ref="P150:Q150"/>
    <mergeCell ref="S150:T150"/>
    <mergeCell ref="M152:N152"/>
    <mergeCell ref="P152:Q152"/>
    <mergeCell ref="S152:T152"/>
    <mergeCell ref="A140:U140"/>
    <mergeCell ref="E142:F142"/>
    <mergeCell ref="I142:T142"/>
    <mergeCell ref="E144:F144"/>
    <mergeCell ref="M144:N144"/>
    <mergeCell ref="M146:N146"/>
    <mergeCell ref="P146:Q146"/>
    <mergeCell ref="S146:T146"/>
    <mergeCell ref="K134:L134"/>
    <mergeCell ref="N134:O134"/>
    <mergeCell ref="Q134:R134"/>
    <mergeCell ref="B138:C138"/>
    <mergeCell ref="E138:F138"/>
    <mergeCell ref="H138:I138"/>
    <mergeCell ref="K138:L138"/>
    <mergeCell ref="M128:N128"/>
    <mergeCell ref="O128:P128"/>
    <mergeCell ref="S128:T128"/>
    <mergeCell ref="B132:C132"/>
    <mergeCell ref="E132:F132"/>
    <mergeCell ref="H132:I132"/>
    <mergeCell ref="J124:K124"/>
    <mergeCell ref="M124:N124"/>
    <mergeCell ref="P124:Q124"/>
    <mergeCell ref="I126:J126"/>
    <mergeCell ref="L126:M126"/>
    <mergeCell ref="O126:P126"/>
    <mergeCell ref="O116:P116"/>
    <mergeCell ref="L118:M118"/>
    <mergeCell ref="O118:P118"/>
    <mergeCell ref="R118:S118"/>
    <mergeCell ref="B122:C122"/>
    <mergeCell ref="E122:F122"/>
    <mergeCell ref="H122:I122"/>
    <mergeCell ref="J122:K122"/>
    <mergeCell ref="L122:M122"/>
    <mergeCell ref="B114:C114"/>
    <mergeCell ref="E114:F114"/>
    <mergeCell ref="H114:I114"/>
    <mergeCell ref="K114:L114"/>
    <mergeCell ref="P114:Q114"/>
    <mergeCell ref="S114:T114"/>
    <mergeCell ref="M106:N106"/>
    <mergeCell ref="P106:Q106"/>
    <mergeCell ref="S106:T106"/>
    <mergeCell ref="C110:D110"/>
    <mergeCell ref="F110:G110"/>
    <mergeCell ref="J110:K110"/>
    <mergeCell ref="M110:N110"/>
    <mergeCell ref="M100:N100"/>
    <mergeCell ref="P100:Q100"/>
    <mergeCell ref="S100:T100"/>
    <mergeCell ref="C104:D104"/>
    <mergeCell ref="F104:G104"/>
    <mergeCell ref="L104:M104"/>
    <mergeCell ref="E94:F94"/>
    <mergeCell ref="M94:N94"/>
    <mergeCell ref="M96:N96"/>
    <mergeCell ref="P96:Q96"/>
    <mergeCell ref="S96:T96"/>
    <mergeCell ref="M98:N98"/>
    <mergeCell ref="P98:Q98"/>
    <mergeCell ref="S98:T98"/>
    <mergeCell ref="A86:U86"/>
    <mergeCell ref="E88:F88"/>
    <mergeCell ref="I88:T88"/>
    <mergeCell ref="E90:F90"/>
    <mergeCell ref="M90:N90"/>
    <mergeCell ref="M92:N92"/>
    <mergeCell ref="P92:Q92"/>
    <mergeCell ref="S92:T92"/>
    <mergeCell ref="C52:D52"/>
    <mergeCell ref="F52:G52"/>
    <mergeCell ref="I52:J52"/>
    <mergeCell ref="N54:O54"/>
    <mergeCell ref="Q54:R54"/>
    <mergeCell ref="B81:K82"/>
    <mergeCell ref="M81:T82"/>
    <mergeCell ref="F45:G45"/>
    <mergeCell ref="S45:T45"/>
    <mergeCell ref="C49:D49"/>
    <mergeCell ref="F49:G49"/>
    <mergeCell ref="J49:K49"/>
    <mergeCell ref="M49:N49"/>
    <mergeCell ref="R35:S35"/>
    <mergeCell ref="E37:F37"/>
    <mergeCell ref="B41:C41"/>
    <mergeCell ref="E41:F41"/>
    <mergeCell ref="H41:I41"/>
    <mergeCell ref="E43:F43"/>
    <mergeCell ref="B30:C30"/>
    <mergeCell ref="E30:F30"/>
    <mergeCell ref="I30:J30"/>
    <mergeCell ref="P32:Q32"/>
    <mergeCell ref="L35:M35"/>
    <mergeCell ref="O35:P35"/>
    <mergeCell ref="E22:F22"/>
    <mergeCell ref="L22:M22"/>
    <mergeCell ref="P22:T24"/>
    <mergeCell ref="E24:F24"/>
    <mergeCell ref="K26:L26"/>
    <mergeCell ref="N26:O26"/>
    <mergeCell ref="P26:Q26"/>
    <mergeCell ref="R26:S26"/>
    <mergeCell ref="F10:G10"/>
    <mergeCell ref="F12:I12"/>
    <mergeCell ref="G14:H14"/>
    <mergeCell ref="F16:G16"/>
    <mergeCell ref="F18:G18"/>
    <mergeCell ref="A20:U20"/>
    <mergeCell ref="E1:P1"/>
    <mergeCell ref="I2:J2"/>
    <mergeCell ref="K2:L2"/>
    <mergeCell ref="E4:F4"/>
    <mergeCell ref="A6:U6"/>
    <mergeCell ref="F8:G8"/>
  </mergeCells>
  <printOptions horizontalCentered="1"/>
  <pageMargins left="0.5" right="0.5" top="0.25" bottom="0.25" header="0.3" footer="0.3"/>
  <pageSetup scale="65" orientation="portrait" blackAndWhite="1" r:id="rId1"/>
  <rowBreaks count="3" manualBreakCount="3">
    <brk id="85" max="16383" man="1"/>
    <brk id="173" max="16383" man="1"/>
    <brk id="269"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91A30F-F472-4AE8-A00B-A2BD209E437B}">
          <x14:formula1>
            <xm:f>'Drop-Down Lists'!$H$2:$H$25</xm:f>
          </x14:formula1>
          <xm:sqref>F12:I12</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DD223-D6B6-4BDE-B667-93F7B691966B}">
  <sheetPr>
    <tabColor rgb="FFFF6600"/>
  </sheetPr>
  <dimension ref="A1:AA311"/>
  <sheetViews>
    <sheetView showGridLines="0" showZeros="0" view="pageBreakPreview" topLeftCell="A25" zoomScaleNormal="100" zoomScaleSheetLayoutView="100" workbookViewId="0">
      <selection activeCell="F49" sqref="F49:G49"/>
    </sheetView>
  </sheetViews>
  <sheetFormatPr defaultColWidth="9.140625" defaultRowHeight="16.5"/>
  <cols>
    <col min="1" max="1" width="3.42578125" style="2222" customWidth="1"/>
    <col min="2" max="20" width="6.42578125" style="2222" customWidth="1"/>
    <col min="21" max="21" width="9.42578125" style="2222" customWidth="1"/>
    <col min="22" max="16384" width="9.140625" style="2222"/>
  </cols>
  <sheetData>
    <row r="1" spans="1:23" ht="54.95" customHeight="1">
      <c r="E1" s="3797" t="s">
        <v>1524</v>
      </c>
      <c r="F1" s="3797"/>
      <c r="G1" s="3797"/>
      <c r="H1" s="3797"/>
      <c r="I1" s="3797"/>
      <c r="J1" s="3797"/>
      <c r="K1" s="3797"/>
      <c r="L1" s="3797"/>
      <c r="M1" s="3797"/>
      <c r="N1" s="3797"/>
      <c r="O1" s="3797"/>
      <c r="P1" s="3797"/>
    </row>
    <row r="2" spans="1:23" ht="15" customHeight="1">
      <c r="A2" s="2223" t="s">
        <v>1525</v>
      </c>
      <c r="B2" s="2224"/>
      <c r="C2" s="2224"/>
      <c r="D2" s="2224"/>
      <c r="E2" s="2224"/>
      <c r="F2" s="2224"/>
      <c r="G2" s="2224"/>
      <c r="H2" s="2224"/>
      <c r="I2" s="3798" t="s">
        <v>1164</v>
      </c>
      <c r="J2" s="3798"/>
      <c r="K2" s="3799" t="s">
        <v>977</v>
      </c>
      <c r="L2" s="3799"/>
      <c r="M2" s="2224"/>
      <c r="N2" s="2224"/>
      <c r="O2" s="2224"/>
      <c r="P2" s="2224"/>
      <c r="Q2" s="2224"/>
      <c r="R2" s="2224"/>
      <c r="S2" s="2224"/>
      <c r="T2" s="2224"/>
      <c r="U2" s="2225" t="str">
        <f>'Drop-Down Lists'!A2</f>
        <v>v 05.01.2026</v>
      </c>
    </row>
    <row r="3" spans="1:23" ht="6" customHeight="1">
      <c r="A3" s="2226"/>
      <c r="U3" s="2227"/>
    </row>
    <row r="4" spans="1:23" ht="19.5" customHeight="1">
      <c r="A4" s="2226" t="s">
        <v>1011</v>
      </c>
      <c r="B4" s="2228" t="s">
        <v>582</v>
      </c>
      <c r="E4" s="3800"/>
      <c r="F4" s="3801"/>
      <c r="G4" s="2222" t="s">
        <v>583</v>
      </c>
      <c r="U4" s="2227"/>
    </row>
    <row r="5" spans="1:23" ht="6" customHeight="1">
      <c r="A5" s="2226"/>
      <c r="U5" s="2227"/>
    </row>
    <row r="6" spans="1:23" ht="15" customHeight="1">
      <c r="A6" s="3794" t="s">
        <v>1526</v>
      </c>
      <c r="B6" s="3795"/>
      <c r="C6" s="3795"/>
      <c r="D6" s="3795"/>
      <c r="E6" s="3795"/>
      <c r="F6" s="3795"/>
      <c r="G6" s="3795"/>
      <c r="H6" s="3795"/>
      <c r="I6" s="3795"/>
      <c r="J6" s="3795"/>
      <c r="K6" s="3795"/>
      <c r="L6" s="3795"/>
      <c r="M6" s="3795"/>
      <c r="N6" s="3795"/>
      <c r="O6" s="3795"/>
      <c r="P6" s="3795"/>
      <c r="Q6" s="3795"/>
      <c r="R6" s="3795"/>
      <c r="S6" s="3795"/>
      <c r="T6" s="3795"/>
      <c r="U6" s="3796"/>
    </row>
    <row r="7" spans="1:23" ht="6" customHeight="1">
      <c r="A7" s="2226"/>
      <c r="U7" s="2227"/>
    </row>
    <row r="8" spans="1:23" ht="19.5" customHeight="1">
      <c r="A8" s="2226" t="s">
        <v>1011</v>
      </c>
      <c r="B8" s="2228" t="s">
        <v>1527</v>
      </c>
      <c r="F8" s="3790" t="str">
        <f>IF(ISBLANK(E4), " ", 'Design Details &amp; Summary'!G94)</f>
        <v xml:space="preserve"> </v>
      </c>
      <c r="G8" s="3791"/>
      <c r="H8" s="2228" t="s">
        <v>762</v>
      </c>
      <c r="U8" s="2227"/>
      <c r="W8" s="2229"/>
    </row>
    <row r="9" spans="1:23" ht="6" customHeight="1">
      <c r="A9" s="2226"/>
      <c r="U9" s="2227"/>
    </row>
    <row r="10" spans="1:23" ht="19.5" customHeight="1">
      <c r="A10" s="2226" t="s">
        <v>1019</v>
      </c>
      <c r="B10" s="2228" t="s">
        <v>1528</v>
      </c>
      <c r="E10" s="2323"/>
      <c r="F10" s="3785"/>
      <c r="G10" s="3786"/>
      <c r="H10" s="2228" t="s">
        <v>762</v>
      </c>
      <c r="U10" s="2227"/>
    </row>
    <row r="11" spans="1:23" ht="6" customHeight="1">
      <c r="A11" s="2226"/>
      <c r="U11" s="2227"/>
    </row>
    <row r="12" spans="1:23" ht="19.5" customHeight="1">
      <c r="A12" s="2226" t="s">
        <v>1529</v>
      </c>
      <c r="B12" s="2228" t="s">
        <v>669</v>
      </c>
      <c r="F12" s="3787"/>
      <c r="G12" s="3787"/>
      <c r="H12" s="3787"/>
      <c r="I12" s="3787"/>
      <c r="J12" s="1940"/>
      <c r="U12" s="2227"/>
    </row>
    <row r="13" spans="1:23" ht="6" customHeight="1">
      <c r="A13" s="2226"/>
      <c r="U13" s="2227"/>
    </row>
    <row r="14" spans="1:23" ht="19.5" customHeight="1">
      <c r="A14" s="2226" t="s">
        <v>1172</v>
      </c>
      <c r="B14" s="2228" t="s">
        <v>1530</v>
      </c>
      <c r="G14" s="3788" t="str">
        <f>IF(ISBLANK(E4),"",'Design Details &amp; Summary'!G104)</f>
        <v/>
      </c>
      <c r="H14" s="3789"/>
      <c r="I14" s="2228" t="s">
        <v>1531</v>
      </c>
      <c r="U14" s="2227"/>
      <c r="W14" s="2230" t="s">
        <v>2165</v>
      </c>
    </row>
    <row r="15" spans="1:23" ht="6" customHeight="1">
      <c r="A15" s="2226"/>
      <c r="U15" s="2227"/>
    </row>
    <row r="16" spans="1:23" ht="19.5" customHeight="1">
      <c r="A16" s="2226" t="s">
        <v>1177</v>
      </c>
      <c r="B16" s="2228" t="s">
        <v>1171</v>
      </c>
      <c r="F16" s="3790" t="str">
        <f>IF(ISBLANK(E4),"",'Design Details &amp; Summary'!G106)</f>
        <v/>
      </c>
      <c r="G16" s="3791"/>
      <c r="H16" s="2228" t="s">
        <v>1315</v>
      </c>
      <c r="U16" s="2227"/>
    </row>
    <row r="17" spans="1:23" ht="6" customHeight="1">
      <c r="A17" s="2226"/>
      <c r="U17" s="2227"/>
    </row>
    <row r="18" spans="1:23" ht="19.5" customHeight="1">
      <c r="A18" s="2226" t="s">
        <v>1179</v>
      </c>
      <c r="B18" s="2228" t="s">
        <v>2166</v>
      </c>
      <c r="E18" s="2231"/>
      <c r="F18" s="3792"/>
      <c r="G18" s="3793"/>
      <c r="U18" s="2227"/>
    </row>
    <row r="19" spans="1:23" ht="6" customHeight="1">
      <c r="A19" s="2226"/>
      <c r="U19" s="2227"/>
    </row>
    <row r="20" spans="1:23" ht="15" customHeight="1">
      <c r="A20" s="3794" t="s">
        <v>1534</v>
      </c>
      <c r="B20" s="3795"/>
      <c r="C20" s="3795"/>
      <c r="D20" s="3795"/>
      <c r="E20" s="3795"/>
      <c r="F20" s="3795"/>
      <c r="G20" s="3795"/>
      <c r="H20" s="3795"/>
      <c r="I20" s="3795"/>
      <c r="J20" s="3795"/>
      <c r="K20" s="3795"/>
      <c r="L20" s="3795"/>
      <c r="M20" s="3795"/>
      <c r="N20" s="3795"/>
      <c r="O20" s="3795"/>
      <c r="P20" s="3795"/>
      <c r="Q20" s="3795"/>
      <c r="R20" s="3795"/>
      <c r="S20" s="3795"/>
      <c r="T20" s="3795"/>
      <c r="U20" s="3796"/>
    </row>
    <row r="21" spans="1:23" ht="6" customHeight="1">
      <c r="A21" s="2226"/>
      <c r="U21" s="2227"/>
    </row>
    <row r="22" spans="1:23" ht="19.5" customHeight="1">
      <c r="A22" s="2226" t="s">
        <v>1011</v>
      </c>
      <c r="B22" s="2228" t="s">
        <v>1535</v>
      </c>
      <c r="E22" s="3808">
        <v>0.5</v>
      </c>
      <c r="F22" s="3809"/>
      <c r="G22" s="2228" t="s">
        <v>762</v>
      </c>
      <c r="I22" s="2228" t="s">
        <v>1536</v>
      </c>
      <c r="L22" s="3810">
        <v>1.2E-2</v>
      </c>
      <c r="M22" s="3811"/>
      <c r="N22" s="2222" t="s">
        <v>1537</v>
      </c>
      <c r="P22" s="3812" t="s">
        <v>2167</v>
      </c>
      <c r="Q22" s="3812"/>
      <c r="R22" s="3812"/>
      <c r="S22" s="3812"/>
      <c r="T22" s="3812"/>
      <c r="U22" s="2227"/>
    </row>
    <row r="23" spans="1:23" ht="6" customHeight="1">
      <c r="A23" s="2226"/>
      <c r="P23" s="3812"/>
      <c r="Q23" s="3812"/>
      <c r="R23" s="3812"/>
      <c r="S23" s="3812"/>
      <c r="T23" s="3812"/>
      <c r="U23" s="2227"/>
    </row>
    <row r="24" spans="1:23" ht="19.5" customHeight="1">
      <c r="A24" s="2226" t="s">
        <v>1019</v>
      </c>
      <c r="B24" s="2228" t="s">
        <v>1538</v>
      </c>
      <c r="E24" s="3810">
        <v>0.61</v>
      </c>
      <c r="F24" s="3811"/>
      <c r="G24" s="2228" t="s">
        <v>1539</v>
      </c>
      <c r="P24" s="3812"/>
      <c r="Q24" s="3812"/>
      <c r="R24" s="3812"/>
      <c r="S24" s="3812"/>
      <c r="T24" s="3812"/>
      <c r="U24" s="2227"/>
    </row>
    <row r="25" spans="1:23" ht="6" customHeight="1">
      <c r="A25" s="2226"/>
      <c r="U25" s="2227"/>
    </row>
    <row r="26" spans="1:23" ht="19.5" customHeight="1">
      <c r="A26" s="2226" t="s">
        <v>1168</v>
      </c>
      <c r="B26" s="2228" t="s">
        <v>2168</v>
      </c>
      <c r="K26" s="3790" t="str">
        <f>IF(ISBLANK(E4)," ",E4)</f>
        <v xml:space="preserve"> </v>
      </c>
      <c r="L26" s="3791"/>
      <c r="M26" s="2232" t="s">
        <v>1541</v>
      </c>
      <c r="N26" s="3790" t="str">
        <f>G14</f>
        <v/>
      </c>
      <c r="O26" s="3791"/>
      <c r="P26" s="3813" t="s">
        <v>1542</v>
      </c>
      <c r="Q26" s="3814"/>
      <c r="R26" s="3806" t="str">
        <f>IF(ISBLANK(F10),"",K26/N26)</f>
        <v/>
      </c>
      <c r="S26" s="3807"/>
      <c r="T26" s="2228" t="s">
        <v>1543</v>
      </c>
      <c r="U26" s="2227"/>
    </row>
    <row r="27" spans="1:23" ht="6" customHeight="1">
      <c r="A27" s="2226"/>
      <c r="U27" s="2227"/>
    </row>
    <row r="28" spans="1:23" ht="15" customHeight="1">
      <c r="A28" s="2226" t="s">
        <v>1172</v>
      </c>
      <c r="B28" s="2228" t="s">
        <v>2169</v>
      </c>
      <c r="U28" s="2227"/>
    </row>
    <row r="29" spans="1:23" ht="6" customHeight="1">
      <c r="A29" s="2226"/>
      <c r="U29" s="2227"/>
    </row>
    <row r="30" spans="1:23" ht="19.5" customHeight="1">
      <c r="A30" s="2226"/>
      <c r="B30" s="3790" t="str">
        <f>IF(ISBLANK(E4)," ",E4)</f>
        <v xml:space="preserve"> </v>
      </c>
      <c r="C30" s="3791"/>
      <c r="D30" s="2232" t="s">
        <v>1541</v>
      </c>
      <c r="E30" s="3790" t="str">
        <f>F16</f>
        <v/>
      </c>
      <c r="F30" s="3791"/>
      <c r="G30" s="2228" t="s">
        <v>1545</v>
      </c>
      <c r="I30" s="3802" t="str">
        <f>IF(ISBLANK(F10),"",B30/E30)</f>
        <v/>
      </c>
      <c r="J30" s="3803"/>
      <c r="K30" s="2228" t="s">
        <v>609</v>
      </c>
      <c r="U30" s="2227"/>
    </row>
    <row r="31" spans="1:23" ht="6" customHeight="1">
      <c r="A31" s="2226"/>
      <c r="U31" s="2227"/>
    </row>
    <row r="32" spans="1:23" ht="19.5" customHeight="1">
      <c r="A32" s="2226" t="s">
        <v>1177</v>
      </c>
      <c r="B32" s="2228" t="s">
        <v>2170</v>
      </c>
      <c r="P32" s="3804"/>
      <c r="Q32" s="3805"/>
      <c r="R32" s="2228" t="s">
        <v>609</v>
      </c>
      <c r="S32" s="2222" t="s">
        <v>2171</v>
      </c>
      <c r="U32" s="2227"/>
      <c r="W32" s="2222" t="s">
        <v>2172</v>
      </c>
    </row>
    <row r="33" spans="1:23" s="2235" customFormat="1" ht="15" customHeight="1">
      <c r="A33" s="2233"/>
      <c r="B33" s="2234" t="s">
        <v>1547</v>
      </c>
      <c r="U33" s="2236"/>
    </row>
    <row r="34" spans="1:23" ht="6" customHeight="1">
      <c r="A34" s="2226"/>
      <c r="U34" s="2227"/>
    </row>
    <row r="35" spans="1:23" ht="19.5" customHeight="1">
      <c r="A35" s="2226" t="s">
        <v>1179</v>
      </c>
      <c r="B35" s="2228" t="s">
        <v>1548</v>
      </c>
      <c r="L35" s="3806" t="str">
        <f>R26</f>
        <v/>
      </c>
      <c r="M35" s="3807"/>
      <c r="N35" s="2232" t="s">
        <v>1549</v>
      </c>
      <c r="O35" s="3790" t="str">
        <f>IF(ISBLANK(F10),"",P32)</f>
        <v/>
      </c>
      <c r="P35" s="3791"/>
      <c r="Q35" s="2237" t="s">
        <v>1240</v>
      </c>
      <c r="R35" s="3802" t="str">
        <f>IF(ISBLANK(F10),"",L35/O35)</f>
        <v/>
      </c>
      <c r="S35" s="3815"/>
      <c r="T35" s="2228" t="s">
        <v>609</v>
      </c>
      <c r="U35" s="2227"/>
    </row>
    <row r="36" spans="1:23" ht="6" customHeight="1">
      <c r="A36" s="2226"/>
      <c r="U36" s="2227"/>
    </row>
    <row r="37" spans="1:23" ht="19.5" customHeight="1">
      <c r="A37" s="2226" t="s">
        <v>1181</v>
      </c>
      <c r="B37" s="2228" t="s">
        <v>1550</v>
      </c>
      <c r="E37" s="3816"/>
      <c r="F37" s="3817"/>
      <c r="G37" s="2228" t="s">
        <v>609</v>
      </c>
      <c r="H37" s="2222" t="s">
        <v>2173</v>
      </c>
      <c r="U37" s="2227"/>
    </row>
    <row r="38" spans="1:23" ht="6" customHeight="1">
      <c r="A38" s="2226"/>
      <c r="U38" s="2227"/>
    </row>
    <row r="39" spans="1:23" ht="15" customHeight="1">
      <c r="A39" s="2226" t="s">
        <v>1184</v>
      </c>
      <c r="B39" s="2228" t="s">
        <v>2174</v>
      </c>
      <c r="U39" s="2227"/>
    </row>
    <row r="40" spans="1:23" ht="6" customHeight="1">
      <c r="A40" s="2226"/>
      <c r="U40" s="2227"/>
    </row>
    <row r="41" spans="1:23" ht="19.5" customHeight="1">
      <c r="A41" s="2226"/>
      <c r="B41" s="3802" t="str">
        <f>R35</f>
        <v/>
      </c>
      <c r="C41" s="3791"/>
      <c r="D41" s="2232" t="s">
        <v>1552</v>
      </c>
      <c r="E41" s="3790" t="str">
        <f>IF(ISBLANK(F10),"",E37)</f>
        <v/>
      </c>
      <c r="F41" s="3791"/>
      <c r="G41" s="2232" t="s">
        <v>1443</v>
      </c>
      <c r="H41" s="3790" t="str">
        <f>IF(ISBLANK(E37),"",ROUNDUP((B41/E41),0))</f>
        <v/>
      </c>
      <c r="I41" s="3791"/>
      <c r="J41" s="2228" t="s">
        <v>1553</v>
      </c>
      <c r="U41" s="2227"/>
      <c r="W41" s="2238"/>
    </row>
    <row r="42" spans="1:23" ht="6" customHeight="1">
      <c r="A42" s="2226"/>
      <c r="U42" s="2227"/>
    </row>
    <row r="43" spans="1:23" ht="19.5" customHeight="1">
      <c r="A43" s="2226" t="s">
        <v>1186</v>
      </c>
      <c r="B43" s="2228" t="s">
        <v>1554</v>
      </c>
      <c r="E43" s="3816"/>
      <c r="F43" s="3817"/>
      <c r="G43" s="2228" t="s">
        <v>1555</v>
      </c>
      <c r="U43" s="2227"/>
    </row>
    <row r="44" spans="1:23" ht="6" customHeight="1">
      <c r="A44" s="2226"/>
      <c r="U44" s="2227"/>
    </row>
    <row r="45" spans="1:23" ht="19.5" customHeight="1">
      <c r="A45" s="2226" t="s">
        <v>1224</v>
      </c>
      <c r="B45" s="2228" t="s">
        <v>2175</v>
      </c>
      <c r="F45" s="3816"/>
      <c r="G45" s="3817"/>
      <c r="H45" s="2228" t="s">
        <v>1553</v>
      </c>
      <c r="J45" s="2262"/>
      <c r="S45" s="3850"/>
      <c r="T45" s="3850"/>
      <c r="U45" s="2228"/>
    </row>
    <row r="46" spans="1:23" ht="6" customHeight="1">
      <c r="A46" s="2226"/>
      <c r="U46" s="2227"/>
    </row>
    <row r="47" spans="1:23" ht="15" customHeight="1">
      <c r="A47" s="2226" t="s">
        <v>1227</v>
      </c>
      <c r="B47" s="2228" t="s">
        <v>2177</v>
      </c>
      <c r="U47" s="2227"/>
    </row>
    <row r="48" spans="1:23" ht="6" customHeight="1">
      <c r="A48" s="2226"/>
      <c r="U48" s="2227"/>
    </row>
    <row r="49" spans="1:21" ht="19.5" customHeight="1">
      <c r="A49" s="2226"/>
      <c r="B49" s="2239" t="s">
        <v>1557</v>
      </c>
      <c r="C49" s="3802">
        <f>F45</f>
        <v>0</v>
      </c>
      <c r="D49" s="3791"/>
      <c r="E49" s="2237" t="s">
        <v>1282</v>
      </c>
      <c r="F49" s="3790" t="str">
        <f>IF(ISBLANK(F10),"",E43)</f>
        <v/>
      </c>
      <c r="G49" s="3791"/>
      <c r="H49" s="2240" t="s">
        <v>1559</v>
      </c>
      <c r="I49" s="2232" t="s">
        <v>1343</v>
      </c>
      <c r="J49" s="3790" t="str">
        <f>IF(ISBLANK(F10),"",P32)</f>
        <v/>
      </c>
      <c r="K49" s="3791"/>
      <c r="L49" s="2232" t="s">
        <v>1560</v>
      </c>
      <c r="M49" s="3790" t="str">
        <f>IF(ISBLANK(F10),"",(C49*F49)*J49)</f>
        <v/>
      </c>
      <c r="N49" s="3791"/>
      <c r="O49" s="2228" t="s">
        <v>609</v>
      </c>
      <c r="U49" s="2227"/>
    </row>
    <row r="50" spans="1:21" ht="6" customHeight="1">
      <c r="A50" s="2226"/>
      <c r="U50" s="2227"/>
    </row>
    <row r="51" spans="1:21" ht="19.5" customHeight="1">
      <c r="A51" s="2226" t="s">
        <v>1480</v>
      </c>
      <c r="B51" s="2228" t="s">
        <v>2178</v>
      </c>
      <c r="U51" s="2227"/>
    </row>
    <row r="52" spans="1:21" ht="19.5" customHeight="1">
      <c r="A52" s="2226"/>
      <c r="C52" s="3788" t="str">
        <f>M49</f>
        <v/>
      </c>
      <c r="D52" s="3789"/>
      <c r="E52" s="2318" t="s">
        <v>1558</v>
      </c>
      <c r="F52" s="3788">
        <f>E43</f>
        <v>0</v>
      </c>
      <c r="G52" s="3789"/>
      <c r="H52" s="2317" t="s">
        <v>2179</v>
      </c>
      <c r="I52" s="3788" t="str">
        <f>IF(ISBLANK(E37), " ",C52/F52)</f>
        <v xml:space="preserve"> </v>
      </c>
      <c r="J52" s="3789"/>
      <c r="K52" s="2228" t="s">
        <v>2180</v>
      </c>
      <c r="U52" s="2227"/>
    </row>
    <row r="53" spans="1:21" ht="6" customHeight="1">
      <c r="A53" s="2226"/>
      <c r="U53" s="2227"/>
    </row>
    <row r="54" spans="1:21" ht="19.5" customHeight="1">
      <c r="A54" s="2226" t="s">
        <v>1483</v>
      </c>
      <c r="B54" s="2228" t="s">
        <v>2181</v>
      </c>
      <c r="L54" s="2319">
        <v>2</v>
      </c>
      <c r="M54" s="2232" t="s">
        <v>1343</v>
      </c>
      <c r="N54" s="3790">
        <f>F45</f>
        <v>0</v>
      </c>
      <c r="O54" s="3791"/>
      <c r="P54" s="2237" t="s">
        <v>1240</v>
      </c>
      <c r="Q54" s="3790" t="str">
        <f>IF(ISBLANK(F10),"",L54*N54)</f>
        <v/>
      </c>
      <c r="R54" s="3791"/>
      <c r="S54" s="2228" t="s">
        <v>1562</v>
      </c>
      <c r="U54" s="2227"/>
    </row>
    <row r="55" spans="1:21" ht="6" customHeight="1">
      <c r="A55" s="2226"/>
      <c r="U55" s="2227"/>
    </row>
    <row r="56" spans="1:21" ht="12" customHeight="1">
      <c r="A56" s="2226"/>
      <c r="U56" s="2227"/>
    </row>
    <row r="57" spans="1:21" ht="12" customHeight="1">
      <c r="A57" s="2226"/>
      <c r="U57" s="2227"/>
    </row>
    <row r="58" spans="1:21" ht="12" customHeight="1">
      <c r="A58" s="2226"/>
      <c r="U58" s="2227"/>
    </row>
    <row r="59" spans="1:21" ht="12" customHeight="1">
      <c r="A59" s="2226"/>
      <c r="U59" s="2227"/>
    </row>
    <row r="60" spans="1:21" ht="12" customHeight="1">
      <c r="A60" s="2226"/>
      <c r="U60" s="2227"/>
    </row>
    <row r="61" spans="1:21" ht="12" customHeight="1">
      <c r="A61" s="2226"/>
      <c r="U61" s="2227"/>
    </row>
    <row r="62" spans="1:21" ht="12" customHeight="1">
      <c r="A62" s="2226"/>
      <c r="U62" s="2227"/>
    </row>
    <row r="63" spans="1:21" ht="12" customHeight="1">
      <c r="A63" s="2226"/>
      <c r="U63" s="2227"/>
    </row>
    <row r="64" spans="1:21" ht="12" customHeight="1">
      <c r="A64" s="2226"/>
      <c r="U64" s="2227"/>
    </row>
    <row r="65" spans="1:21" ht="12" customHeight="1">
      <c r="A65" s="2226"/>
      <c r="U65" s="2227"/>
    </row>
    <row r="66" spans="1:21" ht="12" customHeight="1">
      <c r="A66" s="2226"/>
      <c r="U66" s="2227"/>
    </row>
    <row r="67" spans="1:21" ht="12" customHeight="1">
      <c r="A67" s="2226"/>
      <c r="U67" s="2227"/>
    </row>
    <row r="68" spans="1:21" ht="12" customHeight="1">
      <c r="A68" s="2226"/>
      <c r="U68" s="2227"/>
    </row>
    <row r="69" spans="1:21" ht="12" customHeight="1">
      <c r="A69" s="2226"/>
      <c r="U69" s="2227"/>
    </row>
    <row r="70" spans="1:21" ht="12" customHeight="1">
      <c r="A70" s="2226"/>
      <c r="U70" s="2227"/>
    </row>
    <row r="71" spans="1:21" ht="12" customHeight="1">
      <c r="A71" s="2226"/>
      <c r="U71" s="2227"/>
    </row>
    <row r="72" spans="1:21" ht="12" customHeight="1">
      <c r="A72" s="2226"/>
      <c r="U72" s="2227"/>
    </row>
    <row r="73" spans="1:21" ht="12" customHeight="1">
      <c r="A73" s="2226"/>
      <c r="U73" s="2227"/>
    </row>
    <row r="74" spans="1:21" ht="12" customHeight="1">
      <c r="A74" s="2226"/>
      <c r="U74" s="2227"/>
    </row>
    <row r="75" spans="1:21" ht="12" customHeight="1">
      <c r="A75" s="2226"/>
      <c r="U75" s="2227"/>
    </row>
    <row r="76" spans="1:21" ht="12" customHeight="1">
      <c r="A76" s="2226"/>
      <c r="U76" s="2227"/>
    </row>
    <row r="77" spans="1:21" ht="12" customHeight="1">
      <c r="A77" s="2226"/>
      <c r="U77" s="2227"/>
    </row>
    <row r="78" spans="1:21" ht="12" customHeight="1">
      <c r="A78" s="2226"/>
      <c r="U78" s="2227"/>
    </row>
    <row r="79" spans="1:21" ht="6" customHeight="1">
      <c r="A79" s="2226"/>
      <c r="U79" s="2227"/>
    </row>
    <row r="80" spans="1:21" ht="15" customHeight="1">
      <c r="A80" s="2226"/>
      <c r="B80" s="2222" t="s">
        <v>1563</v>
      </c>
      <c r="M80" s="2222" t="s">
        <v>1564</v>
      </c>
      <c r="U80" s="2227"/>
    </row>
    <row r="81" spans="1:27" ht="14.45" customHeight="1">
      <c r="A81" s="2226"/>
      <c r="B81" s="3821" t="s">
        <v>1565</v>
      </c>
      <c r="C81" s="3821"/>
      <c r="D81" s="3821"/>
      <c r="E81" s="3821"/>
      <c r="F81" s="3821"/>
      <c r="G81" s="3821"/>
      <c r="H81" s="3821"/>
      <c r="I81" s="3821"/>
      <c r="J81" s="3821"/>
      <c r="K81" s="3821"/>
      <c r="L81" s="2243"/>
      <c r="M81" s="3821" t="s">
        <v>1566</v>
      </c>
      <c r="N81" s="3821"/>
      <c r="O81" s="3821"/>
      <c r="P81" s="3821"/>
      <c r="Q81" s="3821"/>
      <c r="R81" s="3821"/>
      <c r="S81" s="3821"/>
      <c r="T81" s="3821"/>
      <c r="U81" s="2244"/>
    </row>
    <row r="82" spans="1:27">
      <c r="A82" s="2226"/>
      <c r="B82" s="3821"/>
      <c r="C82" s="3821"/>
      <c r="D82" s="3821"/>
      <c r="E82" s="3821"/>
      <c r="F82" s="3821"/>
      <c r="G82" s="3821"/>
      <c r="H82" s="3821"/>
      <c r="I82" s="3821"/>
      <c r="J82" s="3821"/>
      <c r="K82" s="3821"/>
      <c r="L82" s="2243"/>
      <c r="M82" s="3821"/>
      <c r="N82" s="3821"/>
      <c r="O82" s="3821"/>
      <c r="P82" s="3821"/>
      <c r="Q82" s="3821"/>
      <c r="R82" s="3821"/>
      <c r="S82" s="3821"/>
      <c r="T82" s="3821"/>
      <c r="U82" s="2244"/>
    </row>
    <row r="83" spans="1:27" ht="6" customHeight="1">
      <c r="A83" s="2226"/>
      <c r="B83" s="2242"/>
      <c r="C83" s="2242"/>
      <c r="D83" s="2242"/>
      <c r="E83" s="2242"/>
      <c r="F83" s="2242"/>
      <c r="G83" s="2242"/>
      <c r="H83" s="2242"/>
      <c r="I83" s="2242"/>
      <c r="J83" s="2242"/>
      <c r="K83" s="2242"/>
      <c r="L83" s="2243"/>
      <c r="M83" s="2242"/>
      <c r="N83" s="2242"/>
      <c r="O83" s="2242"/>
      <c r="P83" s="2242"/>
      <c r="Q83" s="2242"/>
      <c r="R83" s="2242"/>
      <c r="S83" s="2242"/>
      <c r="T83" s="2242"/>
      <c r="U83" s="2245"/>
    </row>
    <row r="84" spans="1:27" ht="15" customHeight="1">
      <c r="A84" s="2226"/>
      <c r="B84" s="2246" t="s">
        <v>1567</v>
      </c>
      <c r="C84" s="2242"/>
      <c r="D84" s="2242"/>
      <c r="E84" s="2242"/>
      <c r="F84" s="2242"/>
      <c r="G84" s="2242"/>
      <c r="H84" s="2242"/>
      <c r="I84" s="2242"/>
      <c r="J84" s="2242"/>
      <c r="K84" s="2242"/>
      <c r="L84" s="2243"/>
      <c r="M84" s="2242"/>
      <c r="N84" s="2242"/>
      <c r="O84" s="2242"/>
      <c r="P84" s="2242"/>
      <c r="Q84" s="2242"/>
      <c r="R84" s="2242"/>
      <c r="S84" s="2242"/>
      <c r="T84" s="2242"/>
      <c r="U84" s="2245"/>
    </row>
    <row r="85" spans="1:27" ht="6" customHeight="1">
      <c r="A85" s="2247"/>
      <c r="B85" s="2248"/>
      <c r="C85" s="2248"/>
      <c r="D85" s="2248"/>
      <c r="E85" s="2248"/>
      <c r="F85" s="2248"/>
      <c r="G85" s="2248"/>
      <c r="H85" s="2248"/>
      <c r="I85" s="2248"/>
      <c r="J85" s="2248"/>
      <c r="K85" s="2248"/>
      <c r="L85" s="2248"/>
      <c r="M85" s="2248"/>
      <c r="N85" s="2248"/>
      <c r="O85" s="2248"/>
      <c r="P85" s="2248"/>
      <c r="Q85" s="2248"/>
      <c r="R85" s="2248"/>
      <c r="S85" s="2248"/>
      <c r="T85" s="2248"/>
      <c r="U85" s="2249"/>
    </row>
    <row r="86" spans="1:27" ht="15" customHeight="1">
      <c r="A86" s="3794" t="s">
        <v>1568</v>
      </c>
      <c r="B86" s="3795"/>
      <c r="C86" s="3795"/>
      <c r="D86" s="3795"/>
      <c r="E86" s="3795"/>
      <c r="F86" s="3795"/>
      <c r="G86" s="3795"/>
      <c r="H86" s="3795"/>
      <c r="I86" s="3795"/>
      <c r="J86" s="3795"/>
      <c r="K86" s="3795"/>
      <c r="L86" s="3795"/>
      <c r="M86" s="3795"/>
      <c r="N86" s="3795"/>
      <c r="O86" s="3795"/>
      <c r="P86" s="3795"/>
      <c r="Q86" s="3795"/>
      <c r="R86" s="3795"/>
      <c r="S86" s="3795"/>
      <c r="T86" s="3795"/>
      <c r="U86" s="3796"/>
    </row>
    <row r="87" spans="1:27" ht="6" customHeight="1">
      <c r="A87" s="2250"/>
      <c r="B87" s="2251"/>
      <c r="C87" s="2251"/>
      <c r="D87" s="2251"/>
      <c r="E87" s="2251"/>
      <c r="F87" s="2251"/>
      <c r="G87" s="2251"/>
      <c r="H87" s="2251"/>
      <c r="I87" s="2251"/>
      <c r="J87" s="2251"/>
      <c r="K87" s="2251"/>
      <c r="L87" s="2251"/>
      <c r="M87" s="2251"/>
      <c r="N87" s="2251"/>
      <c r="O87" s="2251"/>
      <c r="P87" s="2251"/>
      <c r="Q87" s="2251"/>
      <c r="R87" s="2251"/>
      <c r="S87" s="2251"/>
      <c r="T87" s="2251"/>
      <c r="U87" s="2252"/>
    </row>
    <row r="88" spans="1:27" ht="19.5" customHeight="1">
      <c r="A88" s="2226" t="s">
        <v>1011</v>
      </c>
      <c r="B88" s="2228" t="s">
        <v>1569</v>
      </c>
      <c r="E88" s="3810">
        <v>2</v>
      </c>
      <c r="F88" s="3811"/>
      <c r="G88" s="2228" t="s">
        <v>609</v>
      </c>
      <c r="I88" s="3822" t="s">
        <v>2182</v>
      </c>
      <c r="J88" s="3822"/>
      <c r="K88" s="3822"/>
      <c r="L88" s="3822"/>
      <c r="M88" s="3822"/>
      <c r="N88" s="3822"/>
      <c r="O88" s="3822"/>
      <c r="P88" s="3822"/>
      <c r="Q88" s="3822"/>
      <c r="R88" s="3822"/>
      <c r="S88" s="3822"/>
      <c r="T88" s="3822"/>
      <c r="U88" s="2227"/>
      <c r="X88" s="2253"/>
      <c r="Y88" s="2253"/>
      <c r="Z88" s="2253"/>
      <c r="AA88" s="2253"/>
    </row>
    <row r="89" spans="1:27" ht="6" customHeight="1">
      <c r="A89" s="2226"/>
      <c r="U89" s="2227"/>
      <c r="W89" s="2253"/>
      <c r="X89" s="2253"/>
      <c r="Y89" s="2253"/>
      <c r="Z89" s="2253"/>
      <c r="AA89" s="2253"/>
    </row>
    <row r="90" spans="1:27" ht="19.5" customHeight="1">
      <c r="A90" s="2226" t="s">
        <v>1019</v>
      </c>
      <c r="B90" s="2228" t="s">
        <v>848</v>
      </c>
      <c r="E90" s="3804"/>
      <c r="F90" s="3805"/>
      <c r="G90" s="2254" t="s">
        <v>609</v>
      </c>
      <c r="I90" s="2228" t="s">
        <v>1570</v>
      </c>
      <c r="M90" s="3819"/>
      <c r="N90" s="3820"/>
      <c r="O90" s="2228" t="s">
        <v>762</v>
      </c>
      <c r="U90" s="2227"/>
      <c r="W90" s="2253"/>
      <c r="X90" s="2253"/>
      <c r="Y90" s="2253"/>
      <c r="Z90" s="2253"/>
      <c r="AA90" s="2253"/>
    </row>
    <row r="91" spans="1:27" ht="6" customHeight="1">
      <c r="A91" s="2226"/>
      <c r="U91" s="2227"/>
    </row>
    <row r="92" spans="1:27" ht="19.5" customHeight="1">
      <c r="A92" s="2226"/>
      <c r="B92" s="2228" t="s">
        <v>1571</v>
      </c>
      <c r="M92" s="3790">
        <f>E90</f>
        <v>0</v>
      </c>
      <c r="N92" s="3791"/>
      <c r="O92" s="2241" t="s">
        <v>1572</v>
      </c>
      <c r="P92" s="3816"/>
      <c r="Q92" s="3817"/>
      <c r="R92" s="2241" t="s">
        <v>1573</v>
      </c>
      <c r="S92" s="3790" t="str">
        <f>IF(ISBLANK(E90)," ",M92*P92)</f>
        <v xml:space="preserve"> </v>
      </c>
      <c r="T92" s="3791"/>
      <c r="U92" s="2255" t="s">
        <v>1537</v>
      </c>
      <c r="W92" s="2222" t="s">
        <v>2183</v>
      </c>
    </row>
    <row r="93" spans="1:27" ht="6" customHeight="1">
      <c r="A93" s="2226"/>
      <c r="U93" s="2227"/>
    </row>
    <row r="94" spans="1:27" ht="19.5" customHeight="1">
      <c r="A94" s="2226" t="s">
        <v>1168</v>
      </c>
      <c r="B94" s="2228" t="s">
        <v>1574</v>
      </c>
      <c r="E94" s="3804"/>
      <c r="F94" s="3805"/>
      <c r="G94" s="2228" t="s">
        <v>609</v>
      </c>
      <c r="I94" s="2228" t="s">
        <v>1575</v>
      </c>
      <c r="M94" s="3819"/>
      <c r="N94" s="3820"/>
      <c r="O94" s="2228" t="s">
        <v>762</v>
      </c>
      <c r="U94" s="2227"/>
    </row>
    <row r="95" spans="1:27" ht="6" customHeight="1">
      <c r="A95" s="2226"/>
      <c r="U95" s="2227"/>
    </row>
    <row r="96" spans="1:27" ht="19.5" customHeight="1">
      <c r="A96" s="2226"/>
      <c r="B96" s="2228" t="s">
        <v>1576</v>
      </c>
      <c r="M96" s="3790">
        <f>E94</f>
        <v>0</v>
      </c>
      <c r="N96" s="3791"/>
      <c r="O96" s="2241" t="s">
        <v>1572</v>
      </c>
      <c r="P96" s="3816"/>
      <c r="Q96" s="3817"/>
      <c r="R96" s="2241" t="s">
        <v>1573</v>
      </c>
      <c r="S96" s="3802">
        <f>IF(ISBLANK(E88),"",M96*P96)</f>
        <v>0</v>
      </c>
      <c r="T96" s="3815"/>
      <c r="U96" s="2255" t="s">
        <v>1537</v>
      </c>
    </row>
    <row r="97" spans="1:21" ht="6" customHeight="1">
      <c r="A97" s="2226"/>
      <c r="U97" s="2227"/>
    </row>
    <row r="98" spans="1:21" ht="19.5" customHeight="1">
      <c r="A98" s="2226" t="s">
        <v>1172</v>
      </c>
      <c r="B98" s="2228" t="s">
        <v>1577</v>
      </c>
      <c r="L98" s="2256"/>
      <c r="M98" s="3790" t="str">
        <f>S92</f>
        <v xml:space="preserve"> </v>
      </c>
      <c r="N98" s="3791"/>
      <c r="O98" s="2232" t="s">
        <v>1578</v>
      </c>
      <c r="P98" s="3802">
        <f>S96</f>
        <v>0</v>
      </c>
      <c r="Q98" s="3815"/>
      <c r="R98" s="2232" t="s">
        <v>1579</v>
      </c>
      <c r="S98" s="3823" t="str">
        <f>IF(ISBLANK(E94)," ",(M98+P98))</f>
        <v xml:space="preserve"> </v>
      </c>
      <c r="T98" s="3824"/>
      <c r="U98" s="2256" t="s">
        <v>1537</v>
      </c>
    </row>
    <row r="99" spans="1:21" ht="6" customHeight="1">
      <c r="A99" s="2226"/>
      <c r="U99" s="2227"/>
    </row>
    <row r="100" spans="1:21" ht="19.5" customHeight="1">
      <c r="A100" s="2226" t="s">
        <v>1177</v>
      </c>
      <c r="B100" s="2228" t="s">
        <v>2184</v>
      </c>
      <c r="M100" s="3788" t="str">
        <f>IF(ISBLANK(E90)," ",I52)</f>
        <v xml:space="preserve"> </v>
      </c>
      <c r="N100" s="3789"/>
      <c r="O100" s="2241" t="s">
        <v>1552</v>
      </c>
      <c r="P100" s="3790">
        <f>E88</f>
        <v>2</v>
      </c>
      <c r="Q100" s="3791"/>
      <c r="R100" s="2241" t="s">
        <v>1279</v>
      </c>
      <c r="S100" s="3790" t="str">
        <f>IF(ISBLANK(E43),"",M100/P100)</f>
        <v/>
      </c>
      <c r="T100" s="3791"/>
      <c r="U100" s="2255" t="s">
        <v>1581</v>
      </c>
    </row>
    <row r="101" spans="1:21" ht="6" customHeight="1">
      <c r="A101" s="2226"/>
      <c r="U101" s="2227"/>
    </row>
    <row r="102" spans="1:21" s="2228" customFormat="1" ht="15" customHeight="1">
      <c r="A102" s="2254" t="s">
        <v>1177</v>
      </c>
      <c r="B102" s="2228" t="s">
        <v>1582</v>
      </c>
      <c r="U102" s="2255"/>
    </row>
    <row r="103" spans="1:21" s="2228" customFormat="1" ht="6" customHeight="1">
      <c r="A103" s="2254"/>
      <c r="U103" s="2255"/>
    </row>
    <row r="104" spans="1:21" s="2228" customFormat="1" ht="19.5" customHeight="1">
      <c r="A104" s="2254"/>
      <c r="B104" s="2257" t="s">
        <v>1557</v>
      </c>
      <c r="C104" s="3790" t="str">
        <f>S100</f>
        <v/>
      </c>
      <c r="D104" s="3791"/>
      <c r="E104" s="2241" t="s">
        <v>1343</v>
      </c>
      <c r="F104" s="3810">
        <v>0.61</v>
      </c>
      <c r="G104" s="3811"/>
      <c r="H104" s="2258" t="s">
        <v>1583</v>
      </c>
      <c r="I104" s="2232" t="s">
        <v>1558</v>
      </c>
      <c r="J104" s="2259">
        <v>60</v>
      </c>
      <c r="K104" s="2232" t="s">
        <v>1240</v>
      </c>
      <c r="L104" s="3823" t="str">
        <f>IF(ISBLANK(E43),"",(C104*F104)/60)</f>
        <v/>
      </c>
      <c r="M104" s="3824"/>
      <c r="N104" s="2258" t="s">
        <v>1584</v>
      </c>
      <c r="U104" s="2255"/>
    </row>
    <row r="105" spans="1:21" s="2228" customFormat="1" ht="6" customHeight="1">
      <c r="A105" s="2254"/>
      <c r="U105" s="2255"/>
    </row>
    <row r="106" spans="1:21" s="2228" customFormat="1" ht="19.5" customHeight="1">
      <c r="A106" s="2254" t="s">
        <v>1179</v>
      </c>
      <c r="B106" s="2228" t="s">
        <v>2185</v>
      </c>
      <c r="M106" s="3790" t="str">
        <f>M100</f>
        <v xml:space="preserve"> </v>
      </c>
      <c r="N106" s="3791"/>
      <c r="O106" s="2232" t="s">
        <v>1572</v>
      </c>
      <c r="P106" s="3810">
        <v>1.2E-2</v>
      </c>
      <c r="Q106" s="3811"/>
      <c r="R106" s="2232" t="s">
        <v>1240</v>
      </c>
      <c r="S106" s="3790" t="str">
        <f>IF(ISBLANK(E43),"",M106*P106)</f>
        <v/>
      </c>
      <c r="T106" s="3791"/>
      <c r="U106" s="2255" t="s">
        <v>1537</v>
      </c>
    </row>
    <row r="107" spans="1:21" s="2228" customFormat="1" ht="6" customHeight="1">
      <c r="A107" s="2254"/>
      <c r="B107" s="2228" t="s">
        <v>881</v>
      </c>
      <c r="U107" s="2255"/>
    </row>
    <row r="108" spans="1:21" s="2228" customFormat="1" ht="15" customHeight="1">
      <c r="A108" s="2254" t="s">
        <v>1181</v>
      </c>
      <c r="B108" s="2228" t="s">
        <v>1586</v>
      </c>
      <c r="U108" s="2255"/>
    </row>
    <row r="109" spans="1:21" s="2228" customFormat="1" ht="6" customHeight="1">
      <c r="A109" s="2254"/>
      <c r="U109" s="2255"/>
    </row>
    <row r="110" spans="1:21" s="2228" customFormat="1" ht="19.5" customHeight="1">
      <c r="A110" s="2254"/>
      <c r="B110" s="2257" t="s">
        <v>1557</v>
      </c>
      <c r="C110" s="3831">
        <v>4</v>
      </c>
      <c r="D110" s="3831"/>
      <c r="E110" s="2232" t="s">
        <v>1343</v>
      </c>
      <c r="F110" s="3790" t="str">
        <f>S106</f>
        <v/>
      </c>
      <c r="G110" s="3791"/>
      <c r="H110" s="2260" t="s">
        <v>1587</v>
      </c>
      <c r="I110" s="2232" t="s">
        <v>1588</v>
      </c>
      <c r="J110" s="3790" t="str">
        <f>S98</f>
        <v xml:space="preserve"> </v>
      </c>
      <c r="K110" s="3791"/>
      <c r="L110" s="2232" t="s">
        <v>1579</v>
      </c>
      <c r="M110" s="3823" t="str">
        <f>IF(ISBLANK(E43),"",(4*S106)+S98)</f>
        <v/>
      </c>
      <c r="N110" s="3824"/>
      <c r="O110" s="2228" t="s">
        <v>1537</v>
      </c>
      <c r="U110" s="2255"/>
    </row>
    <row r="111" spans="1:21" s="2228" customFormat="1" ht="6" customHeight="1">
      <c r="A111" s="2254"/>
      <c r="U111" s="2255"/>
    </row>
    <row r="112" spans="1:21" s="2228" customFormat="1" ht="15" customHeight="1">
      <c r="A112" s="2254" t="s">
        <v>1184</v>
      </c>
      <c r="B112" s="520" t="s">
        <v>2186</v>
      </c>
      <c r="U112" s="2255"/>
    </row>
    <row r="113" spans="1:24" s="2228" customFormat="1" ht="6" customHeight="1">
      <c r="A113" s="2254"/>
      <c r="U113" s="2255"/>
    </row>
    <row r="114" spans="1:24" s="2228" customFormat="1" ht="19.5" customHeight="1">
      <c r="A114" s="2254"/>
      <c r="B114" s="3790">
        <f>IF(ISBLANK(E88),"",F10/12)</f>
        <v>0</v>
      </c>
      <c r="C114" s="3791"/>
      <c r="D114" s="2232" t="s">
        <v>1389</v>
      </c>
      <c r="E114" s="3825">
        <v>8.3000000000000004E-2</v>
      </c>
      <c r="F114" s="3826"/>
      <c r="G114" s="2232" t="s">
        <v>783</v>
      </c>
      <c r="H114" s="3790" t="str">
        <f>M100</f>
        <v xml:space="preserve"> </v>
      </c>
      <c r="I114" s="3791"/>
      <c r="J114" s="2232" t="s">
        <v>1572</v>
      </c>
      <c r="K114" s="3827">
        <f>IF(ISBLANK(E88),"",F18)</f>
        <v>0</v>
      </c>
      <c r="L114" s="3828"/>
      <c r="M114" s="2232" t="s">
        <v>1343</v>
      </c>
      <c r="N114" s="2259">
        <v>7.5</v>
      </c>
      <c r="O114" s="2259" t="s">
        <v>987</v>
      </c>
      <c r="P114" s="3829" t="str">
        <f>S98</f>
        <v xml:space="preserve"> </v>
      </c>
      <c r="Q114" s="3830"/>
      <c r="R114" s="2232" t="s">
        <v>1240</v>
      </c>
      <c r="S114" s="3823" t="str">
        <f>IF(ISBLANK(E43),"",B114*E114*H114*K114*N114+P114)</f>
        <v/>
      </c>
      <c r="T114" s="3824"/>
      <c r="U114" s="2228" t="s">
        <v>1537</v>
      </c>
    </row>
    <row r="115" spans="1:24" s="2228" customFormat="1" ht="6" customHeight="1">
      <c r="A115" s="2254"/>
      <c r="U115" s="2255"/>
    </row>
    <row r="116" spans="1:24" s="2228" customFormat="1" ht="19.5" customHeight="1">
      <c r="A116" s="2254" t="s">
        <v>1186</v>
      </c>
      <c r="B116" s="2228" t="s">
        <v>1590</v>
      </c>
      <c r="O116" s="3832"/>
      <c r="P116" s="3833"/>
      <c r="Q116" s="2228" t="s">
        <v>1537</v>
      </c>
      <c r="U116" s="2255"/>
    </row>
    <row r="117" spans="1:24" s="2228" customFormat="1" ht="6" customHeight="1">
      <c r="A117" s="2254"/>
      <c r="U117" s="2255"/>
    </row>
    <row r="118" spans="1:24" s="2228" customFormat="1" ht="19.5" customHeight="1">
      <c r="A118" s="2254" t="s">
        <v>1224</v>
      </c>
      <c r="B118" s="2228" t="s">
        <v>1591</v>
      </c>
      <c r="L118" s="3790">
        <f>IF(ISBLANK(E88),"",O116)</f>
        <v>0</v>
      </c>
      <c r="M118" s="3791"/>
      <c r="N118" s="2241" t="s">
        <v>1558</v>
      </c>
      <c r="O118" s="3802" t="str">
        <f>L104</f>
        <v/>
      </c>
      <c r="P118" s="3815"/>
      <c r="Q118" s="2241" t="s">
        <v>1240</v>
      </c>
      <c r="R118" s="3802" t="str">
        <f>IF(ISBLANK(O116)," ",L118/O118)</f>
        <v xml:space="preserve"> </v>
      </c>
      <c r="S118" s="3815"/>
      <c r="T118" s="2228" t="s">
        <v>1592</v>
      </c>
      <c r="U118" s="2255"/>
    </row>
    <row r="119" spans="1:24" s="2228" customFormat="1" ht="6" customHeight="1">
      <c r="A119" s="2254"/>
      <c r="U119" s="2255"/>
    </row>
    <row r="120" spans="1:24" s="2228" customFormat="1" ht="15" customHeight="1">
      <c r="A120" s="2254" t="s">
        <v>1227</v>
      </c>
      <c r="B120" s="2228" t="s">
        <v>1593</v>
      </c>
      <c r="U120" s="2255"/>
    </row>
    <row r="121" spans="1:24" s="2228" customFormat="1" ht="6" customHeight="1">
      <c r="A121" s="2254"/>
      <c r="U121" s="2255"/>
    </row>
    <row r="122" spans="1:24" s="2228" customFormat="1" ht="19.5" customHeight="1">
      <c r="A122" s="2254"/>
      <c r="B122" s="3790" t="str">
        <f>IF(ISBLANK(E4)," ",E4)</f>
        <v xml:space="preserve"> </v>
      </c>
      <c r="C122" s="3791"/>
      <c r="D122" s="2232" t="s">
        <v>1890</v>
      </c>
      <c r="E122" s="3790">
        <f>IF(ISBLANK(E88),"",E43)</f>
        <v>0</v>
      </c>
      <c r="F122" s="3791"/>
      <c r="G122" s="2232" t="s">
        <v>2187</v>
      </c>
      <c r="H122" s="3790">
        <f>IF(ISBLANK(E88),"",O116)</f>
        <v>0</v>
      </c>
      <c r="I122" s="3791"/>
      <c r="J122" s="3813" t="s">
        <v>2188</v>
      </c>
      <c r="K122" s="3814"/>
      <c r="L122" s="3802" t="str">
        <f>IF(ISBLANK(E90),"",MAX(4,(B122/E122/H122)))</f>
        <v/>
      </c>
      <c r="M122" s="3815"/>
      <c r="N122" s="2228" t="s">
        <v>1595</v>
      </c>
      <c r="O122" s="2234" t="s">
        <v>1594</v>
      </c>
      <c r="U122" s="2255"/>
      <c r="W122" s="2261"/>
      <c r="X122" s="1655"/>
    </row>
    <row r="123" spans="1:24" s="2228" customFormat="1" ht="6" customHeight="1">
      <c r="A123" s="2254"/>
      <c r="U123" s="2255"/>
    </row>
    <row r="124" spans="1:24" s="2228" customFormat="1" ht="19.5" customHeight="1">
      <c r="A124" s="2254" t="s">
        <v>1480</v>
      </c>
      <c r="B124" s="2262" t="s">
        <v>2189</v>
      </c>
      <c r="J124" s="3788">
        <v>1440</v>
      </c>
      <c r="K124" s="3789"/>
      <c r="L124" s="2260" t="s">
        <v>2190</v>
      </c>
      <c r="M124" s="3834" t="str">
        <f>L122</f>
        <v/>
      </c>
      <c r="N124" s="3835"/>
      <c r="O124" s="2232" t="s">
        <v>2191</v>
      </c>
      <c r="P124" s="3834" t="str">
        <f>IF(ISBLANK(E90),"",J124/M124)</f>
        <v/>
      </c>
      <c r="Q124" s="3835"/>
      <c r="R124" s="2228" t="s">
        <v>1592</v>
      </c>
      <c r="U124" s="2255"/>
    </row>
    <row r="125" spans="1:24" s="2228" customFormat="1" ht="6" customHeight="1">
      <c r="A125" s="2254"/>
      <c r="U125" s="2255"/>
    </row>
    <row r="126" spans="1:24" s="2228" customFormat="1" ht="19.5" customHeight="1">
      <c r="A126" s="2254" t="s">
        <v>1483</v>
      </c>
      <c r="B126" s="2228" t="s">
        <v>1597</v>
      </c>
      <c r="I126" s="3802" t="str">
        <f>P124</f>
        <v/>
      </c>
      <c r="J126" s="3791"/>
      <c r="K126" s="2260" t="s">
        <v>2192</v>
      </c>
      <c r="L126" s="3802" t="str">
        <f>R118</f>
        <v xml:space="preserve"> </v>
      </c>
      <c r="M126" s="3791"/>
      <c r="N126" s="2260" t="s">
        <v>2193</v>
      </c>
      <c r="O126" s="3802" t="str">
        <f>IF(ISBLANK(E90),"",I126-L126)</f>
        <v/>
      </c>
      <c r="P126" s="3791"/>
      <c r="Q126" s="2228" t="s">
        <v>1592</v>
      </c>
      <c r="U126" s="2255"/>
    </row>
    <row r="127" spans="1:24" s="2228" customFormat="1" ht="6" customHeight="1">
      <c r="A127" s="2254"/>
      <c r="U127" s="2255"/>
    </row>
    <row r="128" spans="1:24" s="2228" customFormat="1" ht="19.5" customHeight="1">
      <c r="A128" s="2254" t="s">
        <v>1485</v>
      </c>
      <c r="B128" s="2228" t="s">
        <v>1640</v>
      </c>
      <c r="M128" s="3790" t="str">
        <f>Q54</f>
        <v/>
      </c>
      <c r="N128" s="3791"/>
      <c r="O128" s="3836" t="s">
        <v>2194</v>
      </c>
      <c r="P128" s="3837"/>
      <c r="Q128" s="2321">
        <f>1.6</f>
        <v>1.6</v>
      </c>
      <c r="R128" s="2259" t="s">
        <v>1971</v>
      </c>
      <c r="S128" s="3790" t="str">
        <f>IF(ISBLANK(E90),"",M128*Q128)</f>
        <v/>
      </c>
      <c r="T128" s="3791"/>
      <c r="U128" s="2256" t="s">
        <v>1537</v>
      </c>
    </row>
    <row r="129" spans="1:27" s="2228" customFormat="1" ht="6" customHeight="1">
      <c r="A129" s="2254"/>
      <c r="U129" s="2255"/>
    </row>
    <row r="130" spans="1:27" s="2228" customFormat="1" ht="15" customHeight="1">
      <c r="A130" s="2254" t="s">
        <v>1599</v>
      </c>
      <c r="B130" s="2228" t="s">
        <v>1600</v>
      </c>
      <c r="U130" s="2255"/>
    </row>
    <row r="131" spans="1:27" s="2228" customFormat="1" ht="6" customHeight="1">
      <c r="A131" s="2254"/>
      <c r="U131" s="2255"/>
    </row>
    <row r="132" spans="1:27" s="2228" customFormat="1" ht="19.5" customHeight="1">
      <c r="A132" s="2254"/>
      <c r="B132" s="3834" t="str">
        <f>L104</f>
        <v/>
      </c>
      <c r="C132" s="3835"/>
      <c r="D132" s="2232" t="s">
        <v>2195</v>
      </c>
      <c r="E132" s="3790" t="str">
        <f>S128</f>
        <v/>
      </c>
      <c r="F132" s="3791"/>
      <c r="G132" s="2232" t="s">
        <v>1971</v>
      </c>
      <c r="H132" s="3834" t="str">
        <f>IF(ISBLANK(E90),"",B132+E132)</f>
        <v/>
      </c>
      <c r="I132" s="3835"/>
      <c r="J132" s="2258" t="s">
        <v>1584</v>
      </c>
      <c r="U132" s="2255"/>
    </row>
    <row r="133" spans="1:27" s="2228" customFormat="1" ht="6" customHeight="1">
      <c r="A133" s="2254"/>
      <c r="U133" s="2255"/>
    </row>
    <row r="134" spans="1:27" s="2228" customFormat="1" ht="19.5" customHeight="1">
      <c r="A134" s="2254" t="s">
        <v>1601</v>
      </c>
      <c r="B134" s="2228" t="s">
        <v>1602</v>
      </c>
      <c r="K134" s="3802" t="str">
        <f>H132</f>
        <v/>
      </c>
      <c r="L134" s="3815"/>
      <c r="M134" s="2232" t="s">
        <v>2196</v>
      </c>
      <c r="N134" s="3802" t="str">
        <f>R118</f>
        <v xml:space="preserve"> </v>
      </c>
      <c r="O134" s="3791"/>
      <c r="P134" s="2232" t="s">
        <v>1945</v>
      </c>
      <c r="Q134" s="3806" t="str">
        <f>IF(ISBLANK(E90),"",K134*N134)</f>
        <v/>
      </c>
      <c r="R134" s="3807"/>
      <c r="S134" s="2228" t="s">
        <v>1537</v>
      </c>
      <c r="U134" s="2255"/>
    </row>
    <row r="135" spans="1:27" s="2228" customFormat="1" ht="6" customHeight="1">
      <c r="A135" s="2254"/>
      <c r="U135" s="2255"/>
    </row>
    <row r="136" spans="1:27" s="2228" customFormat="1" ht="15" customHeight="1">
      <c r="A136" s="2254" t="s">
        <v>1603</v>
      </c>
      <c r="B136" s="2228" t="s">
        <v>2197</v>
      </c>
      <c r="C136" s="1244"/>
      <c r="D136" s="1244"/>
      <c r="E136" s="1244"/>
      <c r="F136" s="1244"/>
      <c r="G136" s="1244"/>
      <c r="H136" s="1244"/>
      <c r="I136" s="1244"/>
      <c r="J136" s="1244"/>
      <c r="K136" s="1244"/>
      <c r="L136" s="2263"/>
      <c r="U136" s="2255"/>
    </row>
    <row r="137" spans="1:27" s="2228" customFormat="1" ht="6" customHeight="1">
      <c r="A137" s="2254"/>
      <c r="U137" s="2255"/>
    </row>
    <row r="138" spans="1:27" s="2228" customFormat="1" ht="19.5" customHeight="1">
      <c r="A138" s="2254"/>
      <c r="B138" s="3802">
        <f>IF(ISBLANK(E88),"",E43)</f>
        <v>0</v>
      </c>
      <c r="C138" s="3815"/>
      <c r="D138" s="2263" t="s">
        <v>1343</v>
      </c>
      <c r="E138" s="3802" t="str">
        <f>L122</f>
        <v/>
      </c>
      <c r="F138" s="3815"/>
      <c r="G138" s="2263" t="s">
        <v>1343</v>
      </c>
      <c r="H138" s="3802" t="str">
        <f>R118</f>
        <v xml:space="preserve"> </v>
      </c>
      <c r="I138" s="3815"/>
      <c r="J138" s="2322" t="s">
        <v>1945</v>
      </c>
      <c r="K138" s="3802" t="str">
        <f>IF(ISBLANK(E90),"",B138*E138*H138)</f>
        <v/>
      </c>
      <c r="L138" s="3815"/>
      <c r="M138" s="1244" t="s">
        <v>1592</v>
      </c>
      <c r="O138" s="1653" t="s">
        <v>2198</v>
      </c>
      <c r="U138" s="2255"/>
    </row>
    <row r="139" spans="1:27" ht="6" customHeight="1">
      <c r="A139" s="2226"/>
      <c r="U139" s="2227"/>
    </row>
    <row r="140" spans="1:27" ht="15" customHeight="1">
      <c r="A140" s="3794" t="s">
        <v>1605</v>
      </c>
      <c r="B140" s="3795"/>
      <c r="C140" s="3795"/>
      <c r="D140" s="3795"/>
      <c r="E140" s="3795"/>
      <c r="F140" s="3795"/>
      <c r="G140" s="3795"/>
      <c r="H140" s="3795"/>
      <c r="I140" s="3795"/>
      <c r="J140" s="3795"/>
      <c r="K140" s="3795"/>
      <c r="L140" s="3795"/>
      <c r="M140" s="3795"/>
      <c r="N140" s="3795"/>
      <c r="O140" s="3795"/>
      <c r="P140" s="3795"/>
      <c r="Q140" s="3795"/>
      <c r="R140" s="3795"/>
      <c r="S140" s="3795"/>
      <c r="T140" s="3795"/>
      <c r="U140" s="3796"/>
    </row>
    <row r="141" spans="1:27" ht="6" customHeight="1">
      <c r="A141" s="2250"/>
      <c r="B141" s="2251"/>
      <c r="C141" s="2251"/>
      <c r="D141" s="2251"/>
      <c r="E141" s="2251"/>
      <c r="F141" s="2251"/>
      <c r="G141" s="2251"/>
      <c r="H141" s="2251"/>
      <c r="I141" s="2251"/>
      <c r="J141" s="2251"/>
      <c r="K141" s="2251"/>
      <c r="L141" s="2251"/>
      <c r="M141" s="2251"/>
      <c r="N141" s="2251"/>
      <c r="O141" s="2251"/>
      <c r="P141" s="2251"/>
      <c r="Q141" s="2251"/>
      <c r="R141" s="2251"/>
      <c r="S141" s="2251"/>
      <c r="T141" s="2251"/>
      <c r="U141" s="2252"/>
    </row>
    <row r="142" spans="1:27" ht="19.5" customHeight="1">
      <c r="A142" s="2226" t="s">
        <v>1011</v>
      </c>
      <c r="B142" s="2228" t="s">
        <v>1569</v>
      </c>
      <c r="E142" s="3810">
        <v>2</v>
      </c>
      <c r="F142" s="3811"/>
      <c r="G142" s="2228" t="s">
        <v>609</v>
      </c>
      <c r="I142" s="3822" t="s">
        <v>2182</v>
      </c>
      <c r="J142" s="3822"/>
      <c r="K142" s="3822"/>
      <c r="L142" s="3822"/>
      <c r="M142" s="3822"/>
      <c r="N142" s="3822"/>
      <c r="O142" s="3822"/>
      <c r="P142" s="3822"/>
      <c r="Q142" s="3822"/>
      <c r="R142" s="3822"/>
      <c r="S142" s="3822"/>
      <c r="T142" s="3822"/>
      <c r="U142" s="2227"/>
      <c r="X142" s="2253"/>
      <c r="Y142" s="2253"/>
      <c r="Z142" s="2253"/>
      <c r="AA142" s="2253"/>
    </row>
    <row r="143" spans="1:27" ht="6" customHeight="1">
      <c r="A143" s="2226"/>
      <c r="U143" s="2227"/>
      <c r="W143" s="2253"/>
      <c r="X143" s="2253"/>
      <c r="Y143" s="2253"/>
      <c r="Z143" s="2253"/>
      <c r="AA143" s="2253"/>
    </row>
    <row r="144" spans="1:27" ht="19.5" customHeight="1">
      <c r="A144" s="2226" t="s">
        <v>1019</v>
      </c>
      <c r="B144" s="2228" t="s">
        <v>848</v>
      </c>
      <c r="E144" s="3804"/>
      <c r="F144" s="3805"/>
      <c r="G144" s="2254" t="s">
        <v>609</v>
      </c>
      <c r="I144" s="2228" t="s">
        <v>1570</v>
      </c>
      <c r="M144" s="3819"/>
      <c r="N144" s="3820"/>
      <c r="O144" s="2228" t="s">
        <v>762</v>
      </c>
      <c r="U144" s="2227"/>
      <c r="W144" s="2253"/>
      <c r="X144" s="2253"/>
      <c r="Y144" s="2253"/>
      <c r="Z144" s="2253"/>
      <c r="AA144" s="2253"/>
    </row>
    <row r="145" spans="1:23" ht="6" customHeight="1">
      <c r="A145" s="2226"/>
      <c r="U145" s="2227"/>
    </row>
    <row r="146" spans="1:23" ht="19.5" customHeight="1">
      <c r="A146" s="2226"/>
      <c r="B146" s="2228" t="s">
        <v>1571</v>
      </c>
      <c r="M146" s="3790">
        <f>E144</f>
        <v>0</v>
      </c>
      <c r="N146" s="3791"/>
      <c r="O146" s="2241" t="s">
        <v>1572</v>
      </c>
      <c r="P146" s="3816"/>
      <c r="Q146" s="3817"/>
      <c r="R146" s="2241" t="s">
        <v>1573</v>
      </c>
      <c r="S146" s="3790">
        <f>IF(ISBLANK(E142),"",M146*P146)</f>
        <v>0</v>
      </c>
      <c r="T146" s="3791"/>
      <c r="U146" s="2255" t="s">
        <v>1537</v>
      </c>
      <c r="W146" s="2222" t="s">
        <v>2183</v>
      </c>
    </row>
    <row r="147" spans="1:23" ht="6" customHeight="1">
      <c r="A147" s="2226"/>
      <c r="U147" s="2227"/>
    </row>
    <row r="148" spans="1:23" ht="19.5" customHeight="1">
      <c r="A148" s="2226" t="s">
        <v>1168</v>
      </c>
      <c r="B148" s="2228" t="s">
        <v>1574</v>
      </c>
      <c r="E148" s="3804"/>
      <c r="F148" s="3805"/>
      <c r="G148" s="2228" t="s">
        <v>609</v>
      </c>
      <c r="I148" s="2228" t="s">
        <v>1575</v>
      </c>
      <c r="M148" s="3819"/>
      <c r="N148" s="3820"/>
      <c r="O148" s="2228" t="s">
        <v>762</v>
      </c>
      <c r="U148" s="2227"/>
    </row>
    <row r="149" spans="1:23" ht="6" customHeight="1">
      <c r="A149" s="2226"/>
      <c r="U149" s="2227"/>
    </row>
    <row r="150" spans="1:23" ht="19.5" customHeight="1">
      <c r="A150" s="2226"/>
      <c r="B150" s="2228" t="s">
        <v>1576</v>
      </c>
      <c r="M150" s="3790">
        <f>E148</f>
        <v>0</v>
      </c>
      <c r="N150" s="3791"/>
      <c r="O150" s="2241" t="s">
        <v>1572</v>
      </c>
      <c r="P150" s="3816"/>
      <c r="Q150" s="3817"/>
      <c r="R150" s="2241" t="s">
        <v>1573</v>
      </c>
      <c r="S150" s="3802">
        <f>IF(ISBLANK(E142),"",M150*P150)</f>
        <v>0</v>
      </c>
      <c r="T150" s="3815"/>
      <c r="U150" s="2255" t="s">
        <v>1537</v>
      </c>
    </row>
    <row r="151" spans="1:23" ht="6" customHeight="1">
      <c r="A151" s="2226"/>
      <c r="U151" s="2227"/>
    </row>
    <row r="152" spans="1:23" ht="19.5" customHeight="1">
      <c r="A152" s="2226" t="s">
        <v>1172</v>
      </c>
      <c r="B152" s="2228" t="s">
        <v>1577</v>
      </c>
      <c r="L152" s="2256"/>
      <c r="M152" s="3790">
        <f>S146</f>
        <v>0</v>
      </c>
      <c r="N152" s="3791"/>
      <c r="O152" s="2232" t="s">
        <v>1578</v>
      </c>
      <c r="P152" s="3802">
        <f>S150</f>
        <v>0</v>
      </c>
      <c r="Q152" s="3815"/>
      <c r="R152" s="2232" t="s">
        <v>1579</v>
      </c>
      <c r="S152" s="3823">
        <f>IF(ISBLANK(E142),"",M152+P152)</f>
        <v>0</v>
      </c>
      <c r="T152" s="3824"/>
      <c r="U152" s="2256" t="s">
        <v>1537</v>
      </c>
    </row>
    <row r="153" spans="1:23" ht="6" customHeight="1">
      <c r="A153" s="2226"/>
      <c r="U153" s="2227"/>
    </row>
    <row r="154" spans="1:23" ht="19.5" customHeight="1">
      <c r="A154" s="2226" t="s">
        <v>1177</v>
      </c>
      <c r="B154" s="2228" t="s">
        <v>1580</v>
      </c>
      <c r="M154" s="3790" t="str">
        <f>IF(ISBLANK(E90)," ",I52)</f>
        <v xml:space="preserve"> </v>
      </c>
      <c r="N154" s="3791"/>
      <c r="O154" s="2241" t="s">
        <v>1552</v>
      </c>
      <c r="P154" s="3790">
        <v>2</v>
      </c>
      <c r="Q154" s="3791"/>
      <c r="R154" s="2241" t="s">
        <v>1279</v>
      </c>
      <c r="S154" s="3790" t="str">
        <f>IF(ISBLANK(E144),"",M154/P154)</f>
        <v/>
      </c>
      <c r="T154" s="3791"/>
      <c r="U154" s="2255" t="s">
        <v>1581</v>
      </c>
    </row>
    <row r="155" spans="1:23" ht="6" customHeight="1">
      <c r="A155" s="2226"/>
      <c r="U155" s="2227"/>
    </row>
    <row r="156" spans="1:23" s="2228" customFormat="1" ht="15" customHeight="1">
      <c r="A156" s="2254" t="s">
        <v>1177</v>
      </c>
      <c r="B156" s="2228" t="s">
        <v>1582</v>
      </c>
      <c r="U156" s="2255"/>
    </row>
    <row r="157" spans="1:23" s="2228" customFormat="1" ht="6" customHeight="1">
      <c r="A157" s="2254"/>
      <c r="U157" s="2255"/>
    </row>
    <row r="158" spans="1:23" s="2228" customFormat="1" ht="19.5" customHeight="1">
      <c r="A158" s="2254"/>
      <c r="B158" s="2257" t="s">
        <v>1557</v>
      </c>
      <c r="C158" s="3790" t="str">
        <f>S154</f>
        <v/>
      </c>
      <c r="D158" s="3791"/>
      <c r="E158" s="2241" t="s">
        <v>1343</v>
      </c>
      <c r="F158" s="3790">
        <v>0.61</v>
      </c>
      <c r="G158" s="3791"/>
      <c r="H158" s="2258" t="s">
        <v>1583</v>
      </c>
      <c r="I158" s="2232" t="s">
        <v>1558</v>
      </c>
      <c r="J158" s="2259">
        <v>60</v>
      </c>
      <c r="K158" s="2232" t="s">
        <v>1240</v>
      </c>
      <c r="L158" s="3823" t="str">
        <f>IF(ISBLANK(E144),"",(C158*F158)/60)</f>
        <v/>
      </c>
      <c r="M158" s="3824"/>
      <c r="N158" s="2258" t="s">
        <v>1584</v>
      </c>
      <c r="U158" s="2255"/>
    </row>
    <row r="159" spans="1:23" s="2228" customFormat="1" ht="6" customHeight="1">
      <c r="A159" s="2254"/>
      <c r="U159" s="2255"/>
    </row>
    <row r="160" spans="1:23" s="2228" customFormat="1" ht="19.5" customHeight="1">
      <c r="A160" s="2254" t="s">
        <v>1179</v>
      </c>
      <c r="B160" s="2228" t="s">
        <v>1585</v>
      </c>
      <c r="M160" s="3790" t="str">
        <f>M106</f>
        <v xml:space="preserve"> </v>
      </c>
      <c r="N160" s="3791"/>
      <c r="O160" s="2232" t="s">
        <v>1572</v>
      </c>
      <c r="P160" s="3790">
        <v>1.2E-2</v>
      </c>
      <c r="Q160" s="3791"/>
      <c r="R160" s="2232" t="s">
        <v>1240</v>
      </c>
      <c r="S160" s="3790" t="str">
        <f>IF(ISBLANK(E144),"",M160*P160)</f>
        <v/>
      </c>
      <c r="T160" s="3791"/>
      <c r="U160" s="2255" t="s">
        <v>1537</v>
      </c>
    </row>
    <row r="161" spans="1:24" s="2228" customFormat="1" ht="6" customHeight="1">
      <c r="A161" s="2254"/>
      <c r="U161" s="2255"/>
    </row>
    <row r="162" spans="1:24" s="2228" customFormat="1" ht="15" customHeight="1">
      <c r="A162" s="2254" t="s">
        <v>1181</v>
      </c>
      <c r="B162" s="2228" t="s">
        <v>1586</v>
      </c>
      <c r="U162" s="2255"/>
    </row>
    <row r="163" spans="1:24" s="2228" customFormat="1" ht="6" customHeight="1">
      <c r="A163" s="2254"/>
      <c r="U163" s="2255"/>
    </row>
    <row r="164" spans="1:24" s="2228" customFormat="1" ht="19.5" customHeight="1">
      <c r="A164" s="2254"/>
      <c r="B164" s="2257" t="s">
        <v>1557</v>
      </c>
      <c r="C164" s="3831">
        <v>4</v>
      </c>
      <c r="D164" s="3831"/>
      <c r="E164" s="2232" t="s">
        <v>1343</v>
      </c>
      <c r="F164" s="3790" t="str">
        <f>S160</f>
        <v/>
      </c>
      <c r="G164" s="3791"/>
      <c r="H164" s="2260" t="s">
        <v>1587</v>
      </c>
      <c r="I164" s="2232" t="s">
        <v>1588</v>
      </c>
      <c r="J164" s="3790">
        <f>S152</f>
        <v>0</v>
      </c>
      <c r="K164" s="3791"/>
      <c r="L164" s="2232" t="s">
        <v>1579</v>
      </c>
      <c r="M164" s="3823" t="str">
        <f>IF(ISBLANK(E144),"",(4*S160)+S152)</f>
        <v/>
      </c>
      <c r="N164" s="3824"/>
      <c r="O164" s="2228" t="s">
        <v>1537</v>
      </c>
      <c r="U164" s="2255"/>
    </row>
    <row r="165" spans="1:24" s="2228" customFormat="1" ht="6" customHeight="1">
      <c r="A165" s="2254"/>
      <c r="U165" s="2255"/>
    </row>
    <row r="166" spans="1:24" s="2228" customFormat="1" ht="15" customHeight="1">
      <c r="A166" s="2254" t="s">
        <v>1184</v>
      </c>
      <c r="B166" s="520" t="s">
        <v>2199</v>
      </c>
      <c r="U166" s="2255"/>
    </row>
    <row r="167" spans="1:24" s="2228" customFormat="1" ht="6" customHeight="1">
      <c r="A167" s="2254"/>
      <c r="U167" s="2255"/>
    </row>
    <row r="168" spans="1:24" s="2228" customFormat="1" ht="19.5" customHeight="1">
      <c r="A168" s="2254"/>
      <c r="B168" s="3790">
        <f>IF(ISBLANK(E88),"",F10/12)</f>
        <v>0</v>
      </c>
      <c r="C168" s="3791"/>
      <c r="D168" s="2232" t="s">
        <v>1389</v>
      </c>
      <c r="E168" s="3825">
        <v>8.3000000000000004E-2</v>
      </c>
      <c r="F168" s="3826"/>
      <c r="G168" s="2232" t="s">
        <v>1552</v>
      </c>
      <c r="H168" s="3790" t="str">
        <f>M106</f>
        <v xml:space="preserve"> </v>
      </c>
      <c r="I168" s="3791"/>
      <c r="J168" s="2232" t="s">
        <v>1572</v>
      </c>
      <c r="K168" s="3827">
        <f>IF(ISBLANK(E142),"",F18)</f>
        <v>0</v>
      </c>
      <c r="L168" s="3828"/>
      <c r="M168" s="2232" t="s">
        <v>1343</v>
      </c>
      <c r="N168" s="2259">
        <v>7.5</v>
      </c>
      <c r="O168" s="2259" t="s">
        <v>987</v>
      </c>
      <c r="P168" s="3829">
        <f>S152</f>
        <v>0</v>
      </c>
      <c r="Q168" s="3830"/>
      <c r="R168" s="2232" t="s">
        <v>1240</v>
      </c>
      <c r="S168" s="3823" t="str">
        <f>IF(ISBLANK(E144),"",B168*E168*H168*K168*N168+P168)</f>
        <v/>
      </c>
      <c r="T168" s="3824"/>
      <c r="U168" s="2228" t="s">
        <v>1537</v>
      </c>
    </row>
    <row r="169" spans="1:24" s="2228" customFormat="1" ht="6" customHeight="1">
      <c r="A169" s="2254"/>
      <c r="U169" s="2255"/>
    </row>
    <row r="170" spans="1:24" s="2228" customFormat="1" ht="19.5" customHeight="1">
      <c r="A170" s="2254" t="s">
        <v>1186</v>
      </c>
      <c r="B170" s="2228" t="s">
        <v>1590</v>
      </c>
      <c r="O170" s="3832"/>
      <c r="P170" s="3833"/>
      <c r="Q170" s="2228" t="s">
        <v>1537</v>
      </c>
      <c r="U170" s="2255"/>
    </row>
    <row r="171" spans="1:24" s="2228" customFormat="1" ht="6" customHeight="1">
      <c r="A171" s="2254"/>
      <c r="U171" s="2255"/>
    </row>
    <row r="172" spans="1:24" s="2228" customFormat="1" ht="19.5" customHeight="1">
      <c r="A172" s="2254" t="s">
        <v>1224</v>
      </c>
      <c r="B172" s="2228" t="s">
        <v>1591</v>
      </c>
      <c r="L172" s="3790">
        <f>IF(ISBLANK(E142),"",O170)</f>
        <v>0</v>
      </c>
      <c r="M172" s="3791"/>
      <c r="N172" s="2241" t="s">
        <v>1558</v>
      </c>
      <c r="O172" s="3802" t="str">
        <f>L158</f>
        <v/>
      </c>
      <c r="P172" s="3815"/>
      <c r="Q172" s="2241" t="s">
        <v>1240</v>
      </c>
      <c r="R172" s="3802" t="str">
        <f>IF(ISBLANK(E144),"",L172/O172)</f>
        <v/>
      </c>
      <c r="S172" s="3815"/>
      <c r="T172" s="2228" t="s">
        <v>1592</v>
      </c>
      <c r="U172" s="2255"/>
    </row>
    <row r="173" spans="1:24" s="2228" customFormat="1" ht="6" customHeight="1">
      <c r="A173" s="2254"/>
      <c r="U173" s="2255"/>
    </row>
    <row r="174" spans="1:24" s="2228" customFormat="1" ht="15" customHeight="1">
      <c r="A174" s="2254" t="s">
        <v>1227</v>
      </c>
      <c r="B174" s="2228" t="s">
        <v>1593</v>
      </c>
      <c r="U174" s="2255"/>
    </row>
    <row r="175" spans="1:24" s="2228" customFormat="1" ht="6" customHeight="1">
      <c r="A175" s="2254"/>
      <c r="U175" s="2255"/>
    </row>
    <row r="176" spans="1:24" s="2228" customFormat="1" ht="19.5" customHeight="1">
      <c r="A176" s="2254"/>
      <c r="B176" s="3790" t="str">
        <f>IF(ISBLANK(E4)," ",E4)</f>
        <v xml:space="preserve"> </v>
      </c>
      <c r="C176" s="3791"/>
      <c r="D176" s="2232" t="s">
        <v>1890</v>
      </c>
      <c r="E176" s="3790">
        <f>IF(ISBLANK(E88),"",E43)</f>
        <v>0</v>
      </c>
      <c r="F176" s="3791"/>
      <c r="G176" s="2232" t="s">
        <v>2187</v>
      </c>
      <c r="H176" s="3790">
        <f>IF(ISBLANK(E142),"",O170)</f>
        <v>0</v>
      </c>
      <c r="I176" s="3791"/>
      <c r="J176" s="3813" t="s">
        <v>2188</v>
      </c>
      <c r="K176" s="3814"/>
      <c r="L176" s="3802" t="str">
        <f>IF(ISBLANK(E144),"",MAX(4,(B176/E176/H176)))</f>
        <v/>
      </c>
      <c r="M176" s="3815"/>
      <c r="N176" s="2228" t="s">
        <v>1595</v>
      </c>
      <c r="O176" s="2234" t="s">
        <v>2200</v>
      </c>
      <c r="U176" s="2255"/>
      <c r="W176" s="2261" t="s">
        <v>2201</v>
      </c>
      <c r="X176" s="1655"/>
    </row>
    <row r="177" spans="1:21" s="2228" customFormat="1" ht="6" customHeight="1">
      <c r="A177" s="2254"/>
      <c r="U177" s="2255"/>
    </row>
    <row r="178" spans="1:21" s="2228" customFormat="1" ht="19.5" customHeight="1">
      <c r="A178" s="2254" t="s">
        <v>1480</v>
      </c>
      <c r="B178" s="2262" t="s">
        <v>2189</v>
      </c>
      <c r="J178" s="2264">
        <v>1440</v>
      </c>
      <c r="K178" s="2232" t="s">
        <v>1558</v>
      </c>
      <c r="L178" s="3834" t="str">
        <f>L176</f>
        <v/>
      </c>
      <c r="M178" s="3835"/>
      <c r="N178" s="2232" t="s">
        <v>1240</v>
      </c>
      <c r="O178" s="3834" t="str">
        <f>IF(ISBLANK(E144),"",J178/L178)</f>
        <v/>
      </c>
      <c r="P178" s="3835"/>
      <c r="Q178" s="2228" t="s">
        <v>1592</v>
      </c>
    </row>
    <row r="179" spans="1:21" s="2228" customFormat="1" ht="6" customHeight="1">
      <c r="A179" s="2254"/>
      <c r="U179" s="2255"/>
    </row>
    <row r="180" spans="1:21" s="2228" customFormat="1" ht="19.5" customHeight="1">
      <c r="A180" s="2254" t="s">
        <v>1483</v>
      </c>
      <c r="B180" s="2228" t="s">
        <v>1597</v>
      </c>
      <c r="I180" s="3802" t="str">
        <f>O178</f>
        <v/>
      </c>
      <c r="J180" s="3791"/>
      <c r="K180" s="2232" t="s">
        <v>988</v>
      </c>
      <c r="L180" s="3802" t="str">
        <f>R172</f>
        <v/>
      </c>
      <c r="M180" s="3791"/>
      <c r="N180" s="2232" t="s">
        <v>1240</v>
      </c>
      <c r="O180" s="3802" t="str">
        <f>IF(ISBLANK(E144),"",I180-L180)</f>
        <v/>
      </c>
      <c r="P180" s="3791"/>
      <c r="Q180" s="2228" t="s">
        <v>1592</v>
      </c>
      <c r="U180" s="2255"/>
    </row>
    <row r="181" spans="1:21" s="2228" customFormat="1" ht="6" customHeight="1">
      <c r="A181" s="2254"/>
      <c r="U181" s="2255"/>
    </row>
    <row r="182" spans="1:21" s="2228" customFormat="1" ht="19.5" customHeight="1">
      <c r="A182" s="2254" t="s">
        <v>1485</v>
      </c>
      <c r="B182" s="2228" t="s">
        <v>1598</v>
      </c>
      <c r="K182" s="3790">
        <f>Q108</f>
        <v>0</v>
      </c>
      <c r="L182" s="3791"/>
      <c r="M182" s="2259" t="s">
        <v>1343</v>
      </c>
      <c r="N182" s="2265">
        <f>1.6</f>
        <v>1.6</v>
      </c>
      <c r="O182" s="2259" t="s">
        <v>1240</v>
      </c>
      <c r="P182" s="3790" t="str">
        <f>IF(ISBLANK(E144),"",K182*N182)</f>
        <v/>
      </c>
      <c r="Q182" s="3791"/>
      <c r="R182" s="2258" t="s">
        <v>1537</v>
      </c>
    </row>
    <row r="183" spans="1:21" s="2228" customFormat="1" ht="6" customHeight="1">
      <c r="A183" s="2254"/>
      <c r="U183" s="2255"/>
    </row>
    <row r="184" spans="1:21" s="2228" customFormat="1" ht="15" customHeight="1">
      <c r="A184" s="2254" t="s">
        <v>1599</v>
      </c>
      <c r="B184" s="2228" t="s">
        <v>1600</v>
      </c>
      <c r="U184" s="2255"/>
    </row>
    <row r="185" spans="1:21" s="2228" customFormat="1" ht="6" customHeight="1">
      <c r="A185" s="2254"/>
      <c r="U185" s="2255"/>
    </row>
    <row r="186" spans="1:21" s="2228" customFormat="1" ht="19.5" customHeight="1">
      <c r="A186" s="2254"/>
      <c r="B186" s="3838" t="str">
        <f>L158</f>
        <v/>
      </c>
      <c r="C186" s="3839"/>
      <c r="D186" s="2232" t="s">
        <v>987</v>
      </c>
      <c r="E186" s="3790" t="str">
        <f>P182</f>
        <v/>
      </c>
      <c r="F186" s="3791"/>
      <c r="G186" s="2232" t="s">
        <v>1240</v>
      </c>
      <c r="H186" s="3838" t="str">
        <f>IF(ISBLANK(E144),"",B186+E186)</f>
        <v/>
      </c>
      <c r="I186" s="3839"/>
      <c r="J186" s="2258" t="s">
        <v>1584</v>
      </c>
      <c r="U186" s="2255"/>
    </row>
    <row r="187" spans="1:21" s="2228" customFormat="1" ht="6" customHeight="1">
      <c r="A187" s="2254"/>
      <c r="U187" s="2255"/>
    </row>
    <row r="188" spans="1:21" s="2228" customFormat="1" ht="19.5" customHeight="1">
      <c r="A188" s="2254" t="s">
        <v>1601</v>
      </c>
      <c r="B188" s="2262" t="s">
        <v>1602</v>
      </c>
      <c r="I188" s="3790" t="str">
        <f>H186</f>
        <v/>
      </c>
      <c r="J188" s="3791"/>
      <c r="K188" s="2232" t="s">
        <v>1343</v>
      </c>
      <c r="L188" s="3802" t="str">
        <f>R172</f>
        <v/>
      </c>
      <c r="M188" s="3791"/>
      <c r="N188" s="2232" t="s">
        <v>1240</v>
      </c>
      <c r="O188" s="3806" t="str">
        <f>IF(ISBLANK(E144),"",I188*L188)</f>
        <v/>
      </c>
      <c r="P188" s="3807"/>
      <c r="Q188" s="2228" t="s">
        <v>1537</v>
      </c>
      <c r="U188" s="2255"/>
    </row>
    <row r="189" spans="1:21" s="2228" customFormat="1" ht="6" customHeight="1">
      <c r="A189" s="2254"/>
      <c r="U189" s="2255"/>
    </row>
    <row r="190" spans="1:21" s="2228" customFormat="1" ht="15" customHeight="1">
      <c r="A190" s="2254" t="s">
        <v>1603</v>
      </c>
      <c r="B190" s="2228" t="s">
        <v>1604</v>
      </c>
      <c r="C190" s="1244"/>
      <c r="D190" s="1244"/>
      <c r="E190" s="1244"/>
      <c r="F190" s="1244"/>
      <c r="G190" s="1244"/>
      <c r="H190" s="1244"/>
      <c r="I190" s="1244"/>
      <c r="J190" s="1244"/>
      <c r="K190" s="1244"/>
      <c r="L190" s="2263"/>
      <c r="U190" s="2255"/>
    </row>
    <row r="191" spans="1:21" s="2228" customFormat="1" ht="6" customHeight="1">
      <c r="A191" s="2254"/>
      <c r="U191" s="2255"/>
    </row>
    <row r="192" spans="1:21" s="2228" customFormat="1" ht="19.5" customHeight="1">
      <c r="A192" s="2254"/>
      <c r="B192" s="3802">
        <f>IF(ISBLANK(E88),"",E43)</f>
        <v>0</v>
      </c>
      <c r="C192" s="3815"/>
      <c r="D192" s="2263" t="s">
        <v>1343</v>
      </c>
      <c r="E192" s="3802" t="str">
        <f>L176</f>
        <v/>
      </c>
      <c r="F192" s="3815"/>
      <c r="G192" s="2263" t="s">
        <v>1343</v>
      </c>
      <c r="H192" s="3802" t="str">
        <f>R172</f>
        <v/>
      </c>
      <c r="I192" s="3815"/>
      <c r="J192" s="2263" t="s">
        <v>1240</v>
      </c>
      <c r="K192" s="3802" t="str">
        <f>IF(ISBLANK(E144),"",B192*E192*H192)</f>
        <v/>
      </c>
      <c r="L192" s="3815"/>
      <c r="M192" s="1244" t="s">
        <v>1592</v>
      </c>
      <c r="O192" s="1653" t="s">
        <v>2198</v>
      </c>
      <c r="U192" s="2255"/>
    </row>
    <row r="193" spans="1:27" ht="6" customHeight="1">
      <c r="A193" s="2226"/>
      <c r="U193" s="2227"/>
    </row>
    <row r="194" spans="1:27" ht="15" customHeight="1">
      <c r="A194" s="3794" t="s">
        <v>1620</v>
      </c>
      <c r="B194" s="3795"/>
      <c r="C194" s="3795"/>
      <c r="D194" s="3795"/>
      <c r="E194" s="3795"/>
      <c r="F194" s="3795"/>
      <c r="G194" s="3795"/>
      <c r="H194" s="3795"/>
      <c r="I194" s="3795"/>
      <c r="J194" s="3795"/>
      <c r="K194" s="3795"/>
      <c r="L194" s="3795"/>
      <c r="M194" s="3795"/>
      <c r="N194" s="3795"/>
      <c r="O194" s="3795"/>
      <c r="P194" s="3795"/>
      <c r="Q194" s="3795"/>
      <c r="R194" s="3795"/>
      <c r="S194" s="3795"/>
      <c r="T194" s="3795"/>
      <c r="U194" s="3796"/>
    </row>
    <row r="195" spans="1:27" ht="6" customHeight="1">
      <c r="A195" s="2250"/>
      <c r="B195" s="2251"/>
      <c r="C195" s="2251"/>
      <c r="D195" s="2251"/>
      <c r="E195" s="2251"/>
      <c r="F195" s="2251"/>
      <c r="G195" s="2251"/>
      <c r="H195" s="2251"/>
      <c r="I195" s="2251"/>
      <c r="J195" s="2251"/>
      <c r="K195" s="2251"/>
      <c r="L195" s="2251"/>
      <c r="M195" s="2251"/>
      <c r="N195" s="2251"/>
      <c r="O195" s="2251"/>
      <c r="P195" s="2251"/>
      <c r="Q195" s="2251"/>
      <c r="R195" s="2251"/>
      <c r="S195" s="2251"/>
      <c r="T195" s="2251"/>
      <c r="U195" s="2252"/>
    </row>
    <row r="196" spans="1:27" ht="19.5" customHeight="1">
      <c r="A196" s="2226" t="s">
        <v>1011</v>
      </c>
      <c r="B196" s="2228" t="s">
        <v>1569</v>
      </c>
      <c r="E196" s="3810">
        <v>2</v>
      </c>
      <c r="F196" s="3811"/>
      <c r="G196" s="2228" t="s">
        <v>609</v>
      </c>
      <c r="I196" s="3822" t="s">
        <v>2182</v>
      </c>
      <c r="J196" s="3822"/>
      <c r="K196" s="3822"/>
      <c r="L196" s="3822"/>
      <c r="M196" s="3822"/>
      <c r="N196" s="3822"/>
      <c r="O196" s="3822"/>
      <c r="P196" s="3822"/>
      <c r="Q196" s="3822"/>
      <c r="R196" s="3822"/>
      <c r="S196" s="3822"/>
      <c r="T196" s="3822"/>
      <c r="U196" s="2227"/>
      <c r="X196" s="2253"/>
      <c r="Y196" s="2253"/>
      <c r="Z196" s="2253"/>
      <c r="AA196" s="2253"/>
    </row>
    <row r="197" spans="1:27" ht="6" customHeight="1">
      <c r="A197" s="2226"/>
      <c r="U197" s="2227"/>
      <c r="W197" s="2253"/>
      <c r="X197" s="2253"/>
      <c r="Y197" s="2253"/>
      <c r="Z197" s="2253"/>
      <c r="AA197" s="2253"/>
    </row>
    <row r="198" spans="1:27" ht="19.5" customHeight="1">
      <c r="A198" s="2226" t="s">
        <v>1019</v>
      </c>
      <c r="B198" s="2228" t="s">
        <v>848</v>
      </c>
      <c r="E198" s="3804"/>
      <c r="F198" s="3805"/>
      <c r="G198" s="2254" t="s">
        <v>609</v>
      </c>
      <c r="I198" s="2228" t="s">
        <v>1570</v>
      </c>
      <c r="M198" s="3819"/>
      <c r="N198" s="3820"/>
      <c r="O198" s="2228" t="s">
        <v>762</v>
      </c>
      <c r="U198" s="2227"/>
      <c r="W198" s="2253"/>
      <c r="X198" s="2253"/>
      <c r="Y198" s="2253"/>
      <c r="Z198" s="2253"/>
      <c r="AA198" s="2253"/>
    </row>
    <row r="199" spans="1:27" ht="6" customHeight="1">
      <c r="A199" s="2226"/>
      <c r="U199" s="2227"/>
    </row>
    <row r="200" spans="1:27" ht="19.5" customHeight="1">
      <c r="A200" s="2226"/>
      <c r="B200" s="2228" t="s">
        <v>1571</v>
      </c>
      <c r="M200" s="3790">
        <f>E198</f>
        <v>0</v>
      </c>
      <c r="N200" s="3791"/>
      <c r="O200" s="2241" t="s">
        <v>1572</v>
      </c>
      <c r="P200" s="3816"/>
      <c r="Q200" s="3817"/>
      <c r="R200" s="2241" t="s">
        <v>1573</v>
      </c>
      <c r="S200" s="3790">
        <f>IF(ISBLANK(E196),"",M200*P200)</f>
        <v>0</v>
      </c>
      <c r="T200" s="3791"/>
      <c r="U200" s="2255" t="s">
        <v>1537</v>
      </c>
      <c r="W200" s="2222" t="s">
        <v>2183</v>
      </c>
    </row>
    <row r="201" spans="1:27" ht="6" customHeight="1">
      <c r="A201" s="2226"/>
      <c r="U201" s="2227"/>
    </row>
    <row r="202" spans="1:27" ht="19.5" customHeight="1">
      <c r="A202" s="2226" t="s">
        <v>1168</v>
      </c>
      <c r="B202" s="2228" t="s">
        <v>1574</v>
      </c>
      <c r="E202" s="3804"/>
      <c r="F202" s="3805"/>
      <c r="G202" s="2228" t="s">
        <v>609</v>
      </c>
      <c r="I202" s="2228" t="s">
        <v>1575</v>
      </c>
      <c r="M202" s="3819"/>
      <c r="N202" s="3820"/>
      <c r="O202" s="2228" t="s">
        <v>762</v>
      </c>
      <c r="U202" s="2227"/>
    </row>
    <row r="203" spans="1:27" ht="6" customHeight="1">
      <c r="A203" s="2226"/>
      <c r="U203" s="2227"/>
    </row>
    <row r="204" spans="1:27" ht="19.5" customHeight="1">
      <c r="A204" s="2226"/>
      <c r="B204" s="2228" t="s">
        <v>1576</v>
      </c>
      <c r="M204" s="3790">
        <f>E202</f>
        <v>0</v>
      </c>
      <c r="N204" s="3791"/>
      <c r="O204" s="2241" t="s">
        <v>1572</v>
      </c>
      <c r="P204" s="3816"/>
      <c r="Q204" s="3817"/>
      <c r="R204" s="2241" t="s">
        <v>1573</v>
      </c>
      <c r="S204" s="3802">
        <f>IF(ISBLANK(E196),"",M204*P204)</f>
        <v>0</v>
      </c>
      <c r="T204" s="3815"/>
      <c r="U204" s="2255" t="s">
        <v>1537</v>
      </c>
    </row>
    <row r="205" spans="1:27" ht="6" customHeight="1">
      <c r="A205" s="2226"/>
      <c r="U205" s="2227"/>
    </row>
    <row r="206" spans="1:27" ht="19.5" customHeight="1">
      <c r="A206" s="2226" t="s">
        <v>1172</v>
      </c>
      <c r="B206" s="2228" t="s">
        <v>1577</v>
      </c>
      <c r="L206" s="2256"/>
      <c r="M206" s="3790">
        <f>S200</f>
        <v>0</v>
      </c>
      <c r="N206" s="3791"/>
      <c r="O206" s="2232" t="s">
        <v>1578</v>
      </c>
      <c r="P206" s="3802">
        <f>S204</f>
        <v>0</v>
      </c>
      <c r="Q206" s="3815"/>
      <c r="R206" s="2232" t="s">
        <v>1579</v>
      </c>
      <c r="S206" s="3823">
        <f>IF(ISBLANK(E196),"",M206+P206)</f>
        <v>0</v>
      </c>
      <c r="T206" s="3824"/>
      <c r="U206" s="2256" t="s">
        <v>1537</v>
      </c>
    </row>
    <row r="207" spans="1:27" ht="6" customHeight="1">
      <c r="A207" s="2226"/>
      <c r="U207" s="2227"/>
    </row>
    <row r="208" spans="1:27" ht="19.5" customHeight="1">
      <c r="A208" s="2226" t="s">
        <v>1177</v>
      </c>
      <c r="B208" s="2228" t="s">
        <v>1580</v>
      </c>
      <c r="M208" s="3790" t="str">
        <f>IF(ISBLANK(E90)," ",I52)</f>
        <v xml:space="preserve"> </v>
      </c>
      <c r="N208" s="3791"/>
      <c r="O208" s="2241" t="s">
        <v>1552</v>
      </c>
      <c r="P208" s="3790">
        <v>2</v>
      </c>
      <c r="Q208" s="3791"/>
      <c r="R208" s="2241" t="s">
        <v>1279</v>
      </c>
      <c r="S208" s="3790" t="str">
        <f>IF(ISBLANK(E198),"",M208/P208)</f>
        <v/>
      </c>
      <c r="T208" s="3791"/>
      <c r="U208" s="2255" t="s">
        <v>1581</v>
      </c>
    </row>
    <row r="209" spans="1:21" ht="6" customHeight="1">
      <c r="A209" s="2226"/>
      <c r="U209" s="2227"/>
    </row>
    <row r="210" spans="1:21" s="2228" customFormat="1" ht="15" customHeight="1">
      <c r="A210" s="2254" t="s">
        <v>1177</v>
      </c>
      <c r="B210" s="2228" t="s">
        <v>1582</v>
      </c>
      <c r="U210" s="2255"/>
    </row>
    <row r="211" spans="1:21" s="2228" customFormat="1" ht="6" customHeight="1">
      <c r="A211" s="2254"/>
      <c r="U211" s="2255"/>
    </row>
    <row r="212" spans="1:21" s="2228" customFormat="1" ht="19.5" customHeight="1">
      <c r="A212" s="2254"/>
      <c r="B212" s="2257" t="s">
        <v>1557</v>
      </c>
      <c r="C212" s="3790" t="str">
        <f>S208</f>
        <v/>
      </c>
      <c r="D212" s="3791"/>
      <c r="E212" s="2241" t="s">
        <v>1343</v>
      </c>
      <c r="F212" s="3790">
        <v>0.61</v>
      </c>
      <c r="G212" s="3791"/>
      <c r="H212" s="2258" t="s">
        <v>1583</v>
      </c>
      <c r="I212" s="2232" t="s">
        <v>1558</v>
      </c>
      <c r="J212" s="2259">
        <v>60</v>
      </c>
      <c r="K212" s="2232" t="s">
        <v>1240</v>
      </c>
      <c r="L212" s="3823" t="str">
        <f>IF(ISBLANK(E198),"",(C212*F212)/60)</f>
        <v/>
      </c>
      <c r="M212" s="3824"/>
      <c r="N212" s="2258" t="s">
        <v>1584</v>
      </c>
      <c r="U212" s="2255"/>
    </row>
    <row r="213" spans="1:21" s="2228" customFormat="1" ht="6" customHeight="1">
      <c r="A213" s="2254"/>
      <c r="U213" s="2255"/>
    </row>
    <row r="214" spans="1:21" s="2228" customFormat="1" ht="19.5" customHeight="1">
      <c r="A214" s="2254" t="s">
        <v>1179</v>
      </c>
      <c r="B214" s="2228" t="s">
        <v>1585</v>
      </c>
      <c r="M214" s="3790" t="str">
        <f>M160</f>
        <v xml:space="preserve"> </v>
      </c>
      <c r="N214" s="3791"/>
      <c r="O214" s="2232" t="s">
        <v>1572</v>
      </c>
      <c r="P214" s="3790">
        <v>1.2E-2</v>
      </c>
      <c r="Q214" s="3791"/>
      <c r="R214" s="2232" t="s">
        <v>1240</v>
      </c>
      <c r="S214" s="3790" t="str">
        <f>IF(ISBLANK(E198),"",M214*P214)</f>
        <v/>
      </c>
      <c r="T214" s="3791"/>
      <c r="U214" s="2255" t="s">
        <v>1537</v>
      </c>
    </row>
    <row r="215" spans="1:21" s="2228" customFormat="1" ht="6" customHeight="1">
      <c r="A215" s="2254"/>
      <c r="U215" s="2255"/>
    </row>
    <row r="216" spans="1:21" s="2228" customFormat="1" ht="15" customHeight="1">
      <c r="A216" s="2254" t="s">
        <v>1181</v>
      </c>
      <c r="B216" s="2228" t="s">
        <v>1586</v>
      </c>
      <c r="U216" s="2255"/>
    </row>
    <row r="217" spans="1:21" s="2228" customFormat="1" ht="6" customHeight="1">
      <c r="A217" s="2254"/>
      <c r="U217" s="2255"/>
    </row>
    <row r="218" spans="1:21" s="2228" customFormat="1" ht="19.5" customHeight="1">
      <c r="A218" s="2254"/>
      <c r="B218" s="2257" t="s">
        <v>1557</v>
      </c>
      <c r="C218" s="3831">
        <v>4</v>
      </c>
      <c r="D218" s="3831"/>
      <c r="E218" s="2232" t="s">
        <v>1343</v>
      </c>
      <c r="F218" s="3790" t="str">
        <f>S214</f>
        <v/>
      </c>
      <c r="G218" s="3791"/>
      <c r="H218" s="2260" t="s">
        <v>1587</v>
      </c>
      <c r="I218" s="2232" t="s">
        <v>1588</v>
      </c>
      <c r="J218" s="3790">
        <f>S206</f>
        <v>0</v>
      </c>
      <c r="K218" s="3791"/>
      <c r="L218" s="2232" t="s">
        <v>1579</v>
      </c>
      <c r="M218" s="3823" t="str">
        <f>IF(ISBLANK(E198),"",(4*S214)+S206)</f>
        <v/>
      </c>
      <c r="N218" s="3824"/>
      <c r="O218" s="2228" t="s">
        <v>1537</v>
      </c>
      <c r="U218" s="2255"/>
    </row>
    <row r="219" spans="1:21" s="2228" customFormat="1" ht="6" customHeight="1">
      <c r="A219" s="2254"/>
      <c r="U219" s="2255"/>
    </row>
    <row r="220" spans="1:21" s="2228" customFormat="1" ht="15" customHeight="1">
      <c r="A220" s="2254" t="s">
        <v>1184</v>
      </c>
      <c r="B220" s="520" t="s">
        <v>2199</v>
      </c>
      <c r="U220" s="2255"/>
    </row>
    <row r="221" spans="1:21" s="2228" customFormat="1" ht="6" customHeight="1">
      <c r="A221" s="2254"/>
      <c r="U221" s="2255"/>
    </row>
    <row r="222" spans="1:21" s="2228" customFormat="1" ht="19.5" customHeight="1">
      <c r="A222" s="2254"/>
      <c r="B222" s="3790">
        <f>IF(ISBLANK(E196),"",F10/12)</f>
        <v>0</v>
      </c>
      <c r="C222" s="3791"/>
      <c r="D222" s="2232" t="s">
        <v>1389</v>
      </c>
      <c r="E222" s="3825">
        <v>8.3000000000000004E-2</v>
      </c>
      <c r="F222" s="3826"/>
      <c r="G222" s="2232" t="s">
        <v>1552</v>
      </c>
      <c r="H222" s="3790" t="str">
        <f>M160</f>
        <v xml:space="preserve"> </v>
      </c>
      <c r="I222" s="3791"/>
      <c r="J222" s="2232" t="s">
        <v>1572</v>
      </c>
      <c r="K222" s="3827">
        <f>IF(ISBLANK(E88),"",F18)</f>
        <v>0</v>
      </c>
      <c r="L222" s="3828"/>
      <c r="M222" s="2232" t="s">
        <v>1343</v>
      </c>
      <c r="N222" s="2259">
        <v>7.5</v>
      </c>
      <c r="O222" s="2259" t="s">
        <v>987</v>
      </c>
      <c r="P222" s="3829">
        <f>S206</f>
        <v>0</v>
      </c>
      <c r="Q222" s="3830"/>
      <c r="R222" s="2232" t="s">
        <v>1240</v>
      </c>
      <c r="S222" s="3823" t="str">
        <f>IF(ISBLANK(E198),"",B222*E222*H222*K222*N222+P222)</f>
        <v/>
      </c>
      <c r="T222" s="3824"/>
      <c r="U222" s="2228" t="s">
        <v>1537</v>
      </c>
    </row>
    <row r="223" spans="1:21" s="2228" customFormat="1" ht="6" customHeight="1">
      <c r="A223" s="2254"/>
      <c r="U223" s="2255"/>
    </row>
    <row r="224" spans="1:21" s="2228" customFormat="1" ht="19.5" customHeight="1">
      <c r="A224" s="2254" t="s">
        <v>1186</v>
      </c>
      <c r="B224" s="2228" t="s">
        <v>1590</v>
      </c>
      <c r="O224" s="3832"/>
      <c r="P224" s="3833"/>
      <c r="Q224" s="2228" t="s">
        <v>1537</v>
      </c>
      <c r="U224" s="2255"/>
    </row>
    <row r="225" spans="1:24" s="2228" customFormat="1" ht="6" customHeight="1">
      <c r="A225" s="2254"/>
      <c r="U225" s="2255"/>
    </row>
    <row r="226" spans="1:24" s="2228" customFormat="1" ht="19.5" customHeight="1">
      <c r="A226" s="2254" t="s">
        <v>1224</v>
      </c>
      <c r="B226" s="2228" t="s">
        <v>1591</v>
      </c>
      <c r="L226" s="3790">
        <f>IF(ISBLANK(E196),"",O224)</f>
        <v>0</v>
      </c>
      <c r="M226" s="3791"/>
      <c r="N226" s="2241" t="s">
        <v>1558</v>
      </c>
      <c r="O226" s="3802" t="str">
        <f>L212</f>
        <v/>
      </c>
      <c r="P226" s="3815"/>
      <c r="Q226" s="2241" t="s">
        <v>1240</v>
      </c>
      <c r="R226" s="3802" t="str">
        <f>IF(ISBLANK(E198),"",L226/O226)</f>
        <v/>
      </c>
      <c r="S226" s="3815"/>
      <c r="T226" s="2228" t="s">
        <v>1592</v>
      </c>
      <c r="U226" s="2255"/>
    </row>
    <row r="227" spans="1:24" s="2228" customFormat="1" ht="6" customHeight="1">
      <c r="A227" s="2254"/>
      <c r="U227" s="2255"/>
    </row>
    <row r="228" spans="1:24" s="2228" customFormat="1" ht="15" customHeight="1">
      <c r="A228" s="2254" t="s">
        <v>1227</v>
      </c>
      <c r="B228" s="2228" t="s">
        <v>1593</v>
      </c>
      <c r="U228" s="2255"/>
    </row>
    <row r="229" spans="1:24" s="2228" customFormat="1" ht="6" customHeight="1">
      <c r="A229" s="2254"/>
      <c r="U229" s="2255"/>
    </row>
    <row r="230" spans="1:24" s="2228" customFormat="1" ht="19.5" customHeight="1">
      <c r="A230" s="2254"/>
      <c r="B230" s="3790" t="str">
        <f>IF(ISBLANK(E4)," ",E4)</f>
        <v xml:space="preserve"> </v>
      </c>
      <c r="C230" s="3791"/>
      <c r="D230" s="2232" t="s">
        <v>1890</v>
      </c>
      <c r="E230" s="3790">
        <f>IF(ISBLANK(E88),"",E43)</f>
        <v>0</v>
      </c>
      <c r="F230" s="3791"/>
      <c r="G230" s="2232" t="s">
        <v>2187</v>
      </c>
      <c r="H230" s="3790">
        <f>IF(ISBLANK(E196),"",O224)</f>
        <v>0</v>
      </c>
      <c r="I230" s="3791"/>
      <c r="J230" s="3813" t="s">
        <v>2188</v>
      </c>
      <c r="K230" s="3814"/>
      <c r="L230" s="3802" t="str">
        <f>IF(ISBLANK(E198),"",MAX(4,(B230/E230/H230)))</f>
        <v/>
      </c>
      <c r="M230" s="3815"/>
      <c r="N230" s="2228" t="s">
        <v>1595</v>
      </c>
      <c r="O230" s="2234" t="s">
        <v>1594</v>
      </c>
      <c r="U230" s="2255"/>
      <c r="W230" s="2261" t="s">
        <v>2201</v>
      </c>
      <c r="X230" s="1655"/>
    </row>
    <row r="231" spans="1:24" s="2228" customFormat="1" ht="6" customHeight="1">
      <c r="A231" s="2254"/>
      <c r="U231" s="2255"/>
    </row>
    <row r="232" spans="1:24" s="2228" customFormat="1" ht="19.5" customHeight="1">
      <c r="A232" s="2254" t="s">
        <v>1480</v>
      </c>
      <c r="B232" s="2262" t="s">
        <v>2189</v>
      </c>
      <c r="J232" s="3788">
        <v>1440</v>
      </c>
      <c r="K232" s="3789"/>
      <c r="L232" s="2232" t="s">
        <v>1558</v>
      </c>
      <c r="M232" s="3834" t="str">
        <f>L230</f>
        <v/>
      </c>
      <c r="N232" s="3835"/>
      <c r="O232" s="2232" t="s">
        <v>1240</v>
      </c>
      <c r="P232" s="3834" t="str">
        <f>IF(ISBLANK(E198),"",J232/M232)</f>
        <v/>
      </c>
      <c r="Q232" s="3835"/>
      <c r="T232" s="2228" t="s">
        <v>1592</v>
      </c>
      <c r="U232" s="2255"/>
    </row>
    <row r="233" spans="1:24" s="2228" customFormat="1" ht="6" customHeight="1">
      <c r="A233" s="2254"/>
      <c r="U233" s="2255"/>
    </row>
    <row r="234" spans="1:24" s="2228" customFormat="1" ht="19.5" customHeight="1">
      <c r="A234" s="2254" t="s">
        <v>1483</v>
      </c>
      <c r="B234" s="2228" t="s">
        <v>1597</v>
      </c>
      <c r="I234" s="3802" t="str">
        <f>P232</f>
        <v/>
      </c>
      <c r="J234" s="3791"/>
      <c r="K234" s="2232" t="s">
        <v>988</v>
      </c>
      <c r="L234" s="3802" t="str">
        <f>R226</f>
        <v/>
      </c>
      <c r="M234" s="3791"/>
      <c r="N234" s="2232" t="s">
        <v>1240</v>
      </c>
      <c r="O234" s="3802" t="str">
        <f>IF(ISBLANK(E198),"",I234-L234)</f>
        <v/>
      </c>
      <c r="P234" s="3791"/>
      <c r="Q234" s="2228" t="s">
        <v>1592</v>
      </c>
      <c r="U234" s="2255"/>
    </row>
    <row r="235" spans="1:24" s="2228" customFormat="1" ht="6" customHeight="1">
      <c r="A235" s="2254"/>
      <c r="U235" s="2255"/>
    </row>
    <row r="236" spans="1:24" s="2228" customFormat="1" ht="19.5" customHeight="1">
      <c r="A236" s="2254" t="s">
        <v>1485</v>
      </c>
      <c r="B236" s="2228" t="s">
        <v>1598</v>
      </c>
      <c r="M236" s="3790" t="str">
        <f>Q54</f>
        <v/>
      </c>
      <c r="N236" s="3791"/>
      <c r="O236" s="2259" t="s">
        <v>1343</v>
      </c>
      <c r="P236" s="3831">
        <f>1.6</f>
        <v>1.6</v>
      </c>
      <c r="Q236" s="3831"/>
      <c r="R236" s="2259" t="s">
        <v>1240</v>
      </c>
      <c r="S236" s="3790" t="str">
        <f>IF(ISBLANK(E198),"",M236*P236)</f>
        <v/>
      </c>
      <c r="T236" s="3791"/>
      <c r="U236" s="2256" t="s">
        <v>1537</v>
      </c>
    </row>
    <row r="237" spans="1:24" s="2228" customFormat="1" ht="6" customHeight="1">
      <c r="A237" s="2254"/>
      <c r="U237" s="2255"/>
    </row>
    <row r="238" spans="1:24" s="2228" customFormat="1" ht="15" customHeight="1">
      <c r="A238" s="2254" t="s">
        <v>1599</v>
      </c>
      <c r="B238" s="2228" t="s">
        <v>1600</v>
      </c>
      <c r="U238" s="2255"/>
    </row>
    <row r="239" spans="1:24" s="2228" customFormat="1" ht="6" customHeight="1">
      <c r="A239" s="2254"/>
      <c r="U239" s="2255"/>
    </row>
    <row r="240" spans="1:24" s="2228" customFormat="1" ht="19.5" customHeight="1">
      <c r="A240" s="2254"/>
      <c r="B240" s="3838" t="str">
        <f>L212</f>
        <v/>
      </c>
      <c r="C240" s="3839"/>
      <c r="D240" s="2232" t="s">
        <v>987</v>
      </c>
      <c r="E240" s="3790" t="str">
        <f>S236</f>
        <v/>
      </c>
      <c r="F240" s="3791"/>
      <c r="G240" s="2232" t="s">
        <v>1240</v>
      </c>
      <c r="H240" s="3838" t="str">
        <f>IF(ISBLANK(E198),"",B240+E240)</f>
        <v/>
      </c>
      <c r="I240" s="3839"/>
      <c r="J240" s="2258" t="s">
        <v>1584</v>
      </c>
      <c r="U240" s="2255"/>
    </row>
    <row r="241" spans="1:27" s="2228" customFormat="1" ht="6" customHeight="1">
      <c r="A241" s="2254"/>
      <c r="U241" s="2255"/>
    </row>
    <row r="242" spans="1:27" s="2228" customFormat="1" ht="19.5" customHeight="1">
      <c r="A242" s="2254" t="s">
        <v>1601</v>
      </c>
      <c r="B242" s="2228" t="s">
        <v>1602</v>
      </c>
      <c r="K242" s="3790" t="str">
        <f>H240</f>
        <v/>
      </c>
      <c r="L242" s="3791"/>
      <c r="M242" s="2232" t="s">
        <v>1343</v>
      </c>
      <c r="N242" s="3802" t="str">
        <f>R226</f>
        <v/>
      </c>
      <c r="O242" s="3791"/>
      <c r="P242" s="2232" t="s">
        <v>1240</v>
      </c>
      <c r="Q242" s="3806" t="str">
        <f>IF(ISBLANK(E198),"",K242*N242)</f>
        <v/>
      </c>
      <c r="R242" s="3807"/>
      <c r="S242" s="2228" t="s">
        <v>1537</v>
      </c>
      <c r="U242" s="2255"/>
    </row>
    <row r="243" spans="1:27" s="2228" customFormat="1" ht="6" customHeight="1">
      <c r="A243" s="2254"/>
      <c r="U243" s="2255"/>
    </row>
    <row r="244" spans="1:27" s="2228" customFormat="1" ht="15" customHeight="1">
      <c r="A244" s="2254" t="s">
        <v>1603</v>
      </c>
      <c r="B244" s="2228" t="s">
        <v>1604</v>
      </c>
      <c r="C244" s="1244"/>
      <c r="D244" s="1244"/>
      <c r="E244" s="1244"/>
      <c r="F244" s="1244"/>
      <c r="G244" s="1244"/>
      <c r="H244" s="1244"/>
      <c r="I244" s="1244"/>
      <c r="J244" s="1244"/>
      <c r="K244" s="1244"/>
      <c r="L244" s="2263"/>
      <c r="U244" s="2255"/>
    </row>
    <row r="245" spans="1:27" s="2228" customFormat="1" ht="6" customHeight="1">
      <c r="A245" s="2254"/>
      <c r="U245" s="2255"/>
    </row>
    <row r="246" spans="1:27" s="2228" customFormat="1" ht="19.5" customHeight="1">
      <c r="A246" s="2254"/>
      <c r="B246" s="3802">
        <f>IF(ISBLANK(E88),"",E43)</f>
        <v>0</v>
      </c>
      <c r="C246" s="3815"/>
      <c r="D246" s="2263" t="s">
        <v>1343</v>
      </c>
      <c r="E246" s="3802" t="str">
        <f>L230</f>
        <v/>
      </c>
      <c r="F246" s="3815"/>
      <c r="G246" s="2263" t="s">
        <v>1343</v>
      </c>
      <c r="H246" s="3802" t="str">
        <f>R226</f>
        <v/>
      </c>
      <c r="I246" s="3815"/>
      <c r="J246" s="2263" t="s">
        <v>1240</v>
      </c>
      <c r="K246" s="3802" t="str">
        <f>IF(ISBLANK(E198),"",B246*E246*H246)</f>
        <v/>
      </c>
      <c r="L246" s="3815"/>
      <c r="M246" s="1244" t="s">
        <v>1592</v>
      </c>
      <c r="O246" s="1653" t="s">
        <v>2198</v>
      </c>
      <c r="U246" s="2255"/>
      <c r="V246" s="2228" t="s">
        <v>2202</v>
      </c>
    </row>
    <row r="247" spans="1:27" ht="6" customHeight="1">
      <c r="A247" s="2226"/>
      <c r="U247" s="2227"/>
    </row>
    <row r="248" spans="1:27" ht="15" customHeight="1">
      <c r="A248" s="3794" t="s">
        <v>1631</v>
      </c>
      <c r="B248" s="3795"/>
      <c r="C248" s="3795"/>
      <c r="D248" s="3795"/>
      <c r="E248" s="3795"/>
      <c r="F248" s="3795"/>
      <c r="G248" s="3795"/>
      <c r="H248" s="3795"/>
      <c r="I248" s="3795"/>
      <c r="J248" s="3795"/>
      <c r="K248" s="3795"/>
      <c r="L248" s="3795"/>
      <c r="M248" s="3795"/>
      <c r="N248" s="3795"/>
      <c r="O248" s="3795"/>
      <c r="P248" s="3795"/>
      <c r="Q248" s="3795"/>
      <c r="R248" s="3795"/>
      <c r="S248" s="3795"/>
      <c r="T248" s="3795"/>
      <c r="U248" s="3796"/>
    </row>
    <row r="249" spans="1:27" ht="6" customHeight="1">
      <c r="A249" s="2250"/>
      <c r="B249" s="2251"/>
      <c r="C249" s="2251"/>
      <c r="D249" s="2251"/>
      <c r="E249" s="2251"/>
      <c r="F249" s="2251"/>
      <c r="G249" s="2251"/>
      <c r="H249" s="2251"/>
      <c r="I249" s="2251"/>
      <c r="J249" s="2251"/>
      <c r="K249" s="2251"/>
      <c r="L249" s="2251"/>
      <c r="M249" s="2251"/>
      <c r="N249" s="2251"/>
      <c r="O249" s="2251"/>
      <c r="P249" s="2251"/>
      <c r="Q249" s="2251"/>
      <c r="R249" s="2251"/>
      <c r="S249" s="2251"/>
      <c r="T249" s="2251"/>
      <c r="U249" s="2252"/>
    </row>
    <row r="250" spans="1:27" ht="19.5" customHeight="1">
      <c r="A250" s="2226" t="s">
        <v>1011</v>
      </c>
      <c r="B250" s="2228" t="s">
        <v>1569</v>
      </c>
      <c r="E250" s="3810">
        <v>2</v>
      </c>
      <c r="F250" s="3811"/>
      <c r="G250" s="2228" t="s">
        <v>609</v>
      </c>
      <c r="I250" s="3822" t="s">
        <v>2182</v>
      </c>
      <c r="J250" s="3822"/>
      <c r="K250" s="3822"/>
      <c r="L250" s="3822"/>
      <c r="M250" s="3822"/>
      <c r="N250" s="3822"/>
      <c r="O250" s="3822"/>
      <c r="P250" s="3822"/>
      <c r="Q250" s="3822"/>
      <c r="R250" s="3822"/>
      <c r="S250" s="3822"/>
      <c r="T250" s="3822"/>
      <c r="U250" s="2227"/>
      <c r="X250" s="2253"/>
      <c r="Y250" s="2253"/>
      <c r="Z250" s="2253"/>
      <c r="AA250" s="2253"/>
    </row>
    <row r="251" spans="1:27" ht="6" customHeight="1">
      <c r="A251" s="2226"/>
      <c r="U251" s="2227"/>
      <c r="W251" s="2253"/>
      <c r="X251" s="2253"/>
      <c r="Y251" s="2253"/>
      <c r="Z251" s="2253"/>
      <c r="AA251" s="2253"/>
    </row>
    <row r="252" spans="1:27" ht="19.5" customHeight="1">
      <c r="A252" s="2226" t="s">
        <v>1019</v>
      </c>
      <c r="B252" s="2228" t="s">
        <v>848</v>
      </c>
      <c r="E252" s="3804"/>
      <c r="F252" s="3805"/>
      <c r="G252" s="2254" t="s">
        <v>609</v>
      </c>
      <c r="I252" s="2228" t="s">
        <v>1570</v>
      </c>
      <c r="M252" s="3819"/>
      <c r="N252" s="3820"/>
      <c r="O252" s="2228" t="s">
        <v>762</v>
      </c>
      <c r="U252" s="2227"/>
      <c r="W252" s="2253"/>
      <c r="X252" s="2253"/>
      <c r="Y252" s="2253"/>
      <c r="Z252" s="2253"/>
      <c r="AA252" s="2253"/>
    </row>
    <row r="253" spans="1:27" ht="6" customHeight="1">
      <c r="A253" s="2226"/>
      <c r="U253" s="2227"/>
    </row>
    <row r="254" spans="1:27" ht="19.5" customHeight="1">
      <c r="A254" s="2226"/>
      <c r="B254" s="2228" t="s">
        <v>1571</v>
      </c>
      <c r="M254" s="3790">
        <f>E252</f>
        <v>0</v>
      </c>
      <c r="N254" s="3791"/>
      <c r="O254" s="2241" t="s">
        <v>1572</v>
      </c>
      <c r="P254" s="3816"/>
      <c r="Q254" s="3817"/>
      <c r="R254" s="2241" t="s">
        <v>1573</v>
      </c>
      <c r="S254" s="3790">
        <f>IF(ISBLANK(E250),"",M254*P254)</f>
        <v>0</v>
      </c>
      <c r="T254" s="3791"/>
      <c r="U254" s="2255" t="s">
        <v>1537</v>
      </c>
      <c r="W254" s="2222" t="s">
        <v>2183</v>
      </c>
    </row>
    <row r="255" spans="1:27" ht="6" customHeight="1">
      <c r="A255" s="2226"/>
      <c r="U255" s="2227"/>
    </row>
    <row r="256" spans="1:27" ht="19.5" customHeight="1">
      <c r="A256" s="2226" t="s">
        <v>1168</v>
      </c>
      <c r="B256" s="2228" t="s">
        <v>1574</v>
      </c>
      <c r="E256" s="3804"/>
      <c r="F256" s="3805"/>
      <c r="G256" s="2228" t="s">
        <v>609</v>
      </c>
      <c r="I256" s="2228" t="s">
        <v>1575</v>
      </c>
      <c r="M256" s="3819"/>
      <c r="N256" s="3820"/>
      <c r="O256" s="2228" t="s">
        <v>762</v>
      </c>
      <c r="U256" s="2227"/>
    </row>
    <row r="257" spans="1:21" ht="6" customHeight="1">
      <c r="A257" s="2226"/>
      <c r="U257" s="2227"/>
    </row>
    <row r="258" spans="1:21" ht="19.5" customHeight="1">
      <c r="A258" s="2226"/>
      <c r="B258" s="2228" t="s">
        <v>1576</v>
      </c>
      <c r="M258" s="3790">
        <f>E256</f>
        <v>0</v>
      </c>
      <c r="N258" s="3791"/>
      <c r="O258" s="2241" t="s">
        <v>1572</v>
      </c>
      <c r="P258" s="3816"/>
      <c r="Q258" s="3817"/>
      <c r="R258" s="2241" t="s">
        <v>1573</v>
      </c>
      <c r="S258" s="3802">
        <f>IF(ISBLANK(E250),"",M258*P258)</f>
        <v>0</v>
      </c>
      <c r="T258" s="3815"/>
      <c r="U258" s="2255" t="s">
        <v>1537</v>
      </c>
    </row>
    <row r="259" spans="1:21" ht="6" customHeight="1">
      <c r="A259" s="2226"/>
      <c r="U259" s="2227"/>
    </row>
    <row r="260" spans="1:21" ht="19.5" customHeight="1">
      <c r="A260" s="2226" t="s">
        <v>1172</v>
      </c>
      <c r="B260" s="2228" t="s">
        <v>1577</v>
      </c>
      <c r="L260" s="2256"/>
      <c r="M260" s="3790">
        <f>S254</f>
        <v>0</v>
      </c>
      <c r="N260" s="3791"/>
      <c r="O260" s="2232" t="s">
        <v>1578</v>
      </c>
      <c r="P260" s="3802">
        <f>S258</f>
        <v>0</v>
      </c>
      <c r="Q260" s="3815"/>
      <c r="R260" s="2232" t="s">
        <v>1579</v>
      </c>
      <c r="S260" s="3823">
        <f>IF(ISBLANK(E250),"",M260+P260)</f>
        <v>0</v>
      </c>
      <c r="T260" s="3824"/>
      <c r="U260" s="2256" t="s">
        <v>1537</v>
      </c>
    </row>
    <row r="261" spans="1:21" ht="6" customHeight="1">
      <c r="A261" s="2226"/>
      <c r="U261" s="2227"/>
    </row>
    <row r="262" spans="1:21" ht="19.5" customHeight="1">
      <c r="A262" s="2226" t="s">
        <v>1177</v>
      </c>
      <c r="B262" s="2228" t="s">
        <v>1580</v>
      </c>
      <c r="M262" s="3790" t="str">
        <f>IF(ISBLANK(E90)," ",I52)</f>
        <v xml:space="preserve"> </v>
      </c>
      <c r="N262" s="3791"/>
      <c r="O262" s="2241" t="s">
        <v>1552</v>
      </c>
      <c r="P262" s="3790">
        <v>2</v>
      </c>
      <c r="Q262" s="3791"/>
      <c r="R262" s="2241" t="s">
        <v>1279</v>
      </c>
      <c r="S262" s="3790" t="str">
        <f>IF(ISBLANK(E252),"",M262/P262)</f>
        <v/>
      </c>
      <c r="T262" s="3791"/>
      <c r="U262" s="2255" t="s">
        <v>1581</v>
      </c>
    </row>
    <row r="263" spans="1:21" ht="6" customHeight="1">
      <c r="A263" s="2226"/>
      <c r="U263" s="2227"/>
    </row>
    <row r="264" spans="1:21" s="2228" customFormat="1" ht="15" customHeight="1">
      <c r="A264" s="2254" t="s">
        <v>1177</v>
      </c>
      <c r="B264" s="2228" t="s">
        <v>1582</v>
      </c>
      <c r="U264" s="2255"/>
    </row>
    <row r="265" spans="1:21" s="2228" customFormat="1" ht="6" customHeight="1">
      <c r="A265" s="2254"/>
      <c r="U265" s="2255"/>
    </row>
    <row r="266" spans="1:21" s="2228" customFormat="1" ht="19.5" customHeight="1">
      <c r="A266" s="2254"/>
      <c r="B266" s="2257" t="s">
        <v>1557</v>
      </c>
      <c r="C266" s="3790" t="str">
        <f>S262</f>
        <v/>
      </c>
      <c r="D266" s="3791"/>
      <c r="E266" s="2241" t="s">
        <v>1343</v>
      </c>
      <c r="F266" s="3790">
        <v>0.61</v>
      </c>
      <c r="G266" s="3791"/>
      <c r="H266" s="2258" t="s">
        <v>1583</v>
      </c>
      <c r="I266" s="2232" t="s">
        <v>1558</v>
      </c>
      <c r="J266" s="2259">
        <v>60</v>
      </c>
      <c r="K266" s="2232" t="s">
        <v>1240</v>
      </c>
      <c r="L266" s="3823" t="str">
        <f>IF(ISBLANK(E252),"",(C266*F266)/60)</f>
        <v/>
      </c>
      <c r="M266" s="3824"/>
      <c r="N266" s="2258" t="s">
        <v>1584</v>
      </c>
      <c r="U266" s="2255"/>
    </row>
    <row r="267" spans="1:21" s="2228" customFormat="1" ht="6" customHeight="1">
      <c r="A267" s="2254"/>
      <c r="U267" s="2255"/>
    </row>
    <row r="268" spans="1:21" s="2228" customFormat="1" ht="19.5" customHeight="1">
      <c r="A268" s="2254" t="s">
        <v>1179</v>
      </c>
      <c r="B268" s="2228" t="s">
        <v>1585</v>
      </c>
      <c r="M268" s="3790" t="str">
        <f>M214</f>
        <v xml:space="preserve"> </v>
      </c>
      <c r="N268" s="3791"/>
      <c r="O268" s="2232" t="s">
        <v>1572</v>
      </c>
      <c r="P268" s="3790">
        <v>1.2E-2</v>
      </c>
      <c r="Q268" s="3791"/>
      <c r="R268" s="2232" t="s">
        <v>1240</v>
      </c>
      <c r="S268" s="3790" t="str">
        <f>IF(ISBLANK(E252),"",M268*P268)</f>
        <v/>
      </c>
      <c r="T268" s="3791"/>
      <c r="U268" s="2255" t="s">
        <v>1537</v>
      </c>
    </row>
    <row r="269" spans="1:21" s="2228" customFormat="1" ht="6" customHeight="1">
      <c r="A269" s="2254"/>
      <c r="U269" s="2255"/>
    </row>
    <row r="270" spans="1:21" s="2228" customFormat="1" ht="15" customHeight="1">
      <c r="A270" s="2254" t="s">
        <v>1181</v>
      </c>
      <c r="B270" s="2228" t="s">
        <v>1586</v>
      </c>
      <c r="U270" s="2255"/>
    </row>
    <row r="271" spans="1:21" s="2228" customFormat="1" ht="6" customHeight="1">
      <c r="A271" s="2254"/>
      <c r="U271" s="2255"/>
    </row>
    <row r="272" spans="1:21" s="2228" customFormat="1" ht="19.5" customHeight="1">
      <c r="A272" s="2254"/>
      <c r="B272" s="2257" t="s">
        <v>1557</v>
      </c>
      <c r="C272" s="3831">
        <v>4</v>
      </c>
      <c r="D272" s="3831"/>
      <c r="E272" s="2232" t="s">
        <v>1343</v>
      </c>
      <c r="F272" s="3790" t="str">
        <f>S268</f>
        <v/>
      </c>
      <c r="G272" s="3791"/>
      <c r="H272" s="2260" t="s">
        <v>1587</v>
      </c>
      <c r="I272" s="2232" t="s">
        <v>1588</v>
      </c>
      <c r="J272" s="3790">
        <f>S260</f>
        <v>0</v>
      </c>
      <c r="K272" s="3791"/>
      <c r="L272" s="2232" t="s">
        <v>1579</v>
      </c>
      <c r="M272" s="3823" t="str">
        <f>IF(ISBLANK(E252),"",(4*S268)+S260)</f>
        <v/>
      </c>
      <c r="N272" s="3824"/>
      <c r="O272" s="2228" t="s">
        <v>1537</v>
      </c>
      <c r="U272" s="2255"/>
    </row>
    <row r="273" spans="1:24" s="2228" customFormat="1" ht="6" customHeight="1">
      <c r="A273" s="2254"/>
      <c r="U273" s="2255"/>
    </row>
    <row r="274" spans="1:24" s="2228" customFormat="1" ht="15" customHeight="1">
      <c r="A274" s="2254" t="s">
        <v>1184</v>
      </c>
      <c r="B274" s="520" t="s">
        <v>2199</v>
      </c>
      <c r="U274" s="2255"/>
    </row>
    <row r="275" spans="1:24" s="2228" customFormat="1" ht="6" customHeight="1">
      <c r="A275" s="2254"/>
      <c r="U275" s="2255"/>
    </row>
    <row r="276" spans="1:24" s="2228" customFormat="1" ht="19.5" customHeight="1">
      <c r="A276" s="2254"/>
      <c r="B276" s="3790">
        <f>IF(ISBLANK(E88),"",F10/12)</f>
        <v>0</v>
      </c>
      <c r="C276" s="3791"/>
      <c r="D276" s="2232" t="s">
        <v>1389</v>
      </c>
      <c r="E276" s="3825">
        <v>8.3000000000000004E-2</v>
      </c>
      <c r="F276" s="3826"/>
      <c r="G276" s="2232" t="s">
        <v>1552</v>
      </c>
      <c r="H276" s="3790" t="str">
        <f>M214</f>
        <v xml:space="preserve"> </v>
      </c>
      <c r="I276" s="3791"/>
      <c r="J276" s="2232" t="s">
        <v>1572</v>
      </c>
      <c r="K276" s="3827">
        <f>IF(ISBLANK(E88),"",F18)</f>
        <v>0</v>
      </c>
      <c r="L276" s="3828"/>
      <c r="M276" s="2232" t="s">
        <v>1343</v>
      </c>
      <c r="N276" s="2259">
        <v>7.5</v>
      </c>
      <c r="O276" s="2259" t="s">
        <v>987</v>
      </c>
      <c r="P276" s="3829">
        <f>S260</f>
        <v>0</v>
      </c>
      <c r="Q276" s="3830"/>
      <c r="R276" s="2232" t="s">
        <v>1240</v>
      </c>
      <c r="S276" s="3823" t="str">
        <f>IF(ISBLANK(E252),"",B276*E276*H276*K276*N276+P276)</f>
        <v/>
      </c>
      <c r="T276" s="3824"/>
      <c r="U276" s="2228" t="s">
        <v>1537</v>
      </c>
    </row>
    <row r="277" spans="1:24" s="2228" customFormat="1" ht="6" customHeight="1">
      <c r="A277" s="2254"/>
      <c r="U277" s="2255"/>
    </row>
    <row r="278" spans="1:24" s="2228" customFormat="1" ht="19.5" customHeight="1">
      <c r="A278" s="2254" t="s">
        <v>1186</v>
      </c>
      <c r="B278" s="2228" t="s">
        <v>1590</v>
      </c>
      <c r="O278" s="3832"/>
      <c r="P278" s="3833"/>
      <c r="Q278" s="2228" t="s">
        <v>1537</v>
      </c>
      <c r="U278" s="2255"/>
    </row>
    <row r="279" spans="1:24" s="2228" customFormat="1" ht="6" customHeight="1">
      <c r="A279" s="2254"/>
      <c r="U279" s="2255"/>
    </row>
    <row r="280" spans="1:24" s="2228" customFormat="1" ht="19.5" customHeight="1">
      <c r="A280" s="2254" t="s">
        <v>1224</v>
      </c>
      <c r="B280" s="2228" t="s">
        <v>1591</v>
      </c>
      <c r="L280" s="3790">
        <f>IF(ISBLANK(E250),"",O278)</f>
        <v>0</v>
      </c>
      <c r="M280" s="3791"/>
      <c r="N280" s="2241" t="s">
        <v>1558</v>
      </c>
      <c r="O280" s="3802" t="str">
        <f>L266</f>
        <v/>
      </c>
      <c r="P280" s="3815"/>
      <c r="Q280" s="2241" t="s">
        <v>1240</v>
      </c>
      <c r="R280" s="3802" t="str">
        <f>IF(ISBLANK(E252),"",L280/O280)</f>
        <v/>
      </c>
      <c r="S280" s="3815"/>
      <c r="T280" s="2228" t="s">
        <v>1592</v>
      </c>
      <c r="U280" s="2255"/>
    </row>
    <row r="281" spans="1:24" s="2228" customFormat="1" ht="6" customHeight="1">
      <c r="A281" s="2254"/>
      <c r="U281" s="2255"/>
    </row>
    <row r="282" spans="1:24" s="2228" customFormat="1" ht="15" customHeight="1">
      <c r="A282" s="2254" t="s">
        <v>1227</v>
      </c>
      <c r="B282" s="2228" t="s">
        <v>1593</v>
      </c>
      <c r="U282" s="2255"/>
    </row>
    <row r="283" spans="1:24" s="2228" customFormat="1" ht="6" customHeight="1">
      <c r="A283" s="2254"/>
      <c r="U283" s="2255"/>
    </row>
    <row r="284" spans="1:24" s="2228" customFormat="1" ht="19.5" customHeight="1">
      <c r="A284" s="2254"/>
      <c r="B284" s="3790" t="str">
        <f>IF(ISBLANK(E4)," ",E4)</f>
        <v xml:space="preserve"> </v>
      </c>
      <c r="C284" s="3791"/>
      <c r="D284" s="2232" t="s">
        <v>1890</v>
      </c>
      <c r="E284" s="3790">
        <f>IF(ISBLANK(E88),"",E43)</f>
        <v>0</v>
      </c>
      <c r="F284" s="3791"/>
      <c r="G284" s="2232" t="s">
        <v>2187</v>
      </c>
      <c r="H284" s="3790">
        <f>IF(ISBLANK(E250),"",O278)</f>
        <v>0</v>
      </c>
      <c r="I284" s="3791"/>
      <c r="J284" s="3813" t="s">
        <v>2188</v>
      </c>
      <c r="K284" s="3814"/>
      <c r="L284" s="3802" t="str">
        <f>IF(ISBLANK(E252),"",MAX(4,(B284/E284/H284)))</f>
        <v/>
      </c>
      <c r="M284" s="3815"/>
      <c r="N284" s="2228" t="s">
        <v>1595</v>
      </c>
      <c r="O284" s="2234" t="s">
        <v>1594</v>
      </c>
      <c r="U284" s="2255"/>
      <c r="W284" s="2261" t="s">
        <v>2201</v>
      </c>
      <c r="X284" s="1655"/>
    </row>
    <row r="285" spans="1:24" s="2228" customFormat="1" ht="6" customHeight="1">
      <c r="A285" s="2254"/>
      <c r="U285" s="2255"/>
    </row>
    <row r="286" spans="1:24" s="2228" customFormat="1" ht="19.5" customHeight="1">
      <c r="A286" s="2254" t="s">
        <v>1480</v>
      </c>
      <c r="B286" s="2262" t="s">
        <v>2189</v>
      </c>
      <c r="J286" s="3788">
        <v>1440</v>
      </c>
      <c r="K286" s="3789"/>
      <c r="L286" s="2232" t="s">
        <v>1558</v>
      </c>
      <c r="M286" s="3834" t="str">
        <f>L284</f>
        <v/>
      </c>
      <c r="N286" s="3835"/>
      <c r="O286" s="2232" t="s">
        <v>1240</v>
      </c>
      <c r="P286" s="3834" t="str">
        <f>IF(ISBLANK(E252),"",J286/M286)</f>
        <v/>
      </c>
      <c r="Q286" s="3835"/>
      <c r="T286" s="2228" t="s">
        <v>1592</v>
      </c>
      <c r="U286" s="2255"/>
    </row>
    <row r="287" spans="1:24" s="2228" customFormat="1" ht="6" customHeight="1">
      <c r="A287" s="2254"/>
      <c r="U287" s="2255"/>
    </row>
    <row r="288" spans="1:24" s="2228" customFormat="1" ht="19.5" customHeight="1">
      <c r="A288" s="2254" t="s">
        <v>1483</v>
      </c>
      <c r="B288" s="2228" t="s">
        <v>1597</v>
      </c>
      <c r="I288" s="3802" t="str">
        <f>P286</f>
        <v/>
      </c>
      <c r="J288" s="3791"/>
      <c r="K288" s="2232" t="s">
        <v>988</v>
      </c>
      <c r="L288" s="3802" t="str">
        <f>R280</f>
        <v/>
      </c>
      <c r="M288" s="3791"/>
      <c r="N288" s="2232" t="s">
        <v>1240</v>
      </c>
      <c r="O288" s="3802" t="str">
        <f>IF(ISBLANK(E252),"",I288-L288)</f>
        <v/>
      </c>
      <c r="P288" s="3791"/>
      <c r="Q288" s="2228" t="s">
        <v>1592</v>
      </c>
      <c r="U288" s="2255"/>
    </row>
    <row r="289" spans="1:21" s="2228" customFormat="1" ht="6" customHeight="1">
      <c r="A289" s="2254"/>
      <c r="U289" s="2255"/>
    </row>
    <row r="290" spans="1:21" s="2228" customFormat="1" ht="19.5" customHeight="1">
      <c r="A290" s="2254" t="s">
        <v>1485</v>
      </c>
      <c r="B290" s="2228" t="s">
        <v>1598</v>
      </c>
      <c r="M290" s="3790" t="str">
        <f>Q54</f>
        <v/>
      </c>
      <c r="N290" s="3791"/>
      <c r="O290" s="2259" t="s">
        <v>1343</v>
      </c>
      <c r="P290" s="3831">
        <f>1.6</f>
        <v>1.6</v>
      </c>
      <c r="Q290" s="3831"/>
      <c r="R290" s="2259" t="s">
        <v>1240</v>
      </c>
      <c r="S290" s="3790" t="str">
        <f>IF(ISBLANK(E252),"",M290*P290)</f>
        <v/>
      </c>
      <c r="T290" s="3791"/>
      <c r="U290" s="2256" t="s">
        <v>1537</v>
      </c>
    </row>
    <row r="291" spans="1:21" s="2228" customFormat="1" ht="6" customHeight="1">
      <c r="A291" s="2254"/>
      <c r="U291" s="2255"/>
    </row>
    <row r="292" spans="1:21" s="2228" customFormat="1" ht="15" customHeight="1">
      <c r="A292" s="2254" t="s">
        <v>1599</v>
      </c>
      <c r="B292" s="2228" t="s">
        <v>1600</v>
      </c>
      <c r="U292" s="2255"/>
    </row>
    <row r="293" spans="1:21" s="2228" customFormat="1" ht="6" customHeight="1">
      <c r="A293" s="2254"/>
      <c r="U293" s="2255"/>
    </row>
    <row r="294" spans="1:21" s="2228" customFormat="1" ht="19.5" customHeight="1">
      <c r="A294" s="2254"/>
      <c r="B294" s="3838" t="str">
        <f>L266</f>
        <v/>
      </c>
      <c r="C294" s="3839"/>
      <c r="D294" s="2232" t="s">
        <v>987</v>
      </c>
      <c r="E294" s="3790" t="str">
        <f>S290</f>
        <v/>
      </c>
      <c r="F294" s="3791"/>
      <c r="G294" s="2232" t="s">
        <v>1240</v>
      </c>
      <c r="H294" s="3838" t="str">
        <f>IF(ISBLANK(E252),"",B294+E294)</f>
        <v/>
      </c>
      <c r="I294" s="3839"/>
      <c r="J294" s="2258" t="s">
        <v>1584</v>
      </c>
      <c r="U294" s="2255"/>
    </row>
    <row r="295" spans="1:21" s="2228" customFormat="1" ht="6" customHeight="1">
      <c r="A295" s="2254"/>
      <c r="U295" s="2255"/>
    </row>
    <row r="296" spans="1:21" s="2228" customFormat="1" ht="19.5" customHeight="1">
      <c r="A296" s="2254" t="s">
        <v>1601</v>
      </c>
      <c r="B296" s="2228" t="s">
        <v>1602</v>
      </c>
      <c r="K296" s="3790" t="str">
        <f>H294</f>
        <v/>
      </c>
      <c r="L296" s="3791"/>
      <c r="M296" s="2232" t="s">
        <v>1343</v>
      </c>
      <c r="N296" s="3802" t="str">
        <f>R280</f>
        <v/>
      </c>
      <c r="O296" s="3791"/>
      <c r="P296" s="2232" t="s">
        <v>1240</v>
      </c>
      <c r="Q296" s="3806" t="str">
        <f>IF(ISBLANK(E252),"",K296*N296)</f>
        <v/>
      </c>
      <c r="R296" s="3807"/>
      <c r="S296" s="2228" t="s">
        <v>1537</v>
      </c>
      <c r="U296" s="2255"/>
    </row>
    <row r="297" spans="1:21" s="2228" customFormat="1" ht="6" customHeight="1">
      <c r="A297" s="2254"/>
      <c r="U297" s="2255"/>
    </row>
    <row r="298" spans="1:21" s="2228" customFormat="1" ht="15" customHeight="1">
      <c r="A298" s="2254" t="s">
        <v>1603</v>
      </c>
      <c r="B298" s="2228" t="s">
        <v>1604</v>
      </c>
      <c r="C298" s="1244"/>
      <c r="D298" s="1244"/>
      <c r="E298" s="1244"/>
      <c r="F298" s="1244"/>
      <c r="G298" s="1244"/>
      <c r="H298" s="1244"/>
      <c r="I298" s="1244"/>
      <c r="J298" s="1244"/>
      <c r="K298" s="1244"/>
      <c r="L298" s="2263"/>
      <c r="U298" s="2255"/>
    </row>
    <row r="299" spans="1:21" s="2228" customFormat="1" ht="6" customHeight="1">
      <c r="A299" s="2254"/>
      <c r="U299" s="2255"/>
    </row>
    <row r="300" spans="1:21" s="2228" customFormat="1" ht="19.5" customHeight="1">
      <c r="A300" s="2254"/>
      <c r="B300" s="3802">
        <f>IF(ISBLANK(E88),"",E43)</f>
        <v>0</v>
      </c>
      <c r="C300" s="3815"/>
      <c r="D300" s="2263" t="s">
        <v>1343</v>
      </c>
      <c r="E300" s="3802" t="str">
        <f>L284</f>
        <v/>
      </c>
      <c r="F300" s="3815"/>
      <c r="G300" s="2263" t="s">
        <v>1343</v>
      </c>
      <c r="H300" s="3802" t="str">
        <f>R280</f>
        <v/>
      </c>
      <c r="I300" s="3815"/>
      <c r="J300" s="2263" t="s">
        <v>1240</v>
      </c>
      <c r="K300" s="3802" t="str">
        <f>IF(ISBLANK(E252),"",B300*E300*H300)</f>
        <v/>
      </c>
      <c r="L300" s="3815"/>
      <c r="M300" s="1244" t="s">
        <v>1592</v>
      </c>
      <c r="O300" s="1653" t="s">
        <v>2198</v>
      </c>
      <c r="U300" s="2255"/>
    </row>
    <row r="301" spans="1:21" ht="6" customHeight="1">
      <c r="A301" s="2247"/>
      <c r="B301" s="2248"/>
      <c r="C301" s="2248"/>
      <c r="D301" s="2248"/>
      <c r="E301" s="2248"/>
      <c r="F301" s="2248"/>
      <c r="G301" s="2248"/>
      <c r="H301" s="2248"/>
      <c r="I301" s="2248"/>
      <c r="J301" s="2248"/>
      <c r="K301" s="2248"/>
      <c r="L301" s="2248"/>
      <c r="M301" s="2248"/>
      <c r="N301" s="2248"/>
      <c r="O301" s="2248"/>
      <c r="P301" s="2248"/>
      <c r="Q301" s="2248"/>
      <c r="R301" s="2248"/>
      <c r="S301" s="2248"/>
      <c r="T301" s="2248"/>
      <c r="U301" s="2249"/>
    </row>
    <row r="302" spans="1:21">
      <c r="A302" s="2226"/>
      <c r="B302" s="2222" t="s">
        <v>719</v>
      </c>
      <c r="U302" s="2227"/>
    </row>
    <row r="303" spans="1:21">
      <c r="A303" s="2226"/>
      <c r="B303" s="3840"/>
      <c r="C303" s="3841"/>
      <c r="D303" s="3841"/>
      <c r="E303" s="3841"/>
      <c r="F303" s="3841"/>
      <c r="G303" s="3841"/>
      <c r="H303" s="3841"/>
      <c r="I303" s="3841"/>
      <c r="J303" s="3841"/>
      <c r="K303" s="3841"/>
      <c r="L303" s="3841"/>
      <c r="M303" s="3841"/>
      <c r="N303" s="3841"/>
      <c r="O303" s="3841"/>
      <c r="P303" s="3841"/>
      <c r="Q303" s="3841"/>
      <c r="R303" s="3841"/>
      <c r="S303" s="3841"/>
      <c r="T303" s="3841"/>
      <c r="U303" s="3842"/>
    </row>
    <row r="304" spans="1:21">
      <c r="A304" s="2226"/>
      <c r="B304" s="3843"/>
      <c r="C304" s="3844"/>
      <c r="D304" s="3844"/>
      <c r="E304" s="3844"/>
      <c r="F304" s="3844"/>
      <c r="G304" s="3844"/>
      <c r="H304" s="3844"/>
      <c r="I304" s="3844"/>
      <c r="J304" s="3844"/>
      <c r="K304" s="3844"/>
      <c r="L304" s="3844"/>
      <c r="M304" s="3844"/>
      <c r="N304" s="3844"/>
      <c r="O304" s="3844"/>
      <c r="P304" s="3844"/>
      <c r="Q304" s="3844"/>
      <c r="R304" s="3844"/>
      <c r="S304" s="3844"/>
      <c r="T304" s="3844"/>
      <c r="U304" s="3845"/>
    </row>
    <row r="305" spans="1:21">
      <c r="A305" s="2226"/>
      <c r="B305" s="3843"/>
      <c r="C305" s="3844"/>
      <c r="D305" s="3844"/>
      <c r="E305" s="3844"/>
      <c r="F305" s="3844"/>
      <c r="G305" s="3844"/>
      <c r="H305" s="3844"/>
      <c r="I305" s="3844"/>
      <c r="J305" s="3844"/>
      <c r="K305" s="3844"/>
      <c r="L305" s="3844"/>
      <c r="M305" s="3844"/>
      <c r="N305" s="3844"/>
      <c r="O305" s="3844"/>
      <c r="P305" s="3844"/>
      <c r="Q305" s="3844"/>
      <c r="R305" s="3844"/>
      <c r="S305" s="3844"/>
      <c r="T305" s="3844"/>
      <c r="U305" s="3845"/>
    </row>
    <row r="306" spans="1:21">
      <c r="A306" s="2226"/>
      <c r="B306" s="3843"/>
      <c r="C306" s="3844"/>
      <c r="D306" s="3844"/>
      <c r="E306" s="3844"/>
      <c r="F306" s="3844"/>
      <c r="G306" s="3844"/>
      <c r="H306" s="3844"/>
      <c r="I306" s="3844"/>
      <c r="J306" s="3844"/>
      <c r="K306" s="3844"/>
      <c r="L306" s="3844"/>
      <c r="M306" s="3844"/>
      <c r="N306" s="3844"/>
      <c r="O306" s="3844"/>
      <c r="P306" s="3844"/>
      <c r="Q306" s="3844"/>
      <c r="R306" s="3844"/>
      <c r="S306" s="3844"/>
      <c r="T306" s="3844"/>
      <c r="U306" s="3845"/>
    </row>
    <row r="307" spans="1:21">
      <c r="A307" s="2226"/>
      <c r="B307" s="3843"/>
      <c r="C307" s="3844"/>
      <c r="D307" s="3844"/>
      <c r="E307" s="3844"/>
      <c r="F307" s="3844"/>
      <c r="G307" s="3844"/>
      <c r="H307" s="3844"/>
      <c r="I307" s="3844"/>
      <c r="J307" s="3844"/>
      <c r="K307" s="3844"/>
      <c r="L307" s="3844"/>
      <c r="M307" s="3844"/>
      <c r="N307" s="3844"/>
      <c r="O307" s="3844"/>
      <c r="P307" s="3844"/>
      <c r="Q307" s="3844"/>
      <c r="R307" s="3844"/>
      <c r="S307" s="3844"/>
      <c r="T307" s="3844"/>
      <c r="U307" s="3845"/>
    </row>
    <row r="308" spans="1:21">
      <c r="A308" s="2226"/>
      <c r="B308" s="3843"/>
      <c r="C308" s="3844"/>
      <c r="D308" s="3844"/>
      <c r="E308" s="3844"/>
      <c r="F308" s="3844"/>
      <c r="G308" s="3844"/>
      <c r="H308" s="3844"/>
      <c r="I308" s="3844"/>
      <c r="J308" s="3844"/>
      <c r="K308" s="3844"/>
      <c r="L308" s="3844"/>
      <c r="M308" s="3844"/>
      <c r="N308" s="3844"/>
      <c r="O308" s="3844"/>
      <c r="P308" s="3844"/>
      <c r="Q308" s="3844"/>
      <c r="R308" s="3844"/>
      <c r="S308" s="3844"/>
      <c r="T308" s="3844"/>
      <c r="U308" s="3845"/>
    </row>
    <row r="309" spans="1:21">
      <c r="A309" s="2226"/>
      <c r="B309" s="3843"/>
      <c r="C309" s="3844"/>
      <c r="D309" s="3844"/>
      <c r="E309" s="3844"/>
      <c r="F309" s="3844"/>
      <c r="G309" s="3844"/>
      <c r="H309" s="3844"/>
      <c r="I309" s="3844"/>
      <c r="J309" s="3844"/>
      <c r="K309" s="3844"/>
      <c r="L309" s="3844"/>
      <c r="M309" s="3844"/>
      <c r="N309" s="3844"/>
      <c r="O309" s="3844"/>
      <c r="P309" s="3844"/>
      <c r="Q309" s="3844"/>
      <c r="R309" s="3844"/>
      <c r="S309" s="3844"/>
      <c r="T309" s="3844"/>
      <c r="U309" s="3845"/>
    </row>
    <row r="310" spans="1:21">
      <c r="A310" s="2226"/>
      <c r="B310" s="3846"/>
      <c r="C310" s="3847"/>
      <c r="D310" s="3847"/>
      <c r="E310" s="3847"/>
      <c r="F310" s="3847"/>
      <c r="G310" s="3847"/>
      <c r="H310" s="3847"/>
      <c r="I310" s="3847"/>
      <c r="J310" s="3847"/>
      <c r="K310" s="3847"/>
      <c r="L310" s="3847"/>
      <c r="M310" s="3847"/>
      <c r="N310" s="3847"/>
      <c r="O310" s="3847"/>
      <c r="P310" s="3847"/>
      <c r="Q310" s="3847"/>
      <c r="R310" s="3847"/>
      <c r="S310" s="3847"/>
      <c r="T310" s="3847"/>
      <c r="U310" s="3848"/>
    </row>
    <row r="311" spans="1:21">
      <c r="A311" s="2247"/>
      <c r="B311" s="2248"/>
      <c r="C311" s="2248"/>
      <c r="D311" s="2248"/>
      <c r="E311" s="2248"/>
      <c r="F311" s="2248"/>
      <c r="G311" s="2248"/>
      <c r="H311" s="2248"/>
      <c r="I311" s="2248"/>
      <c r="J311" s="2248"/>
      <c r="K311" s="2248"/>
      <c r="L311" s="2248"/>
      <c r="M311" s="2248"/>
      <c r="N311" s="2248"/>
      <c r="O311" s="2248"/>
      <c r="P311" s="2248"/>
      <c r="Q311" s="2248"/>
      <c r="R311" s="2248"/>
      <c r="S311" s="2248"/>
      <c r="T311" s="2248"/>
      <c r="U311" s="2249"/>
    </row>
  </sheetData>
  <mergeCells count="296">
    <mergeCell ref="F10:G10"/>
    <mergeCell ref="F12:I12"/>
    <mergeCell ref="G14:H14"/>
    <mergeCell ref="F16:G16"/>
    <mergeCell ref="F18:G18"/>
    <mergeCell ref="A20:U20"/>
    <mergeCell ref="E1:P1"/>
    <mergeCell ref="I2:J2"/>
    <mergeCell ref="K2:L2"/>
    <mergeCell ref="E4:F4"/>
    <mergeCell ref="A6:U6"/>
    <mergeCell ref="F8:G8"/>
    <mergeCell ref="B30:C30"/>
    <mergeCell ref="E30:F30"/>
    <mergeCell ref="I30:J30"/>
    <mergeCell ref="P32:Q32"/>
    <mergeCell ref="L35:M35"/>
    <mergeCell ref="O35:P35"/>
    <mergeCell ref="E22:F22"/>
    <mergeCell ref="L22:M22"/>
    <mergeCell ref="P22:T24"/>
    <mergeCell ref="E24:F24"/>
    <mergeCell ref="K26:L26"/>
    <mergeCell ref="N26:O26"/>
    <mergeCell ref="P26:Q26"/>
    <mergeCell ref="R26:S26"/>
    <mergeCell ref="F45:G45"/>
    <mergeCell ref="S45:T45"/>
    <mergeCell ref="C49:D49"/>
    <mergeCell ref="F49:G49"/>
    <mergeCell ref="J49:K49"/>
    <mergeCell ref="M49:N49"/>
    <mergeCell ref="R35:S35"/>
    <mergeCell ref="E37:F37"/>
    <mergeCell ref="B41:C41"/>
    <mergeCell ref="E41:F41"/>
    <mergeCell ref="H41:I41"/>
    <mergeCell ref="E43:F43"/>
    <mergeCell ref="A86:U86"/>
    <mergeCell ref="E88:F88"/>
    <mergeCell ref="I88:T88"/>
    <mergeCell ref="E90:F90"/>
    <mergeCell ref="M90:N90"/>
    <mergeCell ref="M92:N92"/>
    <mergeCell ref="P92:Q92"/>
    <mergeCell ref="S92:T92"/>
    <mergeCell ref="C52:D52"/>
    <mergeCell ref="F52:G52"/>
    <mergeCell ref="I52:J52"/>
    <mergeCell ref="N54:O54"/>
    <mergeCell ref="Q54:R54"/>
    <mergeCell ref="B81:K82"/>
    <mergeCell ref="M81:T82"/>
    <mergeCell ref="M100:N100"/>
    <mergeCell ref="P100:Q100"/>
    <mergeCell ref="S100:T100"/>
    <mergeCell ref="C104:D104"/>
    <mergeCell ref="F104:G104"/>
    <mergeCell ref="L104:M104"/>
    <mergeCell ref="E94:F94"/>
    <mergeCell ref="M94:N94"/>
    <mergeCell ref="M96:N96"/>
    <mergeCell ref="P96:Q96"/>
    <mergeCell ref="S96:T96"/>
    <mergeCell ref="M98:N98"/>
    <mergeCell ref="P98:Q98"/>
    <mergeCell ref="S98:T98"/>
    <mergeCell ref="B114:C114"/>
    <mergeCell ref="E114:F114"/>
    <mergeCell ref="H114:I114"/>
    <mergeCell ref="K114:L114"/>
    <mergeCell ref="P114:Q114"/>
    <mergeCell ref="S114:T114"/>
    <mergeCell ref="M106:N106"/>
    <mergeCell ref="P106:Q106"/>
    <mergeCell ref="S106:T106"/>
    <mergeCell ref="C110:D110"/>
    <mergeCell ref="F110:G110"/>
    <mergeCell ref="J110:K110"/>
    <mergeCell ref="M110:N110"/>
    <mergeCell ref="O116:P116"/>
    <mergeCell ref="L118:M118"/>
    <mergeCell ref="O118:P118"/>
    <mergeCell ref="R118:S118"/>
    <mergeCell ref="B122:C122"/>
    <mergeCell ref="E122:F122"/>
    <mergeCell ref="H122:I122"/>
    <mergeCell ref="J122:K122"/>
    <mergeCell ref="L122:M122"/>
    <mergeCell ref="M128:N128"/>
    <mergeCell ref="O128:P128"/>
    <mergeCell ref="S128:T128"/>
    <mergeCell ref="B132:C132"/>
    <mergeCell ref="E132:F132"/>
    <mergeCell ref="H132:I132"/>
    <mergeCell ref="J124:K124"/>
    <mergeCell ref="M124:N124"/>
    <mergeCell ref="P124:Q124"/>
    <mergeCell ref="I126:J126"/>
    <mergeCell ref="L126:M126"/>
    <mergeCell ref="O126:P126"/>
    <mergeCell ref="A140:U140"/>
    <mergeCell ref="E142:F142"/>
    <mergeCell ref="I142:T142"/>
    <mergeCell ref="E144:F144"/>
    <mergeCell ref="M144:N144"/>
    <mergeCell ref="M146:N146"/>
    <mergeCell ref="P146:Q146"/>
    <mergeCell ref="S146:T146"/>
    <mergeCell ref="K134:L134"/>
    <mergeCell ref="N134:O134"/>
    <mergeCell ref="Q134:R134"/>
    <mergeCell ref="B138:C138"/>
    <mergeCell ref="E138:F138"/>
    <mergeCell ref="H138:I138"/>
    <mergeCell ref="K138:L138"/>
    <mergeCell ref="M154:N154"/>
    <mergeCell ref="P154:Q154"/>
    <mergeCell ref="S154:T154"/>
    <mergeCell ref="C158:D158"/>
    <mergeCell ref="F158:G158"/>
    <mergeCell ref="L158:M158"/>
    <mergeCell ref="E148:F148"/>
    <mergeCell ref="M148:N148"/>
    <mergeCell ref="M150:N150"/>
    <mergeCell ref="P150:Q150"/>
    <mergeCell ref="S150:T150"/>
    <mergeCell ref="M152:N152"/>
    <mergeCell ref="P152:Q152"/>
    <mergeCell ref="S152:T152"/>
    <mergeCell ref="B168:C168"/>
    <mergeCell ref="E168:F168"/>
    <mergeCell ref="H168:I168"/>
    <mergeCell ref="K168:L168"/>
    <mergeCell ref="P168:Q168"/>
    <mergeCell ref="S168:T168"/>
    <mergeCell ref="M160:N160"/>
    <mergeCell ref="P160:Q160"/>
    <mergeCell ref="S160:T160"/>
    <mergeCell ref="C164:D164"/>
    <mergeCell ref="F164:G164"/>
    <mergeCell ref="J164:K164"/>
    <mergeCell ref="M164:N164"/>
    <mergeCell ref="O170:P170"/>
    <mergeCell ref="L172:M172"/>
    <mergeCell ref="O172:P172"/>
    <mergeCell ref="R172:S172"/>
    <mergeCell ref="B176:C176"/>
    <mergeCell ref="E176:F176"/>
    <mergeCell ref="H176:I176"/>
    <mergeCell ref="J176:K176"/>
    <mergeCell ref="L176:M176"/>
    <mergeCell ref="B186:C186"/>
    <mergeCell ref="E186:F186"/>
    <mergeCell ref="H186:I186"/>
    <mergeCell ref="I188:J188"/>
    <mergeCell ref="L188:M188"/>
    <mergeCell ref="O188:P188"/>
    <mergeCell ref="L178:M178"/>
    <mergeCell ref="O178:P178"/>
    <mergeCell ref="I180:J180"/>
    <mergeCell ref="L180:M180"/>
    <mergeCell ref="O180:P180"/>
    <mergeCell ref="K182:L182"/>
    <mergeCell ref="P182:Q182"/>
    <mergeCell ref="E198:F198"/>
    <mergeCell ref="M198:N198"/>
    <mergeCell ref="M200:N200"/>
    <mergeCell ref="P200:Q200"/>
    <mergeCell ref="S200:T200"/>
    <mergeCell ref="E202:F202"/>
    <mergeCell ref="M202:N202"/>
    <mergeCell ref="B192:C192"/>
    <mergeCell ref="E192:F192"/>
    <mergeCell ref="H192:I192"/>
    <mergeCell ref="K192:L192"/>
    <mergeCell ref="A194:U194"/>
    <mergeCell ref="E196:F196"/>
    <mergeCell ref="I196:T196"/>
    <mergeCell ref="M208:N208"/>
    <mergeCell ref="P208:Q208"/>
    <mergeCell ref="S208:T208"/>
    <mergeCell ref="C212:D212"/>
    <mergeCell ref="F212:G212"/>
    <mergeCell ref="L212:M212"/>
    <mergeCell ref="M204:N204"/>
    <mergeCell ref="P204:Q204"/>
    <mergeCell ref="S204:T204"/>
    <mergeCell ref="M206:N206"/>
    <mergeCell ref="P206:Q206"/>
    <mergeCell ref="S206:T206"/>
    <mergeCell ref="B222:C222"/>
    <mergeCell ref="E222:F222"/>
    <mergeCell ref="H222:I222"/>
    <mergeCell ref="K222:L222"/>
    <mergeCell ref="P222:Q222"/>
    <mergeCell ref="S222:T222"/>
    <mergeCell ref="M214:N214"/>
    <mergeCell ref="P214:Q214"/>
    <mergeCell ref="S214:T214"/>
    <mergeCell ref="C218:D218"/>
    <mergeCell ref="F218:G218"/>
    <mergeCell ref="J218:K218"/>
    <mergeCell ref="M218:N218"/>
    <mergeCell ref="O224:P224"/>
    <mergeCell ref="L226:M226"/>
    <mergeCell ref="O226:P226"/>
    <mergeCell ref="R226:S226"/>
    <mergeCell ref="B230:C230"/>
    <mergeCell ref="E230:F230"/>
    <mergeCell ref="H230:I230"/>
    <mergeCell ref="J230:K230"/>
    <mergeCell ref="L230:M230"/>
    <mergeCell ref="S236:T236"/>
    <mergeCell ref="B240:C240"/>
    <mergeCell ref="E240:F240"/>
    <mergeCell ref="H240:I240"/>
    <mergeCell ref="J232:K232"/>
    <mergeCell ref="M232:N232"/>
    <mergeCell ref="P232:Q232"/>
    <mergeCell ref="I234:J234"/>
    <mergeCell ref="L234:M234"/>
    <mergeCell ref="O234:P234"/>
    <mergeCell ref="K242:L242"/>
    <mergeCell ref="N242:O242"/>
    <mergeCell ref="Q242:R242"/>
    <mergeCell ref="B246:C246"/>
    <mergeCell ref="E246:F246"/>
    <mergeCell ref="H246:I246"/>
    <mergeCell ref="K246:L246"/>
    <mergeCell ref="M236:N236"/>
    <mergeCell ref="P236:Q236"/>
    <mergeCell ref="E256:F256"/>
    <mergeCell ref="M256:N256"/>
    <mergeCell ref="M258:N258"/>
    <mergeCell ref="P258:Q258"/>
    <mergeCell ref="S258:T258"/>
    <mergeCell ref="M260:N260"/>
    <mergeCell ref="P260:Q260"/>
    <mergeCell ref="S260:T260"/>
    <mergeCell ref="A248:U248"/>
    <mergeCell ref="E250:F250"/>
    <mergeCell ref="I250:T250"/>
    <mergeCell ref="E252:F252"/>
    <mergeCell ref="M252:N252"/>
    <mergeCell ref="M254:N254"/>
    <mergeCell ref="P254:Q254"/>
    <mergeCell ref="S254:T254"/>
    <mergeCell ref="M268:N268"/>
    <mergeCell ref="P268:Q268"/>
    <mergeCell ref="S268:T268"/>
    <mergeCell ref="C272:D272"/>
    <mergeCell ref="F272:G272"/>
    <mergeCell ref="J272:K272"/>
    <mergeCell ref="M272:N272"/>
    <mergeCell ref="M262:N262"/>
    <mergeCell ref="P262:Q262"/>
    <mergeCell ref="S262:T262"/>
    <mergeCell ref="C266:D266"/>
    <mergeCell ref="F266:G266"/>
    <mergeCell ref="L266:M266"/>
    <mergeCell ref="R280:S280"/>
    <mergeCell ref="B284:C284"/>
    <mergeCell ref="E284:F284"/>
    <mergeCell ref="H284:I284"/>
    <mergeCell ref="J284:K284"/>
    <mergeCell ref="L284:M284"/>
    <mergeCell ref="B276:C276"/>
    <mergeCell ref="E276:F276"/>
    <mergeCell ref="H276:I276"/>
    <mergeCell ref="K276:L276"/>
    <mergeCell ref="P276:Q276"/>
    <mergeCell ref="S276:T276"/>
    <mergeCell ref="J286:K286"/>
    <mergeCell ref="M286:N286"/>
    <mergeCell ref="P286:Q286"/>
    <mergeCell ref="I288:J288"/>
    <mergeCell ref="L288:M288"/>
    <mergeCell ref="O288:P288"/>
    <mergeCell ref="O278:P278"/>
    <mergeCell ref="L280:M280"/>
    <mergeCell ref="O280:P280"/>
    <mergeCell ref="B303:U310"/>
    <mergeCell ref="K296:L296"/>
    <mergeCell ref="N296:O296"/>
    <mergeCell ref="Q296:R296"/>
    <mergeCell ref="B300:C300"/>
    <mergeCell ref="E300:F300"/>
    <mergeCell ref="H300:I300"/>
    <mergeCell ref="K300:L300"/>
    <mergeCell ref="M290:N290"/>
    <mergeCell ref="P290:Q290"/>
    <mergeCell ref="S290:T290"/>
    <mergeCell ref="B294:C294"/>
    <mergeCell ref="E294:F294"/>
    <mergeCell ref="H294:I294"/>
  </mergeCells>
  <printOptions horizontalCentered="1"/>
  <pageMargins left="0.5" right="0.5" top="0.25" bottom="0.25" header="0.3" footer="0.3"/>
  <pageSetup scale="65" orientation="portrait" blackAndWhite="1" r:id="rId1"/>
  <rowBreaks count="3" manualBreakCount="3">
    <brk id="85" max="16383" man="1"/>
    <brk id="173" max="16383" man="1"/>
    <brk id="269"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6B169632-2AF0-45A6-A30E-0A2E1A1B1BD4}">
          <x14:formula1>
            <xm:f>'Drop-Down Lists'!$H$2:$H$25</xm:f>
          </x14:formula1>
          <xm:sqref>F12:I12</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97C9D-3766-498E-BC28-6745ABBBCAB2}">
  <sheetPr codeName="Sheet42">
    <tabColor rgb="FF00B0F0"/>
  </sheetPr>
  <dimension ref="A1:AN92"/>
  <sheetViews>
    <sheetView showGridLines="0" showZeros="0" view="pageBreakPreview" zoomScaleNormal="100" zoomScaleSheetLayoutView="100" workbookViewId="0">
      <selection activeCell="G6" sqref="G6:L6"/>
    </sheetView>
  </sheetViews>
  <sheetFormatPr defaultColWidth="5.42578125" defaultRowHeight="15"/>
  <cols>
    <col min="1" max="20" width="5.42578125" style="1" customWidth="1"/>
    <col min="21" max="21" width="19.42578125" style="1" customWidth="1"/>
    <col min="22" max="31" width="5.42578125" style="1" customWidth="1"/>
    <col min="32" max="32" width="16" style="1" customWidth="1"/>
    <col min="33" max="33" width="5.42578125" style="1" customWidth="1"/>
    <col min="34" max="34" width="7.85546875" style="1" customWidth="1"/>
    <col min="35" max="35" width="5.42578125" style="1"/>
    <col min="36" max="36" width="7.42578125" style="1" bestFit="1" customWidth="1"/>
    <col min="37" max="16384" width="5.42578125" style="1"/>
  </cols>
  <sheetData>
    <row r="1" spans="1:40" ht="54.95" customHeight="1" thickBot="1">
      <c r="A1" s="1384"/>
      <c r="B1" s="1385"/>
      <c r="C1" s="1385"/>
      <c r="D1" s="749"/>
      <c r="E1" s="3453" t="s">
        <v>2203</v>
      </c>
      <c r="F1" s="3453"/>
      <c r="G1" s="3453"/>
      <c r="H1" s="3453"/>
      <c r="I1" s="3453"/>
      <c r="J1" s="3453"/>
      <c r="K1" s="3453"/>
      <c r="L1" s="3453"/>
      <c r="M1" s="3453"/>
      <c r="N1" s="1572"/>
      <c r="O1" s="1386"/>
      <c r="P1" s="1386"/>
      <c r="Q1" s="1386"/>
      <c r="R1" s="1387"/>
      <c r="AH1" s="14"/>
      <c r="AI1" s="23"/>
      <c r="AJ1" s="49"/>
      <c r="AM1" s="23"/>
      <c r="AN1" s="20"/>
    </row>
    <row r="2" spans="1:40" s="440" customFormat="1" ht="15.6" customHeight="1" thickBot="1">
      <c r="A2" s="1611"/>
      <c r="B2" s="1612"/>
      <c r="C2" s="1612"/>
      <c r="D2" s="1612"/>
      <c r="E2" s="1612"/>
      <c r="F2" s="1612"/>
      <c r="G2" s="1612"/>
      <c r="H2" s="1612"/>
      <c r="I2" s="3177" t="s">
        <v>1164</v>
      </c>
      <c r="J2" s="3177"/>
      <c r="K2" s="3178" t="str">
        <f>IF(ISBLANK('Design Details &amp; Summary'!S3)," ",'Design Details &amp; Summary'!S3)</f>
        <v xml:space="preserve"> </v>
      </c>
      <c r="L2" s="3178"/>
      <c r="M2" s="1612"/>
      <c r="N2" s="1612"/>
      <c r="O2" s="1612"/>
      <c r="P2" s="1612"/>
      <c r="Q2" s="1612"/>
      <c r="R2" s="2379" t="str">
        <f>'Drop-Down Lists'!A2</f>
        <v>v 05.01.2026</v>
      </c>
      <c r="S2" s="2329"/>
      <c r="T2" s="2329"/>
      <c r="U2" s="2329"/>
      <c r="V2" s="2329"/>
      <c r="W2" s="2329"/>
      <c r="X2" s="2329"/>
      <c r="Y2" s="2329"/>
      <c r="Z2" s="2329"/>
      <c r="AA2" s="2329"/>
      <c r="AB2" s="2329"/>
      <c r="AC2" s="2329"/>
      <c r="AD2" s="2329"/>
      <c r="AE2" s="2329"/>
      <c r="AF2" s="2329"/>
      <c r="AG2" s="2329"/>
      <c r="AH2" s="2329"/>
      <c r="AI2" s="2329"/>
      <c r="AJ2" s="2329"/>
      <c r="AK2" s="2329"/>
      <c r="AL2" s="2329"/>
      <c r="AM2" s="2329"/>
      <c r="AN2" s="2329"/>
    </row>
    <row r="3" spans="1:40" s="440" customFormat="1" ht="5.45" customHeight="1">
      <c r="A3" s="1421"/>
      <c r="B3" s="1573"/>
      <c r="C3" s="1573"/>
      <c r="D3" s="1573"/>
      <c r="E3" s="1573"/>
      <c r="F3" s="1573"/>
      <c r="G3" s="1573"/>
      <c r="H3" s="1573"/>
      <c r="I3" s="1574"/>
      <c r="J3" s="1574"/>
      <c r="K3" s="525"/>
      <c r="L3" s="525"/>
      <c r="M3" s="1573"/>
      <c r="N3" s="1573"/>
      <c r="O3" s="1573"/>
      <c r="P3" s="1573"/>
      <c r="Q3" s="1573"/>
      <c r="R3" s="1422"/>
      <c r="S3" s="2329"/>
      <c r="T3" s="2329"/>
      <c r="U3" s="2329"/>
      <c r="V3" s="2329"/>
      <c r="W3" s="2329"/>
      <c r="X3" s="2329"/>
      <c r="Y3" s="2329"/>
      <c r="Z3" s="2329"/>
      <c r="AA3" s="2329"/>
      <c r="AB3" s="2329"/>
      <c r="AC3" s="2329"/>
      <c r="AD3" s="2329"/>
      <c r="AE3" s="2329"/>
      <c r="AF3" s="2329"/>
      <c r="AG3" s="2329"/>
      <c r="AH3" s="2329"/>
      <c r="AI3" s="2329"/>
      <c r="AJ3" s="2329"/>
      <c r="AK3" s="2329"/>
      <c r="AL3" s="2329"/>
      <c r="AM3" s="2329"/>
      <c r="AN3" s="2329"/>
    </row>
    <row r="4" spans="1:40" s="440" customFormat="1" ht="39" customHeight="1">
      <c r="A4" s="3854" t="s">
        <v>2204</v>
      </c>
      <c r="B4" s="3855"/>
      <c r="C4" s="3855"/>
      <c r="D4" s="3855"/>
      <c r="E4" s="3855"/>
      <c r="F4" s="3855"/>
      <c r="G4" s="3855"/>
      <c r="H4" s="3855"/>
      <c r="I4" s="3855"/>
      <c r="J4" s="3855"/>
      <c r="K4" s="3855"/>
      <c r="L4" s="3855"/>
      <c r="M4" s="3855"/>
      <c r="N4" s="3855"/>
      <c r="O4" s="3855"/>
      <c r="P4" s="3855"/>
      <c r="Q4" s="3855"/>
      <c r="R4" s="3856"/>
      <c r="S4" s="2329"/>
      <c r="T4" s="2329"/>
      <c r="U4" s="2329"/>
      <c r="V4" s="2329"/>
      <c r="W4" s="2329"/>
      <c r="X4" s="2329"/>
      <c r="Y4" s="2329"/>
      <c r="Z4" s="2329"/>
      <c r="AA4" s="2329"/>
      <c r="AB4" s="2329"/>
      <c r="AC4" s="2329"/>
      <c r="AD4" s="2329"/>
      <c r="AE4" s="2329"/>
      <c r="AF4" s="2329"/>
      <c r="AG4" s="2329"/>
      <c r="AH4" s="2329"/>
      <c r="AI4" s="2329"/>
      <c r="AJ4" s="2329"/>
      <c r="AK4" s="2329"/>
      <c r="AL4" s="2329"/>
      <c r="AM4" s="2329"/>
      <c r="AN4" s="2329"/>
    </row>
    <row r="5" spans="1:40" s="440" customFormat="1" ht="6" customHeight="1">
      <c r="A5" s="1603"/>
      <c r="B5" s="1604"/>
      <c r="C5" s="1604"/>
      <c r="D5" s="1604"/>
      <c r="E5" s="1604"/>
      <c r="F5" s="1604"/>
      <c r="G5" s="1604"/>
      <c r="H5" s="1604"/>
      <c r="I5" s="1604"/>
      <c r="J5" s="1604"/>
      <c r="K5" s="1604"/>
      <c r="L5" s="1604"/>
      <c r="M5" s="1604"/>
      <c r="N5" s="1604"/>
      <c r="O5" s="1604"/>
      <c r="P5" s="1604"/>
      <c r="Q5" s="1604"/>
      <c r="R5" s="1424"/>
      <c r="S5" s="2329"/>
      <c r="T5" s="2329"/>
      <c r="U5" s="2329"/>
      <c r="V5" s="2329"/>
      <c r="W5" s="2329"/>
      <c r="X5" s="2329"/>
      <c r="Y5" s="2329"/>
      <c r="Z5" s="2329"/>
      <c r="AA5" s="2329"/>
      <c r="AB5" s="2329"/>
      <c r="AC5" s="2329"/>
      <c r="AD5" s="2329"/>
      <c r="AE5" s="2329"/>
      <c r="AF5" s="2329"/>
      <c r="AG5" s="2329"/>
      <c r="AH5" s="2329"/>
      <c r="AI5" s="2329"/>
      <c r="AJ5" s="2329"/>
      <c r="AK5" s="2329"/>
      <c r="AL5" s="2329"/>
      <c r="AM5" s="2329"/>
      <c r="AN5" s="2329"/>
    </row>
    <row r="6" spans="1:40" s="440" customFormat="1" ht="19.5" customHeight="1">
      <c r="A6" s="1421"/>
      <c r="B6" s="1573" t="s">
        <v>2205</v>
      </c>
      <c r="C6" s="1573"/>
      <c r="D6" s="1573"/>
      <c r="E6" s="1573"/>
      <c r="F6" s="1573"/>
      <c r="G6" s="3851"/>
      <c r="H6" s="3851"/>
      <c r="I6" s="3851"/>
      <c r="J6" s="3851"/>
      <c r="K6" s="3851"/>
      <c r="L6" s="3851"/>
      <c r="M6" s="1573"/>
      <c r="N6" s="1573"/>
      <c r="O6" s="1573"/>
      <c r="P6" s="1573"/>
      <c r="Q6" s="1573"/>
      <c r="R6" s="1422"/>
      <c r="S6" s="2329"/>
      <c r="T6" s="2329"/>
      <c r="U6" s="2329"/>
      <c r="V6" s="2329"/>
      <c r="W6" s="2329"/>
      <c r="X6" s="2329"/>
      <c r="Y6" s="2329"/>
      <c r="Z6" s="2329"/>
      <c r="AA6" s="2329"/>
      <c r="AB6" s="2329"/>
      <c r="AC6" s="2329"/>
      <c r="AD6" s="2329"/>
      <c r="AE6" s="2329"/>
      <c r="AF6" s="2329"/>
      <c r="AG6" s="2329"/>
      <c r="AH6" s="2329"/>
      <c r="AI6" s="2329"/>
      <c r="AJ6" s="2329"/>
      <c r="AK6" s="2329"/>
      <c r="AL6" s="2329"/>
      <c r="AM6" s="2329"/>
      <c r="AN6" s="2329"/>
    </row>
    <row r="7" spans="1:40" s="440" customFormat="1" ht="6" customHeight="1">
      <c r="A7" s="1421"/>
      <c r="B7" s="1573"/>
      <c r="C7" s="1573"/>
      <c r="D7" s="1573"/>
      <c r="E7" s="1573"/>
      <c r="F7" s="1573"/>
      <c r="G7" s="1573"/>
      <c r="H7" s="1573"/>
      <c r="I7" s="1574"/>
      <c r="J7" s="1574"/>
      <c r="K7" s="525"/>
      <c r="L7" s="525"/>
      <c r="M7" s="1573"/>
      <c r="N7" s="1573"/>
      <c r="O7" s="1573"/>
      <c r="P7" s="1573"/>
      <c r="Q7" s="1573"/>
      <c r="R7" s="1422"/>
      <c r="S7" s="2329"/>
      <c r="T7" s="2329"/>
      <c r="U7" s="2329"/>
      <c r="V7" s="2329"/>
      <c r="W7" s="2329"/>
      <c r="X7" s="2329"/>
      <c r="Y7" s="2329"/>
      <c r="Z7" s="2329"/>
      <c r="AA7" s="2329"/>
      <c r="AB7" s="2329"/>
      <c r="AC7" s="2329"/>
      <c r="AD7" s="2329"/>
      <c r="AE7" s="2329"/>
      <c r="AF7" s="2329"/>
      <c r="AG7" s="2329"/>
      <c r="AH7" s="2329"/>
      <c r="AI7" s="2329"/>
      <c r="AJ7" s="2329"/>
      <c r="AK7" s="2329"/>
      <c r="AL7" s="2329"/>
      <c r="AM7" s="2329"/>
      <c r="AN7" s="2329"/>
    </row>
    <row r="8" spans="1:40" s="440" customFormat="1" ht="6" customHeight="1">
      <c r="A8" s="1421"/>
      <c r="B8" s="1573"/>
      <c r="C8" s="1573"/>
      <c r="D8" s="1573"/>
      <c r="E8" s="1573"/>
      <c r="F8" s="1573"/>
      <c r="G8" s="1573"/>
      <c r="H8" s="1573"/>
      <c r="I8" s="1574"/>
      <c r="J8" s="1574"/>
      <c r="K8" s="525"/>
      <c r="L8" s="525"/>
      <c r="M8" s="1573"/>
      <c r="N8" s="1573"/>
      <c r="O8" s="1573"/>
      <c r="P8" s="1573"/>
      <c r="Q8" s="1573"/>
      <c r="R8" s="1422"/>
      <c r="S8" s="2329"/>
      <c r="T8" s="2329"/>
      <c r="U8" s="2329"/>
      <c r="V8" s="2329"/>
      <c r="W8" s="2329"/>
      <c r="X8" s="2329"/>
      <c r="Y8" s="2329"/>
      <c r="Z8" s="2329"/>
      <c r="AA8" s="2329"/>
      <c r="AB8" s="2329"/>
      <c r="AC8" s="2329"/>
      <c r="AD8" s="2329"/>
      <c r="AE8" s="2329"/>
      <c r="AF8" s="2329"/>
      <c r="AG8" s="2329"/>
      <c r="AH8" s="2329"/>
      <c r="AI8" s="2329"/>
      <c r="AJ8" s="2329"/>
      <c r="AK8" s="2329"/>
      <c r="AL8" s="2329"/>
      <c r="AM8" s="2329"/>
      <c r="AN8" s="2329"/>
    </row>
    <row r="9" spans="1:40" ht="20.100000000000001" customHeight="1">
      <c r="A9" s="868" t="s">
        <v>475</v>
      </c>
      <c r="B9" s="8" t="s">
        <v>1644</v>
      </c>
      <c r="C9" s="1573"/>
      <c r="D9" s="1573"/>
      <c r="E9" s="1573"/>
      <c r="F9" s="1573"/>
      <c r="G9" s="1573"/>
      <c r="H9" s="1573"/>
      <c r="I9" s="1574"/>
      <c r="J9" s="2940"/>
      <c r="K9" s="2941"/>
      <c r="L9" s="525" t="s">
        <v>609</v>
      </c>
      <c r="R9" s="2"/>
      <c r="AH9" s="14"/>
      <c r="AI9" s="23"/>
      <c r="AJ9" s="81"/>
      <c r="AM9" s="23"/>
    </row>
    <row r="10" spans="1:40" ht="6" customHeight="1">
      <c r="A10" s="868"/>
      <c r="B10" s="5"/>
      <c r="D10" s="3"/>
      <c r="E10" s="3"/>
      <c r="F10" s="3"/>
      <c r="G10" s="3"/>
      <c r="J10" s="30"/>
      <c r="K10" s="30"/>
      <c r="M10" s="28"/>
      <c r="N10" s="28"/>
      <c r="O10" s="28"/>
      <c r="R10" s="2"/>
    </row>
    <row r="11" spans="1:40" ht="20.100000000000001" customHeight="1">
      <c r="A11" s="868" t="s">
        <v>481</v>
      </c>
      <c r="B11" s="7" t="s">
        <v>2206</v>
      </c>
      <c r="C11" s="26"/>
      <c r="D11" s="26"/>
      <c r="E11" s="26"/>
      <c r="F11" s="26"/>
      <c r="G11" s="26"/>
      <c r="H11" s="26"/>
      <c r="I11" s="26"/>
      <c r="J11" s="3458"/>
      <c r="K11" s="3458"/>
      <c r="L11" s="8" t="s">
        <v>609</v>
      </c>
      <c r="M11" s="28"/>
      <c r="N11" s="28"/>
      <c r="O11" s="28"/>
      <c r="R11" s="2"/>
      <c r="V11" s="1901">
        <f>IF(J17="1/4","0.25",IF(J17="3/16","0.1875",IF(J17="1/8","0.125",IF(J17="7/32","0.21875",))))</f>
        <v>0</v>
      </c>
    </row>
    <row r="12" spans="1:40" ht="6" customHeight="1">
      <c r="A12" s="516"/>
      <c r="B12" s="26"/>
      <c r="C12" s="26"/>
      <c r="D12" s="26"/>
      <c r="E12" s="26"/>
      <c r="F12" s="26"/>
      <c r="G12" s="26"/>
      <c r="H12" s="26"/>
      <c r="I12" s="26"/>
      <c r="J12" s="26"/>
      <c r="K12" s="26"/>
      <c r="L12" s="26"/>
      <c r="M12" s="28"/>
      <c r="N12" s="28"/>
      <c r="O12" s="28"/>
      <c r="R12" s="2"/>
    </row>
    <row r="13" spans="1:40" ht="20.100000000000001" customHeight="1">
      <c r="A13" s="868" t="s">
        <v>487</v>
      </c>
      <c r="B13" s="3" t="s">
        <v>1650</v>
      </c>
      <c r="D13" s="3"/>
      <c r="E13" s="3"/>
      <c r="F13" s="3"/>
      <c r="G13" s="3"/>
      <c r="J13" s="2940"/>
      <c r="K13" s="3461"/>
      <c r="L13" s="1" t="s">
        <v>1553</v>
      </c>
      <c r="M13" s="4"/>
      <c r="N13" s="4"/>
      <c r="O13" s="4"/>
      <c r="R13" s="2"/>
      <c r="AN13" s="20"/>
    </row>
    <row r="14" spans="1:40" ht="9.75" customHeight="1">
      <c r="A14" s="868"/>
      <c r="B14" s="5"/>
      <c r="C14" s="3"/>
      <c r="D14" s="3"/>
      <c r="E14" s="3"/>
      <c r="J14" s="3462"/>
      <c r="K14" s="3462"/>
      <c r="L14" s="8"/>
      <c r="N14" s="28"/>
      <c r="O14" s="28"/>
      <c r="R14" s="2"/>
      <c r="AN14" s="20"/>
    </row>
    <row r="15" spans="1:40" ht="20.100000000000001" customHeight="1">
      <c r="A15" s="868" t="s">
        <v>493</v>
      </c>
      <c r="B15" s="3" t="s">
        <v>1655</v>
      </c>
      <c r="C15" s="3"/>
      <c r="D15" s="3"/>
      <c r="E15" s="3"/>
      <c r="J15" s="3224"/>
      <c r="K15" s="3225"/>
      <c r="L15" s="8" t="s">
        <v>609</v>
      </c>
      <c r="N15" s="28"/>
      <c r="O15" s="28"/>
      <c r="R15" s="2"/>
      <c r="AN15" s="20"/>
    </row>
    <row r="16" spans="1:40" ht="6" customHeight="1">
      <c r="A16" s="868"/>
      <c r="B16" s="5"/>
      <c r="D16" s="3"/>
      <c r="E16" s="3"/>
      <c r="F16" s="3"/>
      <c r="G16" s="3"/>
      <c r="J16" s="30"/>
      <c r="K16" s="30"/>
      <c r="M16" s="28"/>
      <c r="N16" s="28"/>
      <c r="O16" s="28"/>
      <c r="R16" s="2"/>
    </row>
    <row r="17" spans="1:34" ht="18" customHeight="1">
      <c r="A17" s="1423" t="s">
        <v>498</v>
      </c>
      <c r="B17" s="3" t="s">
        <v>1663</v>
      </c>
      <c r="C17" s="3"/>
      <c r="D17" s="3"/>
      <c r="E17" s="3"/>
      <c r="J17" s="2934"/>
      <c r="K17" s="2934"/>
      <c r="L17" s="8" t="s">
        <v>629</v>
      </c>
      <c r="O17" s="28"/>
      <c r="R17" s="2"/>
    </row>
    <row r="18" spans="1:34" ht="6" customHeight="1">
      <c r="A18" s="1423"/>
      <c r="B18" s="3"/>
      <c r="C18" s="3"/>
      <c r="D18" s="3"/>
      <c r="E18" s="3"/>
      <c r="J18" s="4"/>
      <c r="K18" s="4"/>
      <c r="L18" s="8"/>
      <c r="N18" s="62"/>
      <c r="O18" s="28"/>
      <c r="R18" s="2"/>
    </row>
    <row r="19" spans="1:34" ht="20.100000000000001" customHeight="1">
      <c r="A19" s="1390" t="s">
        <v>504</v>
      </c>
      <c r="B19" s="2946" t="s">
        <v>2207</v>
      </c>
      <c r="C19" s="2946"/>
      <c r="D19" s="2946"/>
      <c r="E19" s="2946"/>
      <c r="F19" s="2946"/>
      <c r="G19" s="2946"/>
      <c r="H19" s="2946"/>
      <c r="I19" s="2946"/>
      <c r="J19" s="2946"/>
      <c r="K19" s="2946"/>
      <c r="L19" s="2946"/>
      <c r="M19" s="2946"/>
      <c r="N19" s="2946"/>
      <c r="O19" s="2946"/>
      <c r="P19" s="2946"/>
      <c r="Q19" s="2946"/>
      <c r="R19" s="3434"/>
    </row>
    <row r="20" spans="1:34" ht="6" customHeight="1">
      <c r="A20" s="868"/>
      <c r="B20" s="2946"/>
      <c r="C20" s="2946"/>
      <c r="D20" s="2946"/>
      <c r="E20" s="2946"/>
      <c r="F20" s="2946"/>
      <c r="G20" s="2946"/>
      <c r="H20" s="2946"/>
      <c r="I20" s="2946"/>
      <c r="J20" s="2946"/>
      <c r="K20" s="2946"/>
      <c r="L20" s="2946"/>
      <c r="M20" s="2946"/>
      <c r="N20" s="2946"/>
      <c r="O20" s="2946"/>
      <c r="P20" s="2946"/>
      <c r="Q20" s="2946"/>
      <c r="R20" s="3434"/>
    </row>
    <row r="21" spans="1:34" ht="6" customHeight="1">
      <c r="A21" s="864"/>
      <c r="B21" s="3"/>
      <c r="C21" s="3"/>
      <c r="D21" s="3"/>
      <c r="E21" s="3"/>
      <c r="F21" s="30"/>
      <c r="G21" s="30"/>
      <c r="H21" s="4"/>
      <c r="I21" s="30"/>
      <c r="J21" s="30"/>
      <c r="L21" s="28"/>
      <c r="M21" s="28"/>
      <c r="N21" s="28"/>
      <c r="O21" s="28"/>
      <c r="R21" s="2"/>
    </row>
    <row r="22" spans="1:34" ht="18" customHeight="1">
      <c r="A22" s="516"/>
      <c r="B22" s="7" t="s">
        <v>1657</v>
      </c>
      <c r="C22" s="3"/>
      <c r="G22" s="3174" t="str">
        <f>IF(ISBLANK(J13),"",J11)</f>
        <v/>
      </c>
      <c r="H22" s="3175"/>
      <c r="I22" s="8" t="s">
        <v>609</v>
      </c>
      <c r="J22" s="9" t="s">
        <v>1558</v>
      </c>
      <c r="K22" s="3431" t="str">
        <f>IF(ISBLANK(J15)," ",J15)</f>
        <v xml:space="preserve"> </v>
      </c>
      <c r="L22" s="3432"/>
      <c r="M22" s="8" t="s">
        <v>609</v>
      </c>
      <c r="N22" s="4" t="s">
        <v>1240</v>
      </c>
      <c r="O22" s="3480" t="str">
        <f>IF(ISERROR(ROUNDDOWN((G22/K22),0))," ",ROUNDDOWN((G22/K22),0))</f>
        <v xml:space="preserve"> </v>
      </c>
      <c r="P22" s="3481"/>
      <c r="Q22" s="3" t="s">
        <v>1658</v>
      </c>
      <c r="R22" s="2"/>
    </row>
    <row r="23" spans="1:34" ht="6" customHeight="1">
      <c r="A23" s="864"/>
      <c r="B23" s="3"/>
      <c r="C23" s="3"/>
      <c r="D23" s="3"/>
      <c r="E23" s="3"/>
      <c r="F23" s="30"/>
      <c r="G23" s="30"/>
      <c r="H23" s="4"/>
      <c r="I23" s="30"/>
      <c r="J23" s="30"/>
      <c r="L23" s="28"/>
      <c r="M23" s="28"/>
      <c r="N23" s="28"/>
      <c r="O23" s="28"/>
      <c r="R23" s="2"/>
    </row>
    <row r="24" spans="1:34" ht="40.5" customHeight="1">
      <c r="A24" s="1390" t="s">
        <v>510</v>
      </c>
      <c r="B24" s="3448" t="s">
        <v>2208</v>
      </c>
      <c r="C24" s="3449"/>
      <c r="D24" s="3449"/>
      <c r="E24" s="3449"/>
      <c r="F24" s="3449"/>
      <c r="G24" s="3449"/>
      <c r="H24" s="3449"/>
      <c r="I24" s="3449"/>
      <c r="J24" s="3449"/>
      <c r="K24" s="3449"/>
      <c r="L24" s="3449"/>
      <c r="M24" s="3449"/>
      <c r="N24" s="3449"/>
      <c r="O24" s="3449"/>
      <c r="P24" s="3449"/>
      <c r="Q24" s="3449"/>
      <c r="R24" s="3450"/>
      <c r="AH24" s="28"/>
    </row>
    <row r="25" spans="1:34" ht="6" customHeight="1">
      <c r="A25" s="864"/>
      <c r="B25" s="3"/>
      <c r="C25" s="3"/>
      <c r="D25" s="3"/>
      <c r="E25" s="3"/>
      <c r="F25" s="30"/>
      <c r="G25" s="30"/>
      <c r="H25" s="4"/>
      <c r="I25" s="30"/>
      <c r="J25" s="30"/>
      <c r="L25" s="28"/>
      <c r="M25" s="28"/>
      <c r="N25" s="28"/>
      <c r="O25" s="28"/>
      <c r="R25" s="2"/>
    </row>
    <row r="26" spans="1:34" ht="18" customHeight="1">
      <c r="A26" s="864"/>
      <c r="B26" s="3446" t="s">
        <v>1660</v>
      </c>
      <c r="C26" s="3446"/>
      <c r="D26" s="3446"/>
      <c r="E26" s="3446"/>
      <c r="F26" s="3446"/>
      <c r="G26" s="3447"/>
      <c r="H26" s="3480" t="str">
        <f>O22</f>
        <v xml:space="preserve"> </v>
      </c>
      <c r="I26" s="3481"/>
      <c r="J26" s="50" t="s">
        <v>1661</v>
      </c>
      <c r="K26" s="3"/>
      <c r="L26" s="4"/>
      <c r="M26" s="3480" t="str">
        <f>IF(ISERROR(H26+1)," ",H26+1)</f>
        <v xml:space="preserve"> </v>
      </c>
      <c r="N26" s="3481"/>
      <c r="O26" s="1" t="s">
        <v>1662</v>
      </c>
      <c r="R26" s="2"/>
      <c r="V26" s="9"/>
      <c r="Y26" s="3"/>
      <c r="Z26" s="3"/>
      <c r="AA26" s="3"/>
      <c r="AB26" s="3"/>
      <c r="AC26" s="3"/>
      <c r="AD26" s="3"/>
      <c r="AE26" s="3"/>
      <c r="AH26" s="28"/>
    </row>
    <row r="27" spans="1:34" ht="34.5" customHeight="1">
      <c r="A27" s="864"/>
      <c r="B27" s="3860"/>
      <c r="C27" s="3861"/>
      <c r="D27" s="3861"/>
      <c r="E27" s="3861"/>
      <c r="F27" s="3861"/>
      <c r="G27" s="3861"/>
      <c r="H27" s="3861"/>
      <c r="I27" s="3861"/>
      <c r="J27" s="3861"/>
      <c r="K27" s="3861"/>
      <c r="L27" s="3861"/>
      <c r="M27" s="3861"/>
      <c r="N27" s="3861"/>
      <c r="O27" s="3861"/>
      <c r="P27" s="3861"/>
      <c r="Q27" s="3861"/>
      <c r="R27" s="3862"/>
      <c r="V27" s="9"/>
      <c r="Y27" s="3"/>
      <c r="Z27" s="3"/>
      <c r="AA27" s="3"/>
      <c r="AB27" s="3"/>
      <c r="AC27" s="3"/>
      <c r="AD27" s="3"/>
      <c r="AE27" s="3"/>
      <c r="AH27" s="28"/>
    </row>
    <row r="28" spans="1:34" ht="34.5" customHeight="1">
      <c r="A28" s="864"/>
      <c r="B28" s="3"/>
      <c r="C28" s="3"/>
      <c r="D28" s="3"/>
      <c r="E28" s="3"/>
      <c r="F28" s="3"/>
      <c r="G28" s="3"/>
      <c r="H28" s="3"/>
      <c r="I28" s="3"/>
      <c r="J28" s="3"/>
      <c r="R28" s="2"/>
      <c r="V28" s="9"/>
      <c r="Y28" s="3"/>
      <c r="Z28" s="3"/>
      <c r="AA28" s="3"/>
      <c r="AB28" s="3"/>
      <c r="AC28" s="3"/>
      <c r="AD28" s="3"/>
      <c r="AE28" s="3"/>
      <c r="AH28" s="28"/>
    </row>
    <row r="29" spans="1:34" ht="34.5" customHeight="1">
      <c r="A29" s="864"/>
      <c r="B29" s="3"/>
      <c r="C29" s="3"/>
      <c r="D29" s="3"/>
      <c r="E29" s="3"/>
      <c r="F29" s="3"/>
      <c r="G29" s="3"/>
      <c r="H29" s="3"/>
      <c r="I29" s="3"/>
      <c r="J29" s="3"/>
      <c r="R29" s="2"/>
      <c r="V29" s="9"/>
      <c r="Y29" s="3"/>
      <c r="Z29" s="3"/>
      <c r="AA29" s="3"/>
      <c r="AB29" s="3"/>
      <c r="AC29" s="3"/>
      <c r="AD29" s="3"/>
      <c r="AE29" s="3"/>
      <c r="AH29" s="28"/>
    </row>
    <row r="30" spans="1:34" ht="34.5" customHeight="1">
      <c r="A30" s="864"/>
      <c r="B30" s="3"/>
      <c r="C30" s="3"/>
      <c r="D30" s="3"/>
      <c r="E30" s="3"/>
      <c r="F30" s="3"/>
      <c r="G30" s="3"/>
      <c r="H30" s="3"/>
      <c r="I30" s="3"/>
      <c r="J30" s="3"/>
      <c r="R30" s="2"/>
      <c r="V30" s="9"/>
      <c r="Y30" s="3"/>
      <c r="Z30" s="3"/>
      <c r="AA30" s="3"/>
      <c r="AB30" s="3"/>
      <c r="AC30" s="3"/>
      <c r="AD30" s="3"/>
      <c r="AE30" s="3"/>
      <c r="AH30" s="28"/>
    </row>
    <row r="31" spans="1:34" ht="34.5" customHeight="1">
      <c r="A31" s="864"/>
      <c r="B31" s="3"/>
      <c r="C31" s="3"/>
      <c r="D31" s="3"/>
      <c r="E31" s="3"/>
      <c r="F31" s="3"/>
      <c r="G31" s="3"/>
      <c r="H31" s="3"/>
      <c r="I31" s="3"/>
      <c r="J31" s="3"/>
      <c r="R31" s="2"/>
      <c r="V31" s="9"/>
      <c r="Y31" s="3"/>
      <c r="Z31" s="3"/>
      <c r="AA31" s="3"/>
      <c r="AB31" s="3"/>
      <c r="AC31" s="3"/>
      <c r="AD31" s="3"/>
      <c r="AE31" s="3"/>
      <c r="AH31" s="28"/>
    </row>
    <row r="32" spans="1:34" ht="34.5" customHeight="1">
      <c r="A32" s="864"/>
      <c r="B32" s="3"/>
      <c r="C32" s="3"/>
      <c r="D32" s="3"/>
      <c r="E32" s="3"/>
      <c r="F32" s="3"/>
      <c r="G32" s="3"/>
      <c r="H32" s="3"/>
      <c r="I32" s="3"/>
      <c r="J32" s="3"/>
      <c r="R32" s="2"/>
      <c r="V32" s="9"/>
      <c r="Y32" s="3"/>
      <c r="Z32" s="3"/>
      <c r="AA32" s="3"/>
      <c r="AB32" s="3"/>
      <c r="AC32" s="3"/>
      <c r="AD32" s="3"/>
      <c r="AE32" s="3"/>
      <c r="AH32" s="28"/>
    </row>
    <row r="33" spans="1:19" ht="6" customHeight="1">
      <c r="A33" s="564"/>
      <c r="B33" s="345"/>
      <c r="C33" s="345"/>
      <c r="D33" s="8"/>
      <c r="E33" s="4"/>
      <c r="F33" s="4"/>
      <c r="G33" s="1575"/>
      <c r="H33" s="1575"/>
      <c r="I33" s="8"/>
      <c r="L33" s="4"/>
      <c r="M33" s="345"/>
      <c r="N33" s="345"/>
      <c r="O33" s="4"/>
      <c r="R33" s="2"/>
    </row>
    <row r="34" spans="1:19" ht="123.75" customHeight="1">
      <c r="A34" s="864"/>
      <c r="B34" s="30"/>
      <c r="C34" s="30"/>
      <c r="D34" s="8"/>
      <c r="E34" s="6"/>
      <c r="F34" s="31"/>
      <c r="G34" s="31"/>
      <c r="H34" s="4"/>
      <c r="I34" s="4"/>
      <c r="J34" s="30"/>
      <c r="K34" s="30"/>
      <c r="L34" s="4"/>
      <c r="P34" s="1576"/>
      <c r="Q34" s="1576"/>
      <c r="R34" s="1391"/>
      <c r="S34" s="16"/>
    </row>
    <row r="35" spans="1:19" ht="15.95" customHeight="1">
      <c r="A35" s="864"/>
      <c r="B35" s="2868" t="s">
        <v>1667</v>
      </c>
      <c r="C35" s="2868"/>
      <c r="D35" s="2868"/>
      <c r="E35" s="2868"/>
      <c r="F35" s="2868"/>
      <c r="G35" s="2868"/>
      <c r="H35" s="4"/>
      <c r="I35" s="4"/>
      <c r="J35" s="30"/>
      <c r="K35" s="2868" t="s">
        <v>1668</v>
      </c>
      <c r="L35" s="2868"/>
      <c r="M35" s="2868"/>
      <c r="N35" s="2868"/>
      <c r="O35" s="2868"/>
      <c r="P35" s="2868"/>
      <c r="Q35" s="1576"/>
      <c r="R35" s="1391"/>
      <c r="S35" s="16"/>
    </row>
    <row r="36" spans="1:19" ht="18" customHeight="1">
      <c r="A36" s="864"/>
      <c r="B36" s="4" t="s">
        <v>1669</v>
      </c>
      <c r="C36" s="30"/>
      <c r="D36" s="3545" t="str">
        <f>M26</f>
        <v xml:space="preserve"> </v>
      </c>
      <c r="E36" s="3545"/>
      <c r="F36" s="31"/>
      <c r="G36" s="31"/>
      <c r="H36" s="4"/>
      <c r="I36" s="8" t="s">
        <v>1670</v>
      </c>
      <c r="K36" s="30"/>
      <c r="L36" s="4"/>
      <c r="N36" s="1182" t="str">
        <f>IF(ISBLANK(J11), " ",(ROUNDUP((M26/2),0)))</f>
        <v xml:space="preserve"> </v>
      </c>
      <c r="O36" s="1577" t="s">
        <v>1671</v>
      </c>
      <c r="P36" s="1182" t="str">
        <f>IF(ISBLANK(J11)," ",(M26-N36))</f>
        <v xml:space="preserve"> </v>
      </c>
      <c r="Q36" s="1576"/>
      <c r="R36" s="1391"/>
      <c r="S36" s="16"/>
    </row>
    <row r="37" spans="1:19" ht="6" customHeight="1">
      <c r="A37" s="864"/>
      <c r="B37" s="4"/>
      <c r="C37" s="30"/>
      <c r="D37" s="4"/>
      <c r="E37" s="4"/>
      <c r="F37" s="31"/>
      <c r="G37" s="31"/>
      <c r="H37" s="4"/>
      <c r="I37" s="8"/>
      <c r="K37" s="30"/>
      <c r="L37" s="4"/>
      <c r="N37" s="6"/>
      <c r="O37" s="1577"/>
      <c r="P37" s="6"/>
      <c r="Q37" s="1576"/>
      <c r="R37" s="1391"/>
      <c r="S37" s="16"/>
    </row>
    <row r="38" spans="1:19" ht="18" customHeight="1">
      <c r="A38" s="864"/>
      <c r="B38" s="4"/>
      <c r="C38" s="30"/>
      <c r="D38" s="4"/>
      <c r="E38" s="4"/>
      <c r="F38" s="31"/>
      <c r="H38" s="8" t="s">
        <v>1672</v>
      </c>
      <c r="K38" s="30"/>
      <c r="L38" s="4"/>
      <c r="O38" s="1410"/>
      <c r="P38" s="1577" t="s">
        <v>1671</v>
      </c>
      <c r="Q38" s="1410"/>
      <c r="R38" s="1391"/>
      <c r="S38" s="16"/>
    </row>
    <row r="39" spans="1:19" ht="16.5" customHeight="1" thickBot="1">
      <c r="A39" s="1018"/>
      <c r="B39" s="756"/>
      <c r="C39" s="1605"/>
      <c r="D39" s="756"/>
      <c r="E39" s="756"/>
      <c r="F39" s="1606"/>
      <c r="G39" s="1606"/>
      <c r="H39" s="756"/>
      <c r="I39" s="1607" t="s">
        <v>1673</v>
      </c>
      <c r="J39" s="11"/>
      <c r="K39" s="1605"/>
      <c r="L39" s="756"/>
      <c r="M39" s="11"/>
      <c r="N39" s="11"/>
      <c r="O39" s="11"/>
      <c r="P39" s="1608"/>
      <c r="Q39" s="11"/>
      <c r="R39" s="1609"/>
      <c r="S39" s="16"/>
    </row>
    <row r="40" spans="1:19" ht="16.5" customHeight="1" thickBot="1">
      <c r="A40" s="864"/>
      <c r="B40" s="4"/>
      <c r="C40" s="30"/>
      <c r="D40" s="4"/>
      <c r="E40" s="4"/>
      <c r="F40" s="31"/>
      <c r="G40" s="31"/>
      <c r="H40" s="4"/>
      <c r="I40" s="1578"/>
      <c r="K40" s="30"/>
      <c r="L40" s="4"/>
      <c r="P40" s="1577"/>
      <c r="R40" s="1391"/>
      <c r="S40" s="16"/>
    </row>
    <row r="41" spans="1:19" ht="18" customHeight="1">
      <c r="A41" s="1610" t="s">
        <v>2209</v>
      </c>
      <c r="B41" s="3863" t="s">
        <v>2210</v>
      </c>
      <c r="C41" s="3863"/>
      <c r="D41" s="3863"/>
      <c r="E41" s="3863"/>
      <c r="F41" s="3863"/>
      <c r="G41" s="3863"/>
      <c r="H41" s="3863"/>
      <c r="I41" s="3863"/>
      <c r="J41" s="3863"/>
      <c r="K41" s="3863"/>
      <c r="L41" s="3863"/>
      <c r="M41" s="3863"/>
      <c r="N41" s="3863"/>
      <c r="O41" s="3863"/>
      <c r="P41" s="3863"/>
      <c r="Q41" s="3863"/>
      <c r="R41" s="3864"/>
    </row>
    <row r="42" spans="1:19" ht="15" customHeight="1">
      <c r="A42" s="864"/>
      <c r="B42" s="3443"/>
      <c r="C42" s="3443"/>
      <c r="D42" s="3443"/>
      <c r="E42" s="3443"/>
      <c r="F42" s="3443"/>
      <c r="G42" s="3443"/>
      <c r="H42" s="3443"/>
      <c r="I42" s="3443"/>
      <c r="J42" s="3443"/>
      <c r="K42" s="3443"/>
      <c r="L42" s="3443"/>
      <c r="M42" s="3443"/>
      <c r="N42" s="3443"/>
      <c r="O42" s="3443"/>
      <c r="P42" s="3443"/>
      <c r="Q42" s="3443"/>
      <c r="R42" s="3444"/>
    </row>
    <row r="43" spans="1:19" ht="6" customHeight="1">
      <c r="A43" s="564"/>
      <c r="B43" s="345"/>
      <c r="C43" s="345"/>
      <c r="D43" s="8"/>
      <c r="E43" s="4"/>
      <c r="F43" s="4"/>
      <c r="G43" s="1575"/>
      <c r="H43" s="1575"/>
      <c r="I43" s="8"/>
      <c r="L43" s="4"/>
      <c r="M43" s="345"/>
      <c r="N43" s="345"/>
      <c r="O43" s="4"/>
      <c r="R43" s="2"/>
    </row>
    <row r="44" spans="1:19" ht="20.100000000000001" customHeight="1">
      <c r="A44" s="864"/>
      <c r="B44" s="3480" t="str">
        <f>M26</f>
        <v xml:space="preserve"> </v>
      </c>
      <c r="C44" s="3481"/>
      <c r="D44" s="8" t="s">
        <v>1677</v>
      </c>
      <c r="E44" s="8"/>
      <c r="F44" s="8"/>
      <c r="G44" s="3480" t="str">
        <f>IF(ISBLANK(J13)," ",J13)</f>
        <v xml:space="preserve"> </v>
      </c>
      <c r="H44" s="3481"/>
      <c r="I44" s="8" t="s">
        <v>1678</v>
      </c>
      <c r="L44" s="4"/>
      <c r="M44" s="3480" t="str">
        <f>IF(ISERROR(B44*G44)," ",B44*G44)</f>
        <v xml:space="preserve"> </v>
      </c>
      <c r="N44" s="3481"/>
      <c r="O44" s="8" t="s">
        <v>1679</v>
      </c>
      <c r="R44" s="2"/>
    </row>
    <row r="45" spans="1:19" ht="6" customHeight="1">
      <c r="A45" s="864"/>
      <c r="B45" s="30"/>
      <c r="C45" s="30"/>
      <c r="D45" s="8"/>
      <c r="E45" s="6"/>
      <c r="F45" s="31"/>
      <c r="G45" s="31"/>
      <c r="H45" s="4"/>
      <c r="I45" s="4"/>
      <c r="J45" s="30"/>
      <c r="K45" s="30"/>
      <c r="L45" s="4"/>
      <c r="P45" s="1576"/>
      <c r="Q45" s="1576"/>
      <c r="R45" s="1391"/>
      <c r="S45" s="16"/>
    </row>
    <row r="46" spans="1:19" ht="19.5" customHeight="1">
      <c r="A46" s="868" t="s">
        <v>519</v>
      </c>
      <c r="B46" s="2927" t="s">
        <v>2211</v>
      </c>
      <c r="C46" s="2927"/>
      <c r="D46" s="2927"/>
      <c r="E46" s="2927"/>
      <c r="F46" s="3196"/>
      <c r="G46" s="3197"/>
      <c r="H46" s="15" t="s">
        <v>609</v>
      </c>
      <c r="I46" s="3"/>
      <c r="J46" s="3"/>
      <c r="K46" s="3"/>
      <c r="L46" s="3"/>
      <c r="M46" s="3"/>
      <c r="R46" s="1391"/>
      <c r="S46" s="16"/>
    </row>
    <row r="47" spans="1:19" ht="6" customHeight="1">
      <c r="A47" s="864"/>
      <c r="B47" s="30"/>
      <c r="C47" s="30"/>
      <c r="D47" s="8"/>
      <c r="E47" s="6"/>
      <c r="F47" s="31"/>
      <c r="G47" s="31"/>
      <c r="H47" s="4"/>
      <c r="I47" s="4"/>
      <c r="J47" s="30"/>
      <c r="K47" s="30"/>
      <c r="L47" s="4"/>
      <c r="N47" s="3852" t="s">
        <v>1665</v>
      </c>
      <c r="O47" s="3852"/>
      <c r="P47" s="3852"/>
      <c r="Q47" s="3852"/>
      <c r="R47" s="3853"/>
      <c r="S47" s="16"/>
    </row>
    <row r="48" spans="1:19" ht="19.5" customHeight="1">
      <c r="A48" s="868" t="s">
        <v>524</v>
      </c>
      <c r="B48" s="3" t="s">
        <v>1748</v>
      </c>
      <c r="D48" s="3"/>
      <c r="E48" s="3"/>
      <c r="F48" s="3"/>
      <c r="G48" s="3"/>
      <c r="J48" s="345"/>
      <c r="K48" s="3224"/>
      <c r="L48" s="3225"/>
      <c r="M48" s="345"/>
      <c r="N48" s="3852"/>
      <c r="O48" s="3852"/>
      <c r="P48" s="3852"/>
      <c r="Q48" s="3852"/>
      <c r="R48" s="3853"/>
    </row>
    <row r="49" spans="1:19" ht="6" customHeight="1">
      <c r="A49" s="564"/>
      <c r="B49" s="3"/>
      <c r="C49" s="30"/>
      <c r="D49" s="30"/>
      <c r="E49" s="4"/>
      <c r="F49" s="4"/>
      <c r="G49" s="4"/>
      <c r="H49" s="27"/>
      <c r="I49" s="27"/>
      <c r="K49" s="4"/>
      <c r="L49" s="4"/>
      <c r="N49" s="3852"/>
      <c r="O49" s="3852"/>
      <c r="P49" s="3852"/>
      <c r="Q49" s="3852"/>
      <c r="R49" s="3853"/>
    </row>
    <row r="50" spans="1:19" ht="20.100000000000001" customHeight="1">
      <c r="A50" s="868" t="s">
        <v>477</v>
      </c>
      <c r="B50" s="5" t="s">
        <v>1664</v>
      </c>
      <c r="K50" s="3224"/>
      <c r="L50" s="3225"/>
      <c r="M50" s="8" t="s">
        <v>629</v>
      </c>
      <c r="N50" s="3852"/>
      <c r="O50" s="3852"/>
      <c r="P50" s="3852"/>
      <c r="Q50" s="3852"/>
      <c r="R50" s="3853"/>
    </row>
    <row r="51" spans="1:19" ht="6" customHeight="1">
      <c r="A51" s="564"/>
      <c r="B51" s="345"/>
      <c r="C51" s="345"/>
      <c r="D51" s="8"/>
      <c r="E51" s="4"/>
      <c r="F51" s="4"/>
      <c r="G51" s="1575"/>
      <c r="H51" s="1575"/>
      <c r="I51" s="8"/>
      <c r="L51" s="4"/>
      <c r="M51" s="345"/>
      <c r="N51" s="345"/>
      <c r="O51" s="4"/>
      <c r="R51" s="2"/>
    </row>
    <row r="52" spans="1:19" ht="6" customHeight="1">
      <c r="A52" s="564"/>
      <c r="B52" s="345"/>
      <c r="C52" s="345"/>
      <c r="D52" s="8"/>
      <c r="E52" s="4"/>
      <c r="F52" s="4"/>
      <c r="G52" s="1575"/>
      <c r="H52" s="1575"/>
      <c r="I52" s="8"/>
      <c r="L52" s="4"/>
      <c r="M52" s="345"/>
      <c r="N52" s="345"/>
      <c r="O52" s="4"/>
      <c r="R52" s="2"/>
    </row>
    <row r="53" spans="1:19" ht="18" customHeight="1">
      <c r="A53" s="1323" t="s">
        <v>483</v>
      </c>
      <c r="B53" s="8" t="s">
        <v>1680</v>
      </c>
      <c r="D53" s="3"/>
      <c r="E53" s="3"/>
      <c r="F53" s="3"/>
      <c r="G53" s="3"/>
      <c r="H53" s="3"/>
      <c r="I53" s="3"/>
      <c r="J53" s="3"/>
      <c r="R53" s="2"/>
    </row>
    <row r="54" spans="1:19" ht="18" customHeight="1">
      <c r="A54" s="864"/>
      <c r="B54" s="1579"/>
      <c r="C54" s="30"/>
      <c r="D54" s="8"/>
      <c r="E54" s="6"/>
      <c r="F54" s="31"/>
      <c r="G54" s="31"/>
      <c r="H54" s="4"/>
      <c r="I54" s="4"/>
      <c r="J54" s="30"/>
      <c r="K54" s="30"/>
      <c r="L54" s="4"/>
      <c r="P54" s="1576"/>
      <c r="Q54" s="1576"/>
      <c r="R54" s="1391"/>
      <c r="S54" s="16"/>
    </row>
    <row r="55" spans="1:19" ht="18" customHeight="1">
      <c r="A55" s="1333" t="s">
        <v>1682</v>
      </c>
      <c r="B55" s="29" t="s">
        <v>2212</v>
      </c>
      <c r="D55" s="3"/>
      <c r="E55" s="3"/>
      <c r="F55" s="3"/>
      <c r="G55" s="3"/>
      <c r="H55" s="3"/>
      <c r="I55" s="3"/>
      <c r="J55" s="3"/>
      <c r="P55" s="3433"/>
      <c r="Q55" s="3433"/>
      <c r="R55" s="3465"/>
    </row>
    <row r="56" spans="1:19" ht="6" customHeight="1">
      <c r="A56" s="864"/>
      <c r="B56" s="3"/>
      <c r="C56" s="3"/>
      <c r="D56" s="3"/>
      <c r="E56" s="3"/>
      <c r="F56" s="3"/>
      <c r="G56" s="3"/>
      <c r="H56" s="3"/>
      <c r="I56" s="3"/>
      <c r="J56" s="3"/>
      <c r="P56" s="3433"/>
      <c r="Q56" s="3433"/>
      <c r="R56" s="3465"/>
    </row>
    <row r="57" spans="1:19" ht="20.100000000000001" customHeight="1">
      <c r="A57" s="864"/>
      <c r="B57" s="3858" t="str">
        <f>IF(ISBLANK(J9)," ",J9)</f>
        <v xml:space="preserve"> </v>
      </c>
      <c r="C57" s="3859"/>
      <c r="D57" s="8" t="s">
        <v>1229</v>
      </c>
      <c r="E57" s="3165" t="str">
        <f>IF(ISBLANK(J11),"",J11)</f>
        <v/>
      </c>
      <c r="F57" s="3166"/>
      <c r="G57" s="4" t="s">
        <v>1279</v>
      </c>
      <c r="H57" s="1225" t="str">
        <f>IF(ISBLANK(J13)," ",(B57*E57))</f>
        <v xml:space="preserve"> </v>
      </c>
      <c r="I57" s="1223"/>
      <c r="J57" s="8" t="s">
        <v>1089</v>
      </c>
      <c r="P57" s="3433"/>
      <c r="Q57" s="3433"/>
      <c r="R57" s="3465"/>
      <c r="S57" s="16"/>
    </row>
    <row r="58" spans="1:19" ht="6" customHeight="1">
      <c r="A58" s="864"/>
      <c r="B58" s="30"/>
      <c r="C58" s="30"/>
      <c r="D58" s="8"/>
      <c r="E58" s="6"/>
      <c r="F58" s="31"/>
      <c r="G58" s="31"/>
      <c r="H58" s="4"/>
      <c r="I58" s="4"/>
      <c r="J58" s="30"/>
      <c r="K58" s="30"/>
      <c r="L58" s="4"/>
      <c r="P58" s="1576"/>
      <c r="Q58" s="1576"/>
      <c r="R58" s="1391"/>
      <c r="S58" s="16"/>
    </row>
    <row r="59" spans="1:19" ht="18" customHeight="1">
      <c r="A59" s="1333" t="s">
        <v>1684</v>
      </c>
      <c r="B59" s="5" t="s">
        <v>2213</v>
      </c>
      <c r="D59" s="3"/>
      <c r="E59" s="3"/>
      <c r="F59" s="3"/>
      <c r="G59" s="3"/>
      <c r="H59" s="3"/>
      <c r="I59" s="3"/>
      <c r="J59" s="3"/>
      <c r="P59" s="6"/>
      <c r="Q59" s="6"/>
      <c r="R59" s="3420"/>
    </row>
    <row r="60" spans="1:19" ht="6" customHeight="1">
      <c r="A60" s="564"/>
      <c r="B60" s="3"/>
      <c r="C60" s="3"/>
      <c r="D60" s="3"/>
      <c r="E60" s="3"/>
      <c r="F60" s="3"/>
      <c r="G60" s="3"/>
      <c r="H60" s="3"/>
      <c r="I60" s="3"/>
      <c r="J60" s="3"/>
      <c r="P60" s="6"/>
      <c r="Q60" s="6"/>
      <c r="R60" s="3420"/>
    </row>
    <row r="61" spans="1:19" ht="20.100000000000001" customHeight="1">
      <c r="A61" s="564"/>
      <c r="B61" s="3480" t="str">
        <f>H57</f>
        <v xml:space="preserve"> </v>
      </c>
      <c r="C61" s="3481"/>
      <c r="D61" s="8" t="s">
        <v>1686</v>
      </c>
      <c r="E61" s="3480" t="str">
        <f>M44</f>
        <v xml:space="preserve"> </v>
      </c>
      <c r="F61" s="3481"/>
      <c r="G61" s="3" t="s">
        <v>1687</v>
      </c>
      <c r="H61" s="3174" t="str">
        <f>IF(ISERROR(B61/E61),"",B61/E61)</f>
        <v/>
      </c>
      <c r="I61" s="3175"/>
      <c r="J61" s="8" t="s">
        <v>1688</v>
      </c>
      <c r="P61" s="2897"/>
      <c r="Q61" s="2897"/>
      <c r="R61" s="1392"/>
    </row>
    <row r="62" spans="1:19" ht="6" customHeight="1">
      <c r="A62" s="564"/>
      <c r="B62" s="3"/>
      <c r="C62" s="30"/>
      <c r="D62" s="30"/>
      <c r="E62" s="4"/>
      <c r="F62" s="4"/>
      <c r="G62" s="4"/>
      <c r="H62" s="27"/>
      <c r="I62" s="27"/>
      <c r="K62" s="4"/>
      <c r="L62" s="4"/>
      <c r="R62" s="2"/>
    </row>
    <row r="63" spans="1:19" ht="20.100000000000001" customHeight="1">
      <c r="A63" s="868" t="s">
        <v>489</v>
      </c>
      <c r="B63" s="3" t="s">
        <v>1689</v>
      </c>
      <c r="C63" s="3"/>
      <c r="D63" s="3"/>
      <c r="E63" s="3"/>
      <c r="K63" s="3172"/>
      <c r="L63" s="3173"/>
      <c r="M63" s="3" t="s">
        <v>609</v>
      </c>
      <c r="P63" s="2897"/>
      <c r="Q63" s="2897"/>
      <c r="R63" s="1392"/>
    </row>
    <row r="64" spans="1:19" ht="6" customHeight="1">
      <c r="A64" s="864"/>
      <c r="B64" s="3"/>
      <c r="C64" s="3"/>
      <c r="D64" s="3"/>
      <c r="E64" s="3"/>
      <c r="F64" s="3"/>
      <c r="G64" s="3"/>
      <c r="H64" s="3"/>
      <c r="L64" s="15"/>
      <c r="P64" s="2897"/>
      <c r="Q64" s="2897"/>
      <c r="R64" s="1392"/>
    </row>
    <row r="65" spans="1:19" ht="20.100000000000001" customHeight="1">
      <c r="A65" s="868" t="s">
        <v>495</v>
      </c>
      <c r="B65" s="3" t="s">
        <v>1690</v>
      </c>
      <c r="C65" s="3"/>
      <c r="D65" s="3"/>
      <c r="E65" s="3"/>
      <c r="F65" s="3"/>
      <c r="H65" s="3"/>
      <c r="J65" s="3169" t="str">
        <f>IF(ISBLANK(K63)," ",(19.65*0.6*V11^2*K63^0.5))</f>
        <v xml:space="preserve"> </v>
      </c>
      <c r="K65" s="3170"/>
      <c r="L65" s="8" t="s">
        <v>1691</v>
      </c>
      <c r="Q65" s="6"/>
      <c r="R65" s="1392"/>
    </row>
    <row r="66" spans="1:19" ht="6" customHeight="1">
      <c r="A66" s="864"/>
      <c r="B66" s="3"/>
      <c r="C66" s="3"/>
      <c r="D66" s="3"/>
      <c r="E66" s="3"/>
      <c r="F66" s="3"/>
      <c r="G66" s="3"/>
      <c r="H66" s="3"/>
      <c r="I66" s="3"/>
      <c r="J66" s="3"/>
      <c r="R66" s="2"/>
    </row>
    <row r="67" spans="1:19" ht="18" customHeight="1">
      <c r="A67" s="1390" t="s">
        <v>500</v>
      </c>
      <c r="B67" s="2946" t="s">
        <v>2214</v>
      </c>
      <c r="C67" s="2946"/>
      <c r="D67" s="2946"/>
      <c r="E67" s="2946"/>
      <c r="F67" s="2946"/>
      <c r="G67" s="2946"/>
      <c r="H67" s="2946"/>
      <c r="I67" s="2946"/>
      <c r="J67" s="2946"/>
      <c r="K67" s="2946"/>
      <c r="L67" s="2946"/>
      <c r="M67" s="2946"/>
      <c r="N67" s="2946"/>
      <c r="O67" s="2946"/>
      <c r="P67" s="2946"/>
      <c r="Q67" s="2946"/>
      <c r="R67" s="3434"/>
    </row>
    <row r="68" spans="1:19" ht="6" customHeight="1">
      <c r="A68" s="516"/>
      <c r="B68" s="10"/>
      <c r="C68" s="10"/>
      <c r="D68" s="10"/>
      <c r="E68" s="10"/>
      <c r="F68" s="10"/>
      <c r="G68" s="10"/>
      <c r="H68" s="10"/>
      <c r="I68" s="10"/>
      <c r="J68" s="10"/>
      <c r="K68" s="10"/>
      <c r="L68" s="10"/>
      <c r="R68" s="2"/>
    </row>
    <row r="69" spans="1:19" ht="20.100000000000001" customHeight="1">
      <c r="A69" s="564"/>
      <c r="B69" s="3480" t="str">
        <f>M44</f>
        <v xml:space="preserve"> </v>
      </c>
      <c r="C69" s="3481"/>
      <c r="D69" s="8" t="s">
        <v>1693</v>
      </c>
      <c r="E69" s="4"/>
      <c r="F69" s="3169" t="str">
        <f>J65</f>
        <v xml:space="preserve"> </v>
      </c>
      <c r="G69" s="3170"/>
      <c r="H69" s="8" t="s">
        <v>1694</v>
      </c>
      <c r="L69" s="3480" t="str">
        <f>IF(ISERROR(ROUNDUP((B69*F69),0))," ",ROUNDUP((B69*F69),0))</f>
        <v xml:space="preserve"> </v>
      </c>
      <c r="M69" s="3481"/>
      <c r="N69" s="4" t="s">
        <v>1034</v>
      </c>
      <c r="R69" s="2"/>
    </row>
    <row r="70" spans="1:19" ht="6" customHeight="1">
      <c r="A70" s="516"/>
      <c r="M70" s="27"/>
      <c r="R70" s="2"/>
    </row>
    <row r="71" spans="1:19" ht="20.100000000000001" customHeight="1">
      <c r="A71" s="868" t="s">
        <v>506</v>
      </c>
      <c r="B71" s="5" t="s">
        <v>1695</v>
      </c>
      <c r="D71" s="3"/>
      <c r="E71" s="3"/>
      <c r="F71" s="3"/>
      <c r="L71" s="3429" t="str">
        <f>IF(ISBLANK(K50)," ",IF(K50=1,"0.045",IF(K50=1.25,"0.078",IF(K50=1.5,"0.110",IF(K50=2,"0.170",IF(K50=3,"0.380"))))))</f>
        <v xml:space="preserve"> </v>
      </c>
      <c r="M71" s="3430"/>
      <c r="N71" s="3" t="s">
        <v>1696</v>
      </c>
      <c r="R71" s="2"/>
    </row>
    <row r="72" spans="1:19" ht="6" customHeight="1">
      <c r="A72" s="516"/>
      <c r="M72" s="27"/>
      <c r="R72" s="2"/>
    </row>
    <row r="73" spans="1:19" ht="18" customHeight="1">
      <c r="A73" s="1323" t="s">
        <v>511</v>
      </c>
      <c r="B73" s="1580" t="s">
        <v>1697</v>
      </c>
      <c r="D73" s="10"/>
      <c r="E73" s="10"/>
      <c r="R73" s="2"/>
    </row>
    <row r="74" spans="1:19" ht="18" customHeight="1">
      <c r="A74" s="516"/>
      <c r="B74" s="3857" t="s">
        <v>2215</v>
      </c>
      <c r="C74" s="3857"/>
      <c r="D74" s="3857"/>
      <c r="E74" s="3857"/>
      <c r="F74" s="3857"/>
      <c r="G74" s="3857"/>
      <c r="H74" s="3857"/>
      <c r="I74" s="3857"/>
      <c r="J74" s="3857"/>
      <c r="K74" s="3857"/>
      <c r="L74" s="3857"/>
      <c r="M74" s="27"/>
      <c r="R74" s="2"/>
    </row>
    <row r="75" spans="1:19" ht="18" customHeight="1">
      <c r="A75" s="516"/>
      <c r="B75" s="3857"/>
      <c r="C75" s="3857"/>
      <c r="D75" s="3857"/>
      <c r="E75" s="3857"/>
      <c r="F75" s="3857"/>
      <c r="G75" s="3857"/>
      <c r="H75" s="3857"/>
      <c r="I75" s="3857"/>
      <c r="J75" s="3857"/>
      <c r="K75" s="3857"/>
      <c r="L75" s="3857"/>
      <c r="R75" s="2"/>
      <c r="S75" s="13"/>
    </row>
    <row r="76" spans="1:19" ht="6" customHeight="1">
      <c r="A76" s="516"/>
      <c r="R76" s="2"/>
      <c r="S76" s="13"/>
    </row>
    <row r="77" spans="1:19" ht="20.100000000000001" customHeight="1">
      <c r="A77" s="516"/>
      <c r="B77" s="3165" t="str">
        <f>IF(ISBLANK(J13)," ",J13)</f>
        <v xml:space="preserve"> </v>
      </c>
      <c r="C77" s="3166"/>
      <c r="D77" s="4" t="s">
        <v>1343</v>
      </c>
      <c r="E77" s="3165" t="str">
        <f>IF(ISBLANK(J11)," ",J11)</f>
        <v xml:space="preserve"> </v>
      </c>
      <c r="F77" s="3166"/>
      <c r="G77" s="4" t="s">
        <v>1229</v>
      </c>
      <c r="H77" s="3429" t="str">
        <f>IF(ISBLANK(L71)," ",L71)</f>
        <v xml:space="preserve"> </v>
      </c>
      <c r="I77" s="3430"/>
      <c r="J77" s="8" t="s">
        <v>1700</v>
      </c>
      <c r="L77" s="3174" t="str">
        <f>IF(ISBLANK(J13)," ",((B77*E77*H77)))</f>
        <v xml:space="preserve"> </v>
      </c>
      <c r="M77" s="3437"/>
      <c r="N77" s="3" t="s">
        <v>1002</v>
      </c>
      <c r="R77" s="2"/>
      <c r="S77" s="13"/>
    </row>
    <row r="78" spans="1:19" ht="6" customHeight="1">
      <c r="A78" s="516"/>
      <c r="R78" s="2"/>
      <c r="S78" s="13"/>
    </row>
    <row r="79" spans="1:19" ht="18" customHeight="1">
      <c r="A79" s="1323" t="s">
        <v>516</v>
      </c>
      <c r="B79" s="1" t="s">
        <v>2216</v>
      </c>
      <c r="L79" s="3458"/>
      <c r="M79" s="3458"/>
      <c r="R79" s="2"/>
      <c r="S79" s="13"/>
    </row>
    <row r="80" spans="1:19" ht="6" customHeight="1">
      <c r="A80" s="516"/>
      <c r="R80" s="2"/>
      <c r="S80" s="13"/>
    </row>
    <row r="81" spans="1:19" ht="20.100000000000001" customHeight="1">
      <c r="A81" s="516"/>
      <c r="B81" s="3174" t="str">
        <f>L77</f>
        <v xml:space="preserve"> </v>
      </c>
      <c r="C81" s="3175"/>
      <c r="D81" s="50" t="s">
        <v>2217</v>
      </c>
      <c r="E81" s="3174" t="str">
        <f>IF(ISBLANK(L79),"",L79)</f>
        <v/>
      </c>
      <c r="F81" s="3175"/>
      <c r="G81" s="1595" t="s">
        <v>1240</v>
      </c>
      <c r="H81" s="3174" t="str">
        <f>IF(ISBLANK(L79),"",B81*E81)</f>
        <v/>
      </c>
      <c r="I81" s="3437"/>
      <c r="J81" s="3" t="s">
        <v>1002</v>
      </c>
      <c r="R81" s="2"/>
      <c r="S81" s="13"/>
    </row>
    <row r="82" spans="1:19" ht="6" customHeight="1">
      <c r="A82" s="516"/>
      <c r="R82" s="2"/>
      <c r="S82" s="13"/>
    </row>
    <row r="83" spans="1:19" ht="6" customHeight="1">
      <c r="A83" s="1393"/>
      <c r="B83" s="1383"/>
      <c r="C83" s="1383"/>
      <c r="D83" s="1383"/>
      <c r="E83" s="1581"/>
      <c r="F83" s="1581"/>
      <c r="G83" s="1383"/>
      <c r="H83" s="1383"/>
      <c r="I83" s="1382"/>
      <c r="J83" s="1382"/>
      <c r="K83" s="3"/>
      <c r="R83" s="2"/>
    </row>
    <row r="84" spans="1:19" ht="18" customHeight="1">
      <c r="A84" s="1326" t="s">
        <v>1160</v>
      </c>
      <c r="B84" s="25"/>
      <c r="C84" s="25"/>
      <c r="D84" s="25"/>
      <c r="E84" s="25"/>
      <c r="F84" s="25"/>
      <c r="G84" s="25"/>
      <c r="H84" s="25"/>
      <c r="I84" s="25"/>
      <c r="J84" s="25"/>
      <c r="K84" s="25"/>
      <c r="L84" s="25"/>
      <c r="M84" s="25"/>
      <c r="N84" s="25"/>
      <c r="O84" s="25"/>
      <c r="P84" s="25"/>
      <c r="Q84" s="25"/>
      <c r="R84" s="1335"/>
    </row>
    <row r="85" spans="1:19">
      <c r="A85" s="3503"/>
      <c r="B85" s="3504"/>
      <c r="C85" s="3504"/>
      <c r="D85" s="3504"/>
      <c r="E85" s="3504"/>
      <c r="F85" s="3504"/>
      <c r="G85" s="3504"/>
      <c r="H85" s="3504"/>
      <c r="I85" s="3504"/>
      <c r="J85" s="3504"/>
      <c r="K85" s="3504"/>
      <c r="L85" s="3504"/>
      <c r="M85" s="3504"/>
      <c r="N85" s="3504"/>
      <c r="O85" s="3504"/>
      <c r="P85" s="3504"/>
      <c r="Q85" s="3504"/>
      <c r="R85" s="3505"/>
    </row>
    <row r="86" spans="1:19">
      <c r="A86" s="3506"/>
      <c r="B86" s="3507"/>
      <c r="C86" s="3507"/>
      <c r="D86" s="3507"/>
      <c r="E86" s="3507"/>
      <c r="F86" s="3507"/>
      <c r="G86" s="3507"/>
      <c r="H86" s="3507"/>
      <c r="I86" s="3507"/>
      <c r="J86" s="3507"/>
      <c r="K86" s="3507"/>
      <c r="L86" s="3507"/>
      <c r="M86" s="3507"/>
      <c r="N86" s="3507"/>
      <c r="O86" s="3507"/>
      <c r="P86" s="3507"/>
      <c r="Q86" s="3507"/>
      <c r="R86" s="3508"/>
    </row>
    <row r="87" spans="1:19">
      <c r="A87" s="3506"/>
      <c r="B87" s="3507"/>
      <c r="C87" s="3507"/>
      <c r="D87" s="3507"/>
      <c r="E87" s="3507"/>
      <c r="F87" s="3507"/>
      <c r="G87" s="3507"/>
      <c r="H87" s="3507"/>
      <c r="I87" s="3507"/>
      <c r="J87" s="3507"/>
      <c r="K87" s="3507"/>
      <c r="L87" s="3507"/>
      <c r="M87" s="3507"/>
      <c r="N87" s="3507"/>
      <c r="O87" s="3507"/>
      <c r="P87" s="3507"/>
      <c r="Q87" s="3507"/>
      <c r="R87" s="3508"/>
    </row>
    <row r="88" spans="1:19">
      <c r="A88" s="3506"/>
      <c r="B88" s="3507"/>
      <c r="C88" s="3507"/>
      <c r="D88" s="3507"/>
      <c r="E88" s="3507"/>
      <c r="F88" s="3507"/>
      <c r="G88" s="3507"/>
      <c r="H88" s="3507"/>
      <c r="I88" s="3507"/>
      <c r="J88" s="3507"/>
      <c r="K88" s="3507"/>
      <c r="L88" s="3507"/>
      <c r="M88" s="3507"/>
      <c r="N88" s="3507"/>
      <c r="O88" s="3507"/>
      <c r="P88" s="3507"/>
      <c r="Q88" s="3507"/>
      <c r="R88" s="3508"/>
    </row>
    <row r="89" spans="1:19" ht="15.75" thickBot="1">
      <c r="A89" s="3509"/>
      <c r="B89" s="3510"/>
      <c r="C89" s="3510"/>
      <c r="D89" s="3510"/>
      <c r="E89" s="3510"/>
      <c r="F89" s="3510"/>
      <c r="G89" s="3510"/>
      <c r="H89" s="3510"/>
      <c r="I89" s="3510"/>
      <c r="J89" s="3510"/>
      <c r="K89" s="3510"/>
      <c r="L89" s="3510"/>
      <c r="M89" s="3510"/>
      <c r="N89" s="3510"/>
      <c r="O89" s="3510"/>
      <c r="P89" s="3510"/>
      <c r="Q89" s="3510"/>
      <c r="R89" s="3511"/>
    </row>
    <row r="90" spans="1:19">
      <c r="A90" s="335"/>
      <c r="B90" s="335"/>
      <c r="C90" s="335"/>
      <c r="D90" s="335"/>
      <c r="E90" s="335"/>
      <c r="F90" s="335"/>
      <c r="G90" s="335"/>
      <c r="H90" s="335"/>
      <c r="I90" s="335"/>
      <c r="J90" s="335"/>
      <c r="K90" s="335"/>
      <c r="L90" s="335"/>
      <c r="M90" s="335"/>
      <c r="N90" s="335"/>
      <c r="O90" s="335"/>
      <c r="P90" s="335"/>
      <c r="Q90" s="335"/>
      <c r="R90" s="335"/>
    </row>
    <row r="91" spans="1:19">
      <c r="A91" s="335"/>
      <c r="B91" s="335"/>
      <c r="C91" s="335"/>
      <c r="D91" s="335"/>
      <c r="E91" s="335"/>
      <c r="F91" s="335"/>
      <c r="G91" s="335"/>
      <c r="H91" s="335"/>
      <c r="I91" s="335"/>
      <c r="J91" s="335"/>
      <c r="K91" s="335"/>
      <c r="L91" s="335"/>
      <c r="M91" s="335"/>
      <c r="N91" s="335"/>
      <c r="O91" s="335"/>
      <c r="P91" s="335"/>
      <c r="Q91" s="335"/>
      <c r="R91" s="335"/>
    </row>
    <row r="92" spans="1:19">
      <c r="A92" s="335"/>
      <c r="B92" s="335"/>
      <c r="C92" s="335"/>
      <c r="D92" s="335"/>
      <c r="E92" s="335"/>
      <c r="F92" s="335"/>
      <c r="G92" s="335"/>
      <c r="H92" s="335"/>
      <c r="I92" s="335"/>
      <c r="J92" s="335"/>
      <c r="K92" s="335"/>
      <c r="L92" s="335"/>
      <c r="M92" s="335"/>
      <c r="N92" s="335"/>
      <c r="O92" s="335"/>
      <c r="P92" s="335"/>
      <c r="Q92" s="335"/>
      <c r="R92" s="335"/>
    </row>
  </sheetData>
  <sheetProtection sheet="1" objects="1" scenarios="1"/>
  <mergeCells count="60">
    <mergeCell ref="E1:M1"/>
    <mergeCell ref="I2:J2"/>
    <mergeCell ref="K2:L2"/>
    <mergeCell ref="J9:K9"/>
    <mergeCell ref="B26:G26"/>
    <mergeCell ref="H26:I26"/>
    <mergeCell ref="M26:N26"/>
    <mergeCell ref="J13:K13"/>
    <mergeCell ref="J14:K14"/>
    <mergeCell ref="J15:K15"/>
    <mergeCell ref="J17:K17"/>
    <mergeCell ref="J11:K11"/>
    <mergeCell ref="B19:R20"/>
    <mergeCell ref="G22:H22"/>
    <mergeCell ref="K22:L22"/>
    <mergeCell ref="O22:P22"/>
    <mergeCell ref="B24:R24"/>
    <mergeCell ref="R55:R57"/>
    <mergeCell ref="B57:C57"/>
    <mergeCell ref="E57:F57"/>
    <mergeCell ref="B27:R27"/>
    <mergeCell ref="B35:G35"/>
    <mergeCell ref="K35:P35"/>
    <mergeCell ref="D36:E36"/>
    <mergeCell ref="B41:R42"/>
    <mergeCell ref="B44:C44"/>
    <mergeCell ref="G44:H44"/>
    <mergeCell ref="M44:N44"/>
    <mergeCell ref="A4:R4"/>
    <mergeCell ref="B81:C81"/>
    <mergeCell ref="H81:I81"/>
    <mergeCell ref="L71:M71"/>
    <mergeCell ref="B74:L75"/>
    <mergeCell ref="B77:C77"/>
    <mergeCell ref="E77:F77"/>
    <mergeCell ref="H77:I77"/>
    <mergeCell ref="L77:M77"/>
    <mergeCell ref="P64:Q64"/>
    <mergeCell ref="J65:K65"/>
    <mergeCell ref="B67:R67"/>
    <mergeCell ref="B69:C69"/>
    <mergeCell ref="F69:G69"/>
    <mergeCell ref="L69:M69"/>
    <mergeCell ref="R59:R60"/>
    <mergeCell ref="A85:R89"/>
    <mergeCell ref="G6:L6"/>
    <mergeCell ref="B46:E46"/>
    <mergeCell ref="L79:M79"/>
    <mergeCell ref="E81:F81"/>
    <mergeCell ref="B61:C61"/>
    <mergeCell ref="E61:F61"/>
    <mergeCell ref="H61:I61"/>
    <mergeCell ref="P61:Q61"/>
    <mergeCell ref="K63:L63"/>
    <mergeCell ref="P63:Q63"/>
    <mergeCell ref="F46:G46"/>
    <mergeCell ref="N47:R50"/>
    <mergeCell ref="K48:L48"/>
    <mergeCell ref="K50:L50"/>
    <mergeCell ref="P55:Q57"/>
  </mergeCells>
  <dataValidations count="7">
    <dataValidation type="whole" operator="greaterThanOrEqual" allowBlank="1" error="Value is less than allowed by rule" prompt="Laterals must be within 24 inches of the edge of the bed and spaced no further apart than 36 inches." sqref="O38 Q38" xr:uid="{975CA5F9-3EA4-46D4-B09C-C59FA06389AC}">
      <formula1>1</formula1>
    </dataValidation>
    <dataValidation type="list" errorStyle="information" allowBlank="1" showInputMessage="1" showErrorMessage="1" errorTitle="Check Value" error="Spacing must be between 2ft and 3ft." prompt="Min 2.0 ft_x000a_Max 3.0 ft" sqref="J15:K15" xr:uid="{B11A9ECE-6A39-4022-984C-AFEE91464B3E}">
      <formula1>PerfSpace</formula1>
    </dataValidation>
    <dataValidation type="list" allowBlank="1" showInputMessage="1" showErrorMessage="1" prompt="Min 1/8&quot;_x000a_Max 1/4&quot;" sqref="J17:K18" xr:uid="{A392A3F8-A878-43F7-88FC-EC6E138FC905}">
      <formula1>PerfDia</formula1>
    </dataValidation>
    <dataValidation type="list" allowBlank="1" showInputMessage="1" showErrorMessage="1" prompt="Min 2.0 ft_x000a_Max 3.0 ft" sqref="J14:K14" xr:uid="{0C88C767-9F2B-4DC6-B215-212C81ECD134}">
      <formula1>PerfSpace</formula1>
    </dataValidation>
    <dataValidation operator="greaterThanOrEqual" allowBlank="1" showInputMessage="1" showErrorMessage="1" error="Value is less than allowed by rule" prompt="Laterals must be within 24 inches of the edge of the bed and spaced no further apart than 36 inches." sqref="J13:K13" xr:uid="{40952580-2A66-4355-921E-3B6F342CC790}"/>
    <dataValidation type="list" allowBlank="1" showInputMessage="1" showErrorMessage="1" prompt="1.0 for dwellings using 1/4&quot;, 7/32&quot;,or 3/16&quot; holes_x000a__x000a_2.0 for dwellings using 1/8&quot; holes or Other Establishments using 1/4&quot;, 7/32&quot;or 3/16&quot; holes_x000a__x000a_5.0 for Other Establishments using 1/8&quot; holes" sqref="K63:L63" xr:uid="{A305230D-409E-42B9-B775-80229BFE97D3}">
      <formula1>MinHead</formula1>
    </dataValidation>
    <dataValidation type="list" allowBlank="1" showInputMessage="1" showErrorMessage="1" sqref="K50:L50" xr:uid="{48A7D709-6781-4AE0-89E4-7ACA7CFF17AB}">
      <formula1>PipeDia</formula1>
    </dataValidation>
  </dataValidations>
  <printOptions horizontalCentered="1"/>
  <pageMargins left="0.15" right="0.15" top="0.4" bottom="0.15" header="0.5" footer="0.5"/>
  <pageSetup scale="89" fitToHeight="2" orientation="portrait" blackAndWhite="1" r:id="rId1"/>
  <headerFooter alignWithMargins="0"/>
  <rowBreaks count="1" manualBreakCount="1">
    <brk id="39" max="17" man="1"/>
  </rowBreaks>
  <ignoredErrors>
    <ignoredError sqref="V11" twoDigitTextYear="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What is being dosed" xr:uid="{AE73BA6B-6482-447D-AA8E-CB4722726840}">
          <x14:formula1>
            <xm:f>'Drop-Down Lists'!$BR$2:$BR$7</xm:f>
          </x14:formula1>
          <xm:sqref>G6:L6</xm:sqref>
        </x14:dataValidation>
        <x14:dataValidation type="list" allowBlank="1" xr:uid="{AB7AF19E-77D0-434F-B1D3-F74B7813278C}">
          <x14:formula1>
            <xm:f>'Drop-Down Lists'!$AR$2:$AR$3</xm:f>
          </x14:formula1>
          <xm:sqref>K48:L48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C00000"/>
    <pageSetUpPr fitToPage="1"/>
  </sheetPr>
  <dimension ref="A1:V1303"/>
  <sheetViews>
    <sheetView view="pageBreakPreview" zoomScaleNormal="100" zoomScaleSheetLayoutView="100" workbookViewId="0">
      <selection activeCell="S5" sqref="S5:U5"/>
    </sheetView>
  </sheetViews>
  <sheetFormatPr defaultColWidth="9.140625" defaultRowHeight="15"/>
  <cols>
    <col min="1" max="1" width="1.140625" style="609" customWidth="1"/>
    <col min="2" max="21" width="4.85546875" style="609" customWidth="1"/>
    <col min="22" max="22" width="1.7109375" style="609" customWidth="1"/>
    <col min="23" max="16384" width="9.140625" style="609"/>
  </cols>
  <sheetData>
    <row r="1" spans="1:22" ht="15.75" customHeight="1">
      <c r="A1" s="975"/>
      <c r="B1" s="981" t="s">
        <v>642</v>
      </c>
      <c r="C1" s="977"/>
      <c r="D1" s="982"/>
      <c r="E1" s="983"/>
      <c r="F1" s="983"/>
      <c r="G1" s="977"/>
      <c r="H1" s="977"/>
      <c r="I1" s="977"/>
      <c r="J1" s="984"/>
      <c r="K1" s="977"/>
      <c r="L1" s="984"/>
      <c r="M1" s="984"/>
      <c r="N1" s="985"/>
      <c r="O1" s="985"/>
      <c r="P1" s="977"/>
      <c r="Q1" s="977"/>
      <c r="R1" s="977"/>
      <c r="S1" s="2434" t="str">
        <f>'Drop-Down Lists'!A2</f>
        <v>v 05.01.2026</v>
      </c>
      <c r="T1" s="2434"/>
      <c r="U1" s="2434"/>
      <c r="V1" s="986"/>
    </row>
    <row r="2" spans="1:22" ht="6" customHeight="1">
      <c r="A2" s="784"/>
      <c r="B2" s="776"/>
      <c r="F2" s="611"/>
      <c r="G2" s="776"/>
      <c r="H2" s="1119"/>
      <c r="J2" s="611"/>
      <c r="V2" s="783"/>
    </row>
    <row r="3" spans="1:22" ht="18" customHeight="1">
      <c r="A3" s="784"/>
      <c r="B3" s="2475" t="s">
        <v>548</v>
      </c>
      <c r="C3" s="2475"/>
      <c r="D3" s="2475"/>
      <c r="E3" s="2475"/>
      <c r="F3" s="2476"/>
      <c r="G3" s="2472" t="str">
        <f>IF(ISBLANK(Prelim!G3),"  ", Prelim!G3)</f>
        <v xml:space="preserve">  </v>
      </c>
      <c r="H3" s="2473"/>
      <c r="I3" s="2473"/>
      <c r="J3" s="2473"/>
      <c r="K3" s="2473"/>
      <c r="L3" s="2473"/>
      <c r="M3" s="2473"/>
      <c r="N3" s="2473"/>
      <c r="O3" s="2473"/>
      <c r="P3" s="2474"/>
      <c r="Q3" s="2486" t="s">
        <v>551</v>
      </c>
      <c r="R3" s="2487"/>
      <c r="S3" s="2466" t="str">
        <f>IF(ISBLANK(Prelim!S5)," ",Prelim!S5)</f>
        <v xml:space="preserve"> </v>
      </c>
      <c r="T3" s="2467"/>
      <c r="U3" s="2468"/>
      <c r="V3" s="783"/>
    </row>
    <row r="4" spans="1:22" ht="4.5" customHeight="1">
      <c r="A4" s="784"/>
      <c r="B4" s="2465"/>
      <c r="C4" s="2465"/>
      <c r="D4" s="2465"/>
      <c r="E4" s="2465"/>
      <c r="F4" s="2465"/>
      <c r="G4" s="2465"/>
      <c r="H4" s="2465"/>
      <c r="I4" s="2465"/>
      <c r="J4" s="2465"/>
      <c r="K4" s="2465"/>
      <c r="L4" s="2465"/>
      <c r="V4" s="783"/>
    </row>
    <row r="5" spans="1:22" ht="18" customHeight="1">
      <c r="A5" s="784"/>
      <c r="B5" s="611"/>
      <c r="D5" s="776" t="s">
        <v>550</v>
      </c>
      <c r="E5" s="2472" t="str">
        <f>IF(ISBLANK(Prelim!G5),"  ", Prelim!G5)</f>
        <v xml:space="preserve">  </v>
      </c>
      <c r="F5" s="2473"/>
      <c r="G5" s="2473"/>
      <c r="H5" s="2473"/>
      <c r="I5" s="2473"/>
      <c r="J5" s="2473"/>
      <c r="K5" s="2473"/>
      <c r="L5" s="2473"/>
      <c r="M5" s="2473"/>
      <c r="N5" s="2474"/>
      <c r="P5" s="2465" t="s">
        <v>549</v>
      </c>
      <c r="Q5" s="2465"/>
      <c r="R5" s="2465"/>
      <c r="S5" s="2469"/>
      <c r="T5" s="2470"/>
      <c r="U5" s="2471"/>
      <c r="V5" s="783"/>
    </row>
    <row r="6" spans="1:22" ht="5.25" customHeight="1">
      <c r="A6" s="784"/>
      <c r="B6" s="611"/>
      <c r="C6" s="611"/>
      <c r="D6" s="611"/>
      <c r="E6" s="611"/>
      <c r="F6" s="611"/>
      <c r="G6" s="611"/>
      <c r="H6" s="611"/>
      <c r="I6" s="611"/>
      <c r="J6" s="611"/>
      <c r="K6" s="611"/>
      <c r="L6" s="611"/>
      <c r="P6" s="1091"/>
      <c r="Q6" s="1091"/>
      <c r="R6" s="1091"/>
      <c r="S6" s="1092"/>
      <c r="T6" s="1092"/>
      <c r="U6" s="1092"/>
      <c r="V6" s="783"/>
    </row>
    <row r="7" spans="1:22" ht="15.75" customHeight="1">
      <c r="A7" s="979"/>
      <c r="B7" s="2409" t="s">
        <v>643</v>
      </c>
      <c r="C7" s="2480"/>
      <c r="D7" s="2480"/>
      <c r="E7" s="2480"/>
      <c r="F7" s="2481"/>
      <c r="G7" s="2481"/>
      <c r="H7" s="2481"/>
      <c r="I7" s="2481"/>
      <c r="J7" s="2481"/>
      <c r="K7" s="2481"/>
      <c r="L7" s="2481"/>
      <c r="M7" s="1358"/>
      <c r="N7" s="1358"/>
      <c r="O7" s="1358"/>
      <c r="P7" s="1358"/>
      <c r="Q7" s="1358"/>
      <c r="R7" s="1358"/>
      <c r="S7" s="1358"/>
      <c r="T7" s="1358"/>
      <c r="U7" s="1358"/>
      <c r="V7" s="980"/>
    </row>
    <row r="8" spans="1:22" ht="5.25" customHeight="1">
      <c r="A8" s="784"/>
      <c r="B8" s="776"/>
      <c r="F8" s="611"/>
      <c r="G8" s="776"/>
      <c r="H8" s="1119"/>
      <c r="J8" s="611"/>
      <c r="V8" s="783"/>
    </row>
    <row r="9" spans="1:22" ht="18" customHeight="1">
      <c r="A9" s="784"/>
      <c r="B9" s="609" t="s">
        <v>644</v>
      </c>
      <c r="K9" s="2430"/>
      <c r="L9" s="2431"/>
      <c r="M9" s="2432"/>
      <c r="R9" s="2430"/>
      <c r="S9" s="2431"/>
      <c r="T9" s="2431"/>
      <c r="U9" s="2432"/>
      <c r="V9" s="783"/>
    </row>
    <row r="10" spans="1:22" ht="4.5" customHeight="1">
      <c r="A10" s="784"/>
      <c r="B10" s="776"/>
      <c r="F10" s="611"/>
      <c r="G10" s="776"/>
      <c r="H10" s="1119"/>
      <c r="J10" s="611"/>
      <c r="V10" s="783"/>
    </row>
    <row r="11" spans="1:22" ht="18" customHeight="1">
      <c r="A11" s="784"/>
      <c r="B11" s="609" t="s">
        <v>645</v>
      </c>
      <c r="F11" s="611"/>
      <c r="H11" s="611"/>
      <c r="J11" s="611"/>
      <c r="K11" s="792"/>
      <c r="L11" s="792"/>
      <c r="M11" s="773"/>
      <c r="P11" s="1119"/>
      <c r="V11" s="783"/>
    </row>
    <row r="12" spans="1:22" ht="4.5" customHeight="1">
      <c r="A12" s="784"/>
      <c r="B12" s="2465"/>
      <c r="C12" s="2465"/>
      <c r="D12" s="2465"/>
      <c r="E12" s="2465"/>
      <c r="F12" s="2465"/>
      <c r="G12" s="2465"/>
      <c r="H12" s="2465"/>
      <c r="I12" s="2465"/>
      <c r="J12" s="2465"/>
      <c r="K12" s="2465"/>
      <c r="L12" s="2465"/>
      <c r="M12" s="773"/>
      <c r="P12" s="1119"/>
      <c r="V12" s="783"/>
    </row>
    <row r="13" spans="1:22" ht="15.75" customHeight="1">
      <c r="A13" s="979"/>
      <c r="B13" s="2409" t="s">
        <v>646</v>
      </c>
      <c r="C13" s="2480"/>
      <c r="D13" s="2480"/>
      <c r="E13" s="2480"/>
      <c r="F13" s="2481"/>
      <c r="G13" s="2481"/>
      <c r="H13" s="2481"/>
      <c r="I13" s="2481"/>
      <c r="J13" s="2481"/>
      <c r="K13" s="2481"/>
      <c r="L13" s="2481"/>
      <c r="M13" s="1358"/>
      <c r="N13" s="1358"/>
      <c r="O13" s="1358"/>
      <c r="P13" s="1358"/>
      <c r="Q13" s="1358"/>
      <c r="R13" s="1358"/>
      <c r="S13" s="1358"/>
      <c r="T13" s="1358"/>
      <c r="U13" s="1358"/>
      <c r="V13" s="980"/>
    </row>
    <row r="14" spans="1:22" ht="6" customHeight="1">
      <c r="A14" s="784"/>
      <c r="B14" s="2465"/>
      <c r="C14" s="2465"/>
      <c r="D14" s="2465"/>
      <c r="E14" s="2465"/>
      <c r="F14" s="2465"/>
      <c r="G14" s="2465"/>
      <c r="H14" s="2465"/>
      <c r="I14" s="2465"/>
      <c r="J14" s="2465"/>
      <c r="K14" s="2465"/>
      <c r="L14" s="2465"/>
      <c r="M14" s="773"/>
      <c r="P14" s="1119"/>
      <c r="V14" s="783"/>
    </row>
    <row r="15" spans="1:22" ht="18" customHeight="1">
      <c r="A15" s="784"/>
      <c r="B15" s="2488" t="s">
        <v>647</v>
      </c>
      <c r="C15" s="2488"/>
      <c r="D15" s="2488"/>
      <c r="E15" s="2488"/>
      <c r="F15" s="2427"/>
      <c r="G15" s="2428"/>
      <c r="H15" s="2428"/>
      <c r="I15" s="2428"/>
      <c r="J15" s="2428"/>
      <c r="K15" s="2428"/>
      <c r="L15" s="2429"/>
      <c r="O15" s="1119"/>
      <c r="P15" s="1818" t="s">
        <v>648</v>
      </c>
      <c r="Q15" s="2427"/>
      <c r="R15" s="2428"/>
      <c r="S15" s="2428"/>
      <c r="T15" s="2429"/>
      <c r="V15" s="783"/>
    </row>
    <row r="16" spans="1:22" ht="6" customHeight="1">
      <c r="A16" s="784"/>
      <c r="B16" s="774"/>
      <c r="C16" s="774"/>
      <c r="D16" s="774"/>
      <c r="E16" s="774"/>
      <c r="F16" s="774"/>
      <c r="I16" s="1819"/>
      <c r="M16" s="773"/>
      <c r="P16" s="1119"/>
      <c r="V16" s="783"/>
    </row>
    <row r="17" spans="1:22" ht="18" customHeight="1">
      <c r="A17" s="784"/>
      <c r="C17" s="774"/>
      <c r="D17" s="1110" t="s">
        <v>649</v>
      </c>
      <c r="E17" s="2489"/>
      <c r="F17" s="2490"/>
      <c r="G17" s="2491"/>
      <c r="H17" s="609" t="s">
        <v>624</v>
      </c>
      <c r="K17" s="1110" t="s">
        <v>650</v>
      </c>
      <c r="L17" s="2427"/>
      <c r="M17" s="2428"/>
      <c r="N17" s="2429"/>
      <c r="P17" s="1119"/>
      <c r="Q17" s="1818" t="s">
        <v>651</v>
      </c>
      <c r="R17" s="2427"/>
      <c r="S17" s="2428"/>
      <c r="T17" s="2429"/>
      <c r="V17" s="783"/>
    </row>
    <row r="18" spans="1:22" ht="3" customHeight="1">
      <c r="A18" s="784"/>
      <c r="B18" s="774"/>
      <c r="C18" s="774"/>
      <c r="D18" s="774"/>
      <c r="E18" s="1110"/>
      <c r="F18" s="774"/>
      <c r="I18" s="1819"/>
      <c r="M18" s="773"/>
      <c r="P18" s="1119"/>
      <c r="V18" s="783"/>
    </row>
    <row r="19" spans="1:22" ht="3" customHeight="1">
      <c r="A19" s="784"/>
      <c r="B19" s="774"/>
      <c r="C19" s="774"/>
      <c r="D19" s="774"/>
      <c r="E19" s="774"/>
      <c r="F19" s="774"/>
      <c r="M19" s="773"/>
      <c r="P19" s="1119"/>
      <c r="V19" s="783"/>
    </row>
    <row r="20" spans="1:22" ht="18" customHeight="1">
      <c r="A20" s="784"/>
      <c r="C20" s="774"/>
      <c r="D20" s="774"/>
      <c r="E20" s="774"/>
      <c r="F20" s="774"/>
      <c r="J20" s="1110" t="s">
        <v>652</v>
      </c>
      <c r="K20" s="2412"/>
      <c r="L20" s="2413"/>
      <c r="M20" s="2413"/>
      <c r="N20" s="2413"/>
      <c r="O20" s="2413"/>
      <c r="P20" s="2413"/>
      <c r="Q20" s="2413"/>
      <c r="R20" s="2413"/>
      <c r="S20" s="2413"/>
      <c r="T20" s="2413"/>
      <c r="U20" s="2414"/>
      <c r="V20" s="783"/>
    </row>
    <row r="21" spans="1:22" ht="6" customHeight="1">
      <c r="A21" s="784"/>
      <c r="B21" s="774"/>
      <c r="C21" s="774"/>
      <c r="D21" s="774"/>
      <c r="E21" s="774"/>
      <c r="F21" s="774"/>
      <c r="P21" s="1119"/>
      <c r="V21" s="783"/>
    </row>
    <row r="22" spans="1:22" ht="18" customHeight="1">
      <c r="A22" s="784"/>
      <c r="F22" s="774"/>
      <c r="H22" s="774"/>
      <c r="I22" s="774"/>
      <c r="J22" s="1110" t="s">
        <v>653</v>
      </c>
      <c r="K22" s="2412"/>
      <c r="L22" s="2413"/>
      <c r="M22" s="2413"/>
      <c r="N22" s="2413"/>
      <c r="O22" s="2413"/>
      <c r="P22" s="2413"/>
      <c r="Q22" s="2413"/>
      <c r="R22" s="2413"/>
      <c r="S22" s="2413"/>
      <c r="T22" s="2413"/>
      <c r="U22" s="2414"/>
      <c r="V22" s="783"/>
    </row>
    <row r="23" spans="1:22" ht="4.5" customHeight="1">
      <c r="A23" s="784"/>
      <c r="V23" s="783"/>
    </row>
    <row r="24" spans="1:22" ht="18" customHeight="1">
      <c r="A24" s="784"/>
      <c r="D24" s="1110" t="s">
        <v>654</v>
      </c>
      <c r="E24" s="2436"/>
      <c r="F24" s="2437"/>
      <c r="G24" s="2437"/>
      <c r="H24" s="2437"/>
      <c r="I24" s="2437"/>
      <c r="J24" s="2437"/>
      <c r="K24" s="2437"/>
      <c r="L24" s="2437"/>
      <c r="M24" s="2437"/>
      <c r="N24" s="2437"/>
      <c r="O24" s="2437"/>
      <c r="P24" s="2437"/>
      <c r="Q24" s="2437"/>
      <c r="R24" s="2437"/>
      <c r="S24" s="2437"/>
      <c r="T24" s="2437"/>
      <c r="U24" s="2438"/>
      <c r="V24" s="783"/>
    </row>
    <row r="25" spans="1:22" ht="6" customHeight="1">
      <c r="A25" s="784"/>
      <c r="B25" s="774"/>
      <c r="C25" s="774"/>
      <c r="D25" s="774"/>
      <c r="E25" s="774"/>
      <c r="F25" s="774"/>
      <c r="M25" s="773"/>
      <c r="P25" s="1119"/>
      <c r="V25" s="783"/>
    </row>
    <row r="26" spans="1:22" ht="18" customHeight="1">
      <c r="A26" s="784"/>
      <c r="F26" s="774"/>
      <c r="H26" s="774"/>
      <c r="I26" s="774"/>
      <c r="J26" s="1110" t="s">
        <v>655</v>
      </c>
      <c r="K26" s="2430"/>
      <c r="L26" s="2431"/>
      <c r="M26" s="2432"/>
      <c r="P26" s="776" t="s">
        <v>573</v>
      </c>
      <c r="Q26" s="2430"/>
      <c r="R26" s="2431"/>
      <c r="S26" s="2431"/>
      <c r="T26" s="2431"/>
      <c r="U26" s="2432"/>
      <c r="V26" s="783"/>
    </row>
    <row r="27" spans="1:22" ht="6" customHeight="1">
      <c r="A27" s="784"/>
      <c r="B27" s="1820"/>
      <c r="C27" s="1820"/>
      <c r="D27" s="1810"/>
      <c r="E27" s="774"/>
      <c r="F27" s="774"/>
      <c r="H27" s="611"/>
      <c r="J27" s="611"/>
      <c r="K27" s="792"/>
      <c r="L27" s="792"/>
      <c r="M27" s="773"/>
      <c r="P27" s="1119"/>
      <c r="V27" s="783"/>
    </row>
    <row r="28" spans="1:22" ht="15.75" customHeight="1">
      <c r="A28" s="979"/>
      <c r="B28" s="2409" t="s">
        <v>656</v>
      </c>
      <c r="C28" s="2480"/>
      <c r="D28" s="2480"/>
      <c r="E28" s="2480"/>
      <c r="F28" s="2481"/>
      <c r="G28" s="2481"/>
      <c r="H28" s="2481"/>
      <c r="I28" s="2481"/>
      <c r="J28" s="2481"/>
      <c r="K28" s="2481"/>
      <c r="L28" s="2481"/>
      <c r="M28" s="1358"/>
      <c r="N28" s="1358"/>
      <c r="O28" s="1358"/>
      <c r="P28" s="1358"/>
      <c r="Q28" s="1358"/>
      <c r="R28" s="1358"/>
      <c r="S28" s="1358"/>
      <c r="T28" s="1358"/>
      <c r="U28" s="1358"/>
      <c r="V28" s="980"/>
    </row>
    <row r="29" spans="1:22" ht="6" customHeight="1">
      <c r="A29" s="784"/>
      <c r="B29" s="2465"/>
      <c r="C29" s="2465"/>
      <c r="D29" s="2465"/>
      <c r="E29" s="2465"/>
      <c r="F29" s="2465"/>
      <c r="G29" s="2465"/>
      <c r="H29" s="2465"/>
      <c r="I29" s="2465"/>
      <c r="J29" s="2465"/>
      <c r="K29" s="2465"/>
      <c r="L29" s="2465"/>
      <c r="M29" s="773"/>
      <c r="P29" s="1119"/>
      <c r="V29" s="783"/>
    </row>
    <row r="30" spans="1:22" ht="18" customHeight="1">
      <c r="A30" s="2493" t="s">
        <v>657</v>
      </c>
      <c r="B30" s="2459"/>
      <c r="C30" s="2459"/>
      <c r="D30" s="2459"/>
      <c r="E30" s="2459"/>
      <c r="F30" s="2459"/>
      <c r="G30" s="2459"/>
      <c r="H30" s="2459"/>
      <c r="I30" s="2459"/>
      <c r="J30" s="2430"/>
      <c r="K30" s="2431"/>
      <c r="L30" s="2432"/>
      <c r="V30" s="783"/>
    </row>
    <row r="31" spans="1:22" ht="6" customHeight="1">
      <c r="A31" s="784"/>
      <c r="B31" s="2465"/>
      <c r="C31" s="2465"/>
      <c r="D31" s="2465"/>
      <c r="E31" s="2465"/>
      <c r="F31" s="2465"/>
      <c r="G31" s="2465"/>
      <c r="H31" s="2465"/>
      <c r="I31" s="2465"/>
      <c r="J31" s="2465"/>
      <c r="K31" s="2465"/>
      <c r="L31" s="2465"/>
      <c r="M31" s="773"/>
      <c r="P31" s="1119"/>
      <c r="V31" s="783"/>
    </row>
    <row r="32" spans="1:22" ht="34.5" customHeight="1">
      <c r="A32" s="784"/>
      <c r="D32" s="776" t="s">
        <v>573</v>
      </c>
      <c r="E32" s="2492"/>
      <c r="F32" s="2492"/>
      <c r="G32" s="2492"/>
      <c r="H32" s="2492"/>
      <c r="I32" s="2492"/>
      <c r="J32" s="2492"/>
      <c r="K32" s="2492"/>
      <c r="L32" s="2492"/>
      <c r="M32" s="2492"/>
      <c r="N32" s="2492"/>
      <c r="O32" s="2492"/>
      <c r="P32" s="2492"/>
      <c r="Q32" s="2492"/>
      <c r="R32" s="2492"/>
      <c r="S32" s="2492"/>
      <c r="T32" s="2492"/>
      <c r="U32" s="2492"/>
      <c r="V32" s="783"/>
    </row>
    <row r="33" spans="1:22" ht="7.5" customHeight="1">
      <c r="A33" s="784"/>
      <c r="D33" s="776"/>
      <c r="V33" s="783"/>
    </row>
    <row r="34" spans="1:22" ht="18" customHeight="1">
      <c r="A34" s="784"/>
      <c r="R34" s="776" t="s">
        <v>658</v>
      </c>
      <c r="S34" s="2430"/>
      <c r="T34" s="2431"/>
      <c r="U34" s="2432"/>
      <c r="V34" s="783"/>
    </row>
    <row r="35" spans="1:22" ht="6" customHeight="1">
      <c r="A35" s="784"/>
      <c r="B35" s="2465"/>
      <c r="C35" s="2465"/>
      <c r="D35" s="2465"/>
      <c r="E35" s="2465"/>
      <c r="F35" s="2465"/>
      <c r="G35" s="2465"/>
      <c r="H35" s="2465"/>
      <c r="I35" s="2465"/>
      <c r="J35" s="2465"/>
      <c r="K35" s="2465"/>
      <c r="L35" s="2465"/>
      <c r="M35" s="773"/>
      <c r="T35" s="1119"/>
      <c r="V35" s="783"/>
    </row>
    <row r="36" spans="1:22" ht="18" customHeight="1">
      <c r="A36" s="784"/>
      <c r="R36" s="776" t="s">
        <v>659</v>
      </c>
      <c r="S36" s="2430"/>
      <c r="T36" s="2431"/>
      <c r="U36" s="2432"/>
      <c r="V36" s="783"/>
    </row>
    <row r="37" spans="1:22" ht="6" customHeight="1">
      <c r="A37" s="784"/>
      <c r="M37" s="773"/>
      <c r="P37" s="1119"/>
      <c r="V37" s="783"/>
    </row>
    <row r="38" spans="1:22" ht="18" customHeight="1">
      <c r="A38" s="784"/>
      <c r="H38" s="776" t="s">
        <v>660</v>
      </c>
      <c r="I38" s="2430"/>
      <c r="J38" s="2431"/>
      <c r="K38" s="2432"/>
      <c r="R38" s="776" t="s">
        <v>661</v>
      </c>
      <c r="S38" s="2430"/>
      <c r="T38" s="2431"/>
      <c r="U38" s="2432"/>
      <c r="V38" s="783"/>
    </row>
    <row r="39" spans="1:22" ht="6" customHeight="1">
      <c r="A39" s="784"/>
      <c r="M39" s="773"/>
      <c r="T39" s="1119"/>
      <c r="V39" s="783"/>
    </row>
    <row r="40" spans="1:22" ht="18" customHeight="1">
      <c r="A40" s="784"/>
      <c r="R40" s="776" t="s">
        <v>662</v>
      </c>
      <c r="S40" s="2430"/>
      <c r="T40" s="2431"/>
      <c r="U40" s="2432"/>
      <c r="V40" s="783"/>
    </row>
    <row r="41" spans="1:22" ht="6" customHeight="1">
      <c r="A41" s="784"/>
      <c r="P41" s="611"/>
      <c r="V41" s="783"/>
    </row>
    <row r="42" spans="1:22" ht="15.75" customHeight="1">
      <c r="A42" s="979"/>
      <c r="B42" s="2409" t="s">
        <v>663</v>
      </c>
      <c r="C42" s="2480"/>
      <c r="D42" s="2480"/>
      <c r="E42" s="2480"/>
      <c r="F42" s="2481"/>
      <c r="G42" s="2481"/>
      <c r="H42" s="2481"/>
      <c r="I42" s="2481"/>
      <c r="J42" s="2481"/>
      <c r="K42" s="2481"/>
      <c r="L42" s="2481"/>
      <c r="M42" s="1358"/>
      <c r="N42" s="1358"/>
      <c r="O42" s="1358"/>
      <c r="P42" s="1358"/>
      <c r="Q42" s="1358"/>
      <c r="R42" s="1358"/>
      <c r="S42" s="1358"/>
      <c r="T42" s="1358"/>
      <c r="U42" s="1358"/>
      <c r="V42" s="980"/>
    </row>
    <row r="43" spans="1:22" ht="16.350000000000001" customHeight="1">
      <c r="A43" s="784"/>
      <c r="B43" s="773"/>
      <c r="G43" s="2483" t="s">
        <v>664</v>
      </c>
      <c r="H43" s="2483"/>
      <c r="I43" s="799"/>
      <c r="J43" s="2482" t="s">
        <v>665</v>
      </c>
      <c r="K43" s="2482"/>
      <c r="L43" s="2482"/>
      <c r="V43" s="783"/>
    </row>
    <row r="44" spans="1:22" ht="16.350000000000001" customHeight="1">
      <c r="A44" s="784"/>
      <c r="B44" s="2484" t="s">
        <v>666</v>
      </c>
      <c r="C44" s="2484"/>
      <c r="D44" s="2484"/>
      <c r="E44" s="2484"/>
      <c r="F44" s="2485"/>
      <c r="G44" s="2500"/>
      <c r="H44" s="2501"/>
      <c r="I44" s="609" t="s">
        <v>629</v>
      </c>
      <c r="J44" s="2502"/>
      <c r="K44" s="2502"/>
      <c r="L44" s="2502"/>
      <c r="M44" s="609" t="s">
        <v>609</v>
      </c>
      <c r="N44" s="1821" t="s">
        <v>667</v>
      </c>
      <c r="V44" s="783"/>
    </row>
    <row r="45" spans="1:22" ht="18" customHeight="1">
      <c r="A45" s="784"/>
      <c r="F45" s="776" t="s">
        <v>668</v>
      </c>
      <c r="G45" s="2410"/>
      <c r="H45" s="2411"/>
      <c r="I45" s="609" t="s">
        <v>629</v>
      </c>
      <c r="J45" s="2479"/>
      <c r="K45" s="2479"/>
      <c r="L45" s="2479"/>
      <c r="M45" s="609" t="s">
        <v>609</v>
      </c>
      <c r="Q45" s="776" t="s">
        <v>669</v>
      </c>
      <c r="R45" s="2430"/>
      <c r="S45" s="2431"/>
      <c r="T45" s="2431"/>
      <c r="U45" s="2432"/>
      <c r="V45" s="783"/>
    </row>
    <row r="46" spans="1:22" ht="18" customHeight="1">
      <c r="A46" s="784"/>
      <c r="F46" s="776" t="s">
        <v>670</v>
      </c>
      <c r="G46" s="2410"/>
      <c r="H46" s="2411"/>
      <c r="I46" s="609" t="s">
        <v>629</v>
      </c>
      <c r="J46" s="2479"/>
      <c r="K46" s="2479"/>
      <c r="L46" s="2479"/>
      <c r="M46" s="609" t="s">
        <v>609</v>
      </c>
      <c r="Q46" s="776" t="s">
        <v>671</v>
      </c>
      <c r="R46" s="2477"/>
      <c r="S46" s="2478"/>
      <c r="T46" s="609" t="s">
        <v>672</v>
      </c>
      <c r="V46" s="783"/>
    </row>
    <row r="47" spans="1:22" ht="18" customHeight="1">
      <c r="A47" s="784"/>
      <c r="F47" s="776" t="s">
        <v>673</v>
      </c>
      <c r="G47" s="2494"/>
      <c r="H47" s="2494"/>
      <c r="I47" s="609" t="s">
        <v>629</v>
      </c>
      <c r="J47" s="2479"/>
      <c r="K47" s="2479"/>
      <c r="L47" s="2479"/>
      <c r="M47" s="609" t="s">
        <v>609</v>
      </c>
      <c r="Q47" s="776" t="s">
        <v>674</v>
      </c>
      <c r="R47" s="2498"/>
      <c r="S47" s="2498"/>
      <c r="T47" s="609" t="s">
        <v>675</v>
      </c>
      <c r="V47" s="783"/>
    </row>
    <row r="48" spans="1:22" ht="3.95" customHeight="1">
      <c r="A48" s="784"/>
      <c r="F48" s="776"/>
      <c r="G48" s="2148"/>
      <c r="H48" s="2148"/>
      <c r="J48" s="2149"/>
      <c r="K48" s="2149"/>
      <c r="L48" s="2149"/>
      <c r="Q48" s="776"/>
      <c r="R48" s="611"/>
      <c r="S48" s="611"/>
      <c r="V48" s="783"/>
    </row>
    <row r="49" spans="1:22" ht="18" customHeight="1">
      <c r="A49" s="784"/>
      <c r="F49" s="776" t="s">
        <v>676</v>
      </c>
      <c r="G49" s="2499"/>
      <c r="H49" s="2499"/>
      <c r="I49" s="2499"/>
      <c r="J49" s="609" t="s">
        <v>609</v>
      </c>
      <c r="R49" s="1110" t="s">
        <v>677</v>
      </c>
      <c r="S49" s="2426"/>
      <c r="T49" s="2426"/>
      <c r="U49" s="2426"/>
      <c r="V49" s="783"/>
    </row>
    <row r="50" spans="1:22" ht="4.5" customHeight="1">
      <c r="A50" s="784"/>
      <c r="F50" s="776"/>
      <c r="J50" s="611"/>
      <c r="K50" s="611"/>
      <c r="L50" s="611"/>
      <c r="N50" s="611"/>
      <c r="O50" s="611"/>
      <c r="P50" s="611"/>
      <c r="Q50" s="611"/>
      <c r="R50" s="611"/>
      <c r="S50" s="611"/>
      <c r="T50" s="611"/>
      <c r="U50" s="611"/>
      <c r="V50" s="783"/>
    </row>
    <row r="51" spans="1:22" ht="18" customHeight="1">
      <c r="A51" s="784"/>
      <c r="B51" s="609" t="s">
        <v>678</v>
      </c>
      <c r="G51" s="774"/>
      <c r="H51" s="2436"/>
      <c r="I51" s="2437"/>
      <c r="J51" s="2437"/>
      <c r="K51" s="2437"/>
      <c r="L51" s="2437"/>
      <c r="M51" s="2437"/>
      <c r="N51" s="2437"/>
      <c r="O51" s="2437"/>
      <c r="P51" s="2437"/>
      <c r="Q51" s="2437"/>
      <c r="R51" s="2437"/>
      <c r="S51" s="2437"/>
      <c r="T51" s="2437"/>
      <c r="U51" s="2438"/>
      <c r="V51" s="783"/>
    </row>
    <row r="52" spans="1:22" ht="4.5" customHeight="1">
      <c r="A52" s="784"/>
      <c r="F52" s="776"/>
      <c r="G52" s="611"/>
      <c r="H52" s="611"/>
      <c r="K52" s="611"/>
      <c r="L52" s="611"/>
      <c r="S52" s="611"/>
      <c r="V52" s="783"/>
    </row>
    <row r="53" spans="1:22" ht="18" customHeight="1">
      <c r="A53" s="784"/>
      <c r="C53" s="774"/>
      <c r="D53" s="774"/>
      <c r="E53" s="774"/>
      <c r="F53" s="774"/>
      <c r="J53" s="1822" t="s">
        <v>679</v>
      </c>
      <c r="K53" s="2495"/>
      <c r="L53" s="2496"/>
      <c r="M53" s="2496"/>
      <c r="N53" s="2496"/>
      <c r="O53" s="2496"/>
      <c r="P53" s="2496"/>
      <c r="Q53" s="2496"/>
      <c r="R53" s="2496"/>
      <c r="S53" s="2496"/>
      <c r="T53" s="2496"/>
      <c r="U53" s="2497"/>
      <c r="V53" s="783"/>
    </row>
    <row r="54" spans="1:22" ht="4.5" customHeight="1">
      <c r="A54" s="784"/>
      <c r="J54" s="1822"/>
      <c r="K54" s="1823"/>
      <c r="L54" s="1823"/>
      <c r="M54" s="1823"/>
      <c r="N54" s="1823"/>
      <c r="O54" s="1823"/>
      <c r="P54" s="1823"/>
      <c r="Q54" s="1823"/>
      <c r="R54" s="1823"/>
      <c r="S54" s="1823"/>
      <c r="T54" s="1823"/>
      <c r="U54" s="1823"/>
      <c r="V54" s="783"/>
    </row>
    <row r="55" spans="1:22" ht="18" customHeight="1">
      <c r="A55" s="784"/>
      <c r="J55" s="1822" t="s">
        <v>680</v>
      </c>
      <c r="K55" s="2495"/>
      <c r="L55" s="2496"/>
      <c r="M55" s="2496"/>
      <c r="N55" s="2496"/>
      <c r="O55" s="2496"/>
      <c r="P55" s="2496"/>
      <c r="Q55" s="2496"/>
      <c r="R55" s="2496"/>
      <c r="S55" s="2496"/>
      <c r="T55" s="2496"/>
      <c r="U55" s="2497"/>
      <c r="V55" s="783"/>
    </row>
    <row r="56" spans="1:22" ht="3" customHeight="1">
      <c r="A56" s="784"/>
      <c r="J56" s="1822"/>
      <c r="K56" s="1823"/>
      <c r="L56" s="1823"/>
      <c r="M56" s="1823"/>
      <c r="N56" s="1823"/>
      <c r="O56" s="1823"/>
      <c r="P56" s="1823"/>
      <c r="Q56" s="1823"/>
      <c r="R56" s="1823"/>
      <c r="S56" s="1823"/>
      <c r="T56" s="1823"/>
      <c r="U56" s="1823"/>
      <c r="V56" s="783"/>
    </row>
    <row r="57" spans="1:22" ht="38.25" customHeight="1">
      <c r="A57" s="784"/>
      <c r="G57" s="1822" t="s">
        <v>681</v>
      </c>
      <c r="H57" s="2492"/>
      <c r="I57" s="2492"/>
      <c r="J57" s="2492"/>
      <c r="K57" s="2492"/>
      <c r="L57" s="2492"/>
      <c r="M57" s="2492"/>
      <c r="N57" s="2492"/>
      <c r="O57" s="2492"/>
      <c r="P57" s="2492"/>
      <c r="Q57" s="2492"/>
      <c r="R57" s="2492"/>
      <c r="S57" s="2492"/>
      <c r="T57" s="2492"/>
      <c r="U57" s="2492"/>
      <c r="V57" s="783"/>
    </row>
    <row r="58" spans="1:22" ht="3.75" customHeight="1" thickBot="1">
      <c r="A58" s="791"/>
      <c r="B58" s="891"/>
      <c r="C58" s="891"/>
      <c r="D58" s="891"/>
      <c r="E58" s="891"/>
      <c r="F58" s="891"/>
      <c r="G58" s="891"/>
      <c r="H58" s="891"/>
      <c r="I58" s="891"/>
      <c r="J58" s="891"/>
      <c r="K58" s="891"/>
      <c r="L58" s="891"/>
      <c r="M58" s="891"/>
      <c r="N58" s="891"/>
      <c r="O58" s="891"/>
      <c r="P58" s="891"/>
      <c r="Q58" s="891"/>
      <c r="R58" s="891"/>
      <c r="S58" s="891"/>
      <c r="T58" s="891"/>
      <c r="U58" s="891"/>
      <c r="V58" s="1103"/>
    </row>
    <row r="69" spans="6:16">
      <c r="F69" s="611"/>
      <c r="H69" s="611"/>
      <c r="J69" s="611"/>
      <c r="P69" s="611"/>
    </row>
    <row r="70" spans="6:16">
      <c r="F70" s="611"/>
      <c r="H70" s="611"/>
      <c r="J70" s="611"/>
      <c r="P70" s="611"/>
    </row>
    <row r="71" spans="6:16">
      <c r="F71" s="611"/>
      <c r="H71" s="611"/>
      <c r="J71" s="611"/>
      <c r="P71" s="611"/>
    </row>
    <row r="72" spans="6:16">
      <c r="F72" s="611"/>
      <c r="H72" s="611"/>
      <c r="J72" s="611"/>
      <c r="P72" s="611"/>
    </row>
    <row r="73" spans="6:16">
      <c r="F73" s="611"/>
      <c r="H73" s="611"/>
      <c r="J73" s="611"/>
      <c r="P73" s="611"/>
    </row>
    <row r="74" spans="6:16">
      <c r="F74" s="611"/>
      <c r="H74" s="611"/>
      <c r="J74" s="611"/>
      <c r="P74" s="611"/>
    </row>
    <row r="75" spans="6:16">
      <c r="F75" s="611"/>
      <c r="H75" s="611"/>
      <c r="J75" s="611"/>
      <c r="P75" s="611"/>
    </row>
    <row r="76" spans="6:16">
      <c r="F76" s="611"/>
      <c r="H76" s="611"/>
      <c r="J76" s="611"/>
      <c r="P76" s="611"/>
    </row>
    <row r="77" spans="6:16">
      <c r="F77" s="611"/>
      <c r="H77" s="611"/>
      <c r="J77" s="611"/>
    </row>
    <row r="78" spans="6:16">
      <c r="F78" s="611"/>
      <c r="H78" s="611"/>
      <c r="J78" s="611"/>
      <c r="P78" s="611"/>
    </row>
    <row r="79" spans="6:16">
      <c r="F79" s="611"/>
      <c r="H79" s="611"/>
      <c r="J79" s="611"/>
      <c r="P79" s="611"/>
    </row>
    <row r="80" spans="6:16">
      <c r="F80" s="611"/>
      <c r="H80" s="611"/>
      <c r="J80" s="611"/>
      <c r="P80" s="611"/>
    </row>
    <row r="81" spans="6:16">
      <c r="F81" s="611"/>
      <c r="H81" s="611"/>
      <c r="J81" s="611"/>
      <c r="P81" s="611"/>
    </row>
    <row r="82" spans="6:16">
      <c r="F82" s="611"/>
      <c r="H82" s="611"/>
      <c r="J82" s="611"/>
      <c r="P82" s="611"/>
    </row>
    <row r="83" spans="6:16">
      <c r="F83" s="611"/>
      <c r="H83" s="611"/>
      <c r="J83" s="611"/>
      <c r="P83" s="611"/>
    </row>
    <row r="84" spans="6:16">
      <c r="F84" s="611"/>
      <c r="H84" s="611"/>
      <c r="J84" s="611"/>
      <c r="P84" s="611"/>
    </row>
    <row r="85" spans="6:16">
      <c r="F85" s="611"/>
      <c r="H85" s="611"/>
      <c r="J85" s="611"/>
    </row>
    <row r="86" spans="6:16">
      <c r="F86" s="611"/>
      <c r="H86" s="611"/>
      <c r="J86" s="611"/>
    </row>
    <row r="87" spans="6:16">
      <c r="F87" s="611"/>
      <c r="H87" s="611"/>
      <c r="J87" s="611"/>
    </row>
    <row r="88" spans="6:16">
      <c r="F88" s="611"/>
      <c r="H88" s="611"/>
      <c r="J88" s="611"/>
    </row>
    <row r="89" spans="6:16">
      <c r="F89" s="611"/>
      <c r="H89" s="611"/>
      <c r="J89" s="611"/>
    </row>
    <row r="90" spans="6:16">
      <c r="F90" s="611"/>
      <c r="H90" s="611"/>
      <c r="J90" s="611"/>
    </row>
    <row r="91" spans="6:16">
      <c r="F91" s="611"/>
      <c r="H91" s="611"/>
      <c r="J91" s="611"/>
    </row>
    <row r="92" spans="6:16">
      <c r="F92" s="611"/>
      <c r="H92" s="611"/>
      <c r="J92" s="611"/>
    </row>
    <row r="93" spans="6:16">
      <c r="F93" s="611"/>
      <c r="H93" s="611"/>
      <c r="J93" s="611"/>
      <c r="P93" s="611"/>
    </row>
    <row r="94" spans="6:16">
      <c r="F94" s="611"/>
      <c r="H94" s="611"/>
      <c r="J94" s="611"/>
      <c r="O94" s="611"/>
      <c r="P94" s="611"/>
    </row>
    <row r="95" spans="6:16">
      <c r="F95" s="611"/>
      <c r="H95" s="611"/>
      <c r="J95" s="611"/>
      <c r="O95" s="611"/>
      <c r="P95" s="611"/>
    </row>
    <row r="96" spans="6:16">
      <c r="F96" s="611"/>
      <c r="H96" s="611"/>
      <c r="J96" s="611"/>
    </row>
    <row r="97" spans="6:19">
      <c r="F97" s="611"/>
      <c r="H97" s="611"/>
      <c r="J97" s="611"/>
      <c r="P97" s="611"/>
      <c r="Q97" s="611"/>
      <c r="R97" s="611"/>
      <c r="S97" s="611"/>
    </row>
    <row r="98" spans="6:19">
      <c r="F98" s="611"/>
      <c r="H98" s="611"/>
      <c r="J98" s="611"/>
      <c r="P98" s="611"/>
      <c r="Q98" s="611"/>
      <c r="R98" s="611"/>
      <c r="S98" s="611"/>
    </row>
    <row r="99" spans="6:19">
      <c r="F99" s="611"/>
      <c r="H99" s="611"/>
      <c r="J99" s="611"/>
    </row>
    <row r="100" spans="6:19">
      <c r="F100" s="611"/>
      <c r="H100" s="611"/>
      <c r="J100" s="611"/>
    </row>
    <row r="101" spans="6:19">
      <c r="F101" s="611"/>
      <c r="H101" s="611"/>
      <c r="J101" s="611"/>
    </row>
    <row r="102" spans="6:19">
      <c r="F102" s="611"/>
      <c r="H102" s="611"/>
      <c r="J102" s="611"/>
    </row>
    <row r="103" spans="6:19">
      <c r="F103" s="611"/>
      <c r="H103" s="611"/>
      <c r="J103" s="611"/>
    </row>
    <row r="104" spans="6:19">
      <c r="F104" s="611"/>
      <c r="H104" s="611"/>
      <c r="J104" s="611"/>
    </row>
    <row r="105" spans="6:19">
      <c r="F105" s="611"/>
      <c r="H105" s="611"/>
      <c r="J105" s="611"/>
    </row>
    <row r="106" spans="6:19">
      <c r="F106" s="611"/>
      <c r="H106" s="611"/>
      <c r="J106" s="611"/>
    </row>
    <row r="107" spans="6:19">
      <c r="F107" s="611"/>
      <c r="H107" s="611"/>
      <c r="J107" s="611"/>
      <c r="N107" s="611"/>
    </row>
    <row r="108" spans="6:19">
      <c r="F108" s="611"/>
      <c r="H108" s="611"/>
      <c r="J108" s="611"/>
      <c r="R108" s="611"/>
    </row>
    <row r="109" spans="6:19">
      <c r="F109" s="611"/>
      <c r="H109" s="611"/>
      <c r="J109" s="611"/>
    </row>
    <row r="110" spans="6:19">
      <c r="F110" s="611"/>
      <c r="H110" s="611"/>
      <c r="J110" s="611"/>
    </row>
    <row r="111" spans="6:19">
      <c r="F111" s="611"/>
      <c r="H111" s="611"/>
      <c r="J111" s="611"/>
    </row>
    <row r="112" spans="6:19">
      <c r="F112" s="611"/>
      <c r="H112" s="611"/>
      <c r="J112" s="611"/>
    </row>
    <row r="113" spans="6:10">
      <c r="F113" s="611"/>
      <c r="H113" s="611"/>
      <c r="J113" s="611"/>
    </row>
    <row r="114" spans="6:10">
      <c r="F114" s="611"/>
      <c r="H114" s="611"/>
      <c r="J114" s="611"/>
    </row>
    <row r="115" spans="6:10">
      <c r="F115" s="611"/>
      <c r="H115" s="611"/>
      <c r="J115" s="611"/>
    </row>
    <row r="116" spans="6:10">
      <c r="F116" s="611"/>
      <c r="H116" s="611"/>
      <c r="J116" s="611"/>
    </row>
    <row r="117" spans="6:10">
      <c r="F117" s="611"/>
      <c r="H117" s="611"/>
      <c r="J117" s="611"/>
    </row>
    <row r="118" spans="6:10">
      <c r="F118" s="611"/>
      <c r="H118" s="611"/>
      <c r="J118" s="611"/>
    </row>
    <row r="119" spans="6:10">
      <c r="F119" s="611"/>
      <c r="H119" s="611"/>
      <c r="J119" s="611"/>
    </row>
    <row r="120" spans="6:10">
      <c r="F120" s="611"/>
      <c r="H120" s="611"/>
      <c r="J120" s="611"/>
    </row>
    <row r="121" spans="6:10">
      <c r="F121" s="611"/>
      <c r="H121" s="611"/>
      <c r="J121" s="611"/>
    </row>
    <row r="122" spans="6:10">
      <c r="F122" s="611"/>
      <c r="H122" s="611"/>
      <c r="J122" s="611"/>
    </row>
    <row r="123" spans="6:10">
      <c r="F123" s="611"/>
      <c r="H123" s="611"/>
      <c r="J123" s="611"/>
    </row>
    <row r="124" spans="6:10">
      <c r="F124" s="611"/>
      <c r="H124" s="611"/>
      <c r="J124" s="611"/>
    </row>
    <row r="125" spans="6:10">
      <c r="F125" s="611"/>
      <c r="H125" s="611"/>
      <c r="J125" s="611"/>
    </row>
    <row r="126" spans="6:10">
      <c r="F126" s="611"/>
      <c r="H126" s="611"/>
      <c r="J126" s="611"/>
    </row>
    <row r="127" spans="6:10">
      <c r="F127" s="611"/>
      <c r="H127" s="611"/>
      <c r="J127" s="611"/>
    </row>
    <row r="128" spans="6:10">
      <c r="F128" s="611"/>
      <c r="H128" s="611"/>
      <c r="J128" s="611"/>
    </row>
    <row r="129" spans="6:10">
      <c r="F129" s="611"/>
      <c r="H129" s="611"/>
      <c r="J129" s="611"/>
    </row>
    <row r="130" spans="6:10">
      <c r="F130" s="611"/>
      <c r="H130" s="611"/>
      <c r="J130" s="611"/>
    </row>
    <row r="131" spans="6:10">
      <c r="F131" s="611"/>
      <c r="H131" s="611"/>
      <c r="J131" s="611"/>
    </row>
    <row r="132" spans="6:10">
      <c r="F132" s="611"/>
      <c r="H132" s="611"/>
      <c r="J132" s="611"/>
    </row>
    <row r="133" spans="6:10">
      <c r="F133" s="611"/>
      <c r="H133" s="611"/>
      <c r="J133" s="611"/>
    </row>
    <row r="134" spans="6:10">
      <c r="F134" s="611"/>
      <c r="H134" s="611"/>
      <c r="J134" s="611"/>
    </row>
    <row r="135" spans="6:10">
      <c r="F135" s="611"/>
      <c r="H135" s="611"/>
      <c r="J135" s="611"/>
    </row>
    <row r="136" spans="6:10">
      <c r="F136" s="611"/>
      <c r="H136" s="611"/>
      <c r="J136" s="611"/>
    </row>
    <row r="137" spans="6:10">
      <c r="F137" s="611"/>
      <c r="H137" s="611"/>
      <c r="J137" s="611"/>
    </row>
    <row r="138" spans="6:10">
      <c r="F138" s="611"/>
      <c r="H138" s="611"/>
      <c r="J138" s="611"/>
    </row>
    <row r="139" spans="6:10">
      <c r="F139" s="611"/>
      <c r="H139" s="611"/>
      <c r="J139" s="611"/>
    </row>
    <row r="140" spans="6:10">
      <c r="F140" s="611"/>
      <c r="H140" s="611"/>
      <c r="J140" s="611"/>
    </row>
    <row r="141" spans="6:10">
      <c r="F141" s="611"/>
      <c r="H141" s="611"/>
      <c r="J141" s="611"/>
    </row>
    <row r="142" spans="6:10">
      <c r="F142" s="611"/>
      <c r="H142" s="611"/>
      <c r="J142" s="611"/>
    </row>
    <row r="143" spans="6:10">
      <c r="F143" s="611"/>
      <c r="H143" s="611"/>
      <c r="J143" s="611"/>
    </row>
    <row r="144" spans="6:10">
      <c r="F144" s="611"/>
      <c r="H144" s="611"/>
      <c r="J144" s="611"/>
    </row>
    <row r="145" spans="6:10">
      <c r="F145" s="611"/>
      <c r="H145" s="611"/>
      <c r="J145" s="611"/>
    </row>
    <row r="146" spans="6:10">
      <c r="F146" s="611"/>
      <c r="H146" s="611"/>
      <c r="J146" s="611"/>
    </row>
    <row r="147" spans="6:10">
      <c r="F147" s="611"/>
      <c r="H147" s="611"/>
      <c r="J147" s="611"/>
    </row>
    <row r="148" spans="6:10">
      <c r="F148" s="611"/>
      <c r="H148" s="611"/>
      <c r="J148" s="611"/>
    </row>
    <row r="149" spans="6:10">
      <c r="F149" s="611"/>
      <c r="H149" s="611"/>
      <c r="J149" s="611"/>
    </row>
    <row r="150" spans="6:10">
      <c r="F150" s="611"/>
      <c r="H150" s="611"/>
      <c r="J150" s="611"/>
    </row>
    <row r="151" spans="6:10">
      <c r="F151" s="611"/>
      <c r="H151" s="611"/>
      <c r="J151" s="611"/>
    </row>
    <row r="152" spans="6:10">
      <c r="F152" s="611"/>
      <c r="H152" s="611"/>
      <c r="J152" s="611"/>
    </row>
    <row r="153" spans="6:10">
      <c r="F153" s="611"/>
      <c r="H153" s="611"/>
      <c r="J153" s="611"/>
    </row>
    <row r="154" spans="6:10">
      <c r="F154" s="611"/>
      <c r="H154" s="611"/>
      <c r="J154" s="611"/>
    </row>
    <row r="155" spans="6:10">
      <c r="F155" s="611"/>
      <c r="H155" s="611"/>
      <c r="J155" s="611"/>
    </row>
    <row r="156" spans="6:10">
      <c r="F156" s="611"/>
      <c r="H156" s="611"/>
      <c r="J156" s="611"/>
    </row>
    <row r="157" spans="6:10">
      <c r="F157" s="611"/>
      <c r="H157" s="611"/>
      <c r="J157" s="611"/>
    </row>
    <row r="158" spans="6:10">
      <c r="F158" s="611"/>
      <c r="H158" s="611"/>
      <c r="J158" s="611"/>
    </row>
    <row r="159" spans="6:10">
      <c r="F159" s="611"/>
      <c r="H159" s="611"/>
      <c r="J159" s="611"/>
    </row>
    <row r="160" spans="6:10">
      <c r="F160" s="611"/>
      <c r="H160" s="611"/>
      <c r="J160" s="611"/>
    </row>
    <row r="161" spans="6:10">
      <c r="F161" s="611"/>
      <c r="H161" s="611"/>
      <c r="J161" s="611"/>
    </row>
    <row r="162" spans="6:10">
      <c r="F162" s="611"/>
      <c r="H162" s="611"/>
      <c r="J162" s="611"/>
    </row>
    <row r="163" spans="6:10">
      <c r="F163" s="611"/>
      <c r="H163" s="611"/>
      <c r="J163" s="611"/>
    </row>
    <row r="164" spans="6:10">
      <c r="F164" s="611"/>
      <c r="H164" s="611"/>
      <c r="J164" s="611"/>
    </row>
    <row r="165" spans="6:10">
      <c r="F165" s="611"/>
      <c r="H165" s="611"/>
      <c r="J165" s="611"/>
    </row>
    <row r="166" spans="6:10">
      <c r="F166" s="611"/>
      <c r="H166" s="611"/>
      <c r="J166" s="611"/>
    </row>
    <row r="167" spans="6:10">
      <c r="F167" s="611"/>
      <c r="H167" s="611"/>
      <c r="J167" s="611"/>
    </row>
    <row r="168" spans="6:10">
      <c r="F168" s="611"/>
      <c r="H168" s="611"/>
      <c r="J168" s="611"/>
    </row>
    <row r="169" spans="6:10">
      <c r="F169" s="611"/>
      <c r="H169" s="611"/>
      <c r="J169" s="611"/>
    </row>
    <row r="170" spans="6:10">
      <c r="F170" s="611"/>
      <c r="H170" s="611"/>
      <c r="J170" s="611"/>
    </row>
    <row r="171" spans="6:10">
      <c r="F171" s="611"/>
      <c r="H171" s="611"/>
      <c r="J171" s="611"/>
    </row>
    <row r="172" spans="6:10">
      <c r="F172" s="611"/>
      <c r="H172" s="611"/>
      <c r="J172" s="611"/>
    </row>
    <row r="173" spans="6:10">
      <c r="F173" s="611"/>
      <c r="H173" s="611"/>
      <c r="J173" s="611"/>
    </row>
    <row r="174" spans="6:10">
      <c r="F174" s="611"/>
      <c r="H174" s="611"/>
      <c r="J174" s="611"/>
    </row>
    <row r="175" spans="6:10">
      <c r="F175" s="611"/>
      <c r="H175" s="611"/>
      <c r="J175" s="611"/>
    </row>
    <row r="176" spans="6:10">
      <c r="F176" s="611"/>
      <c r="H176" s="611"/>
      <c r="J176" s="611"/>
    </row>
    <row r="177" spans="6:10">
      <c r="F177" s="611"/>
      <c r="H177" s="611"/>
      <c r="J177" s="611"/>
    </row>
    <row r="178" spans="6:10">
      <c r="F178" s="611"/>
      <c r="H178" s="611"/>
      <c r="J178" s="611"/>
    </row>
    <row r="179" spans="6:10">
      <c r="F179" s="611"/>
      <c r="H179" s="611"/>
      <c r="J179" s="611"/>
    </row>
    <row r="180" spans="6:10">
      <c r="F180" s="611"/>
      <c r="H180" s="611"/>
      <c r="J180" s="611"/>
    </row>
    <row r="181" spans="6:10">
      <c r="F181" s="611"/>
      <c r="H181" s="611"/>
      <c r="J181" s="611"/>
    </row>
    <row r="182" spans="6:10">
      <c r="F182" s="611"/>
      <c r="H182" s="611"/>
      <c r="J182" s="611"/>
    </row>
    <row r="183" spans="6:10">
      <c r="F183" s="611"/>
      <c r="H183" s="611"/>
      <c r="J183" s="611"/>
    </row>
    <row r="184" spans="6:10">
      <c r="F184" s="611"/>
      <c r="H184" s="611"/>
      <c r="J184" s="611"/>
    </row>
    <row r="185" spans="6:10">
      <c r="F185" s="611"/>
      <c r="H185" s="611"/>
      <c r="J185" s="611"/>
    </row>
    <row r="186" spans="6:10">
      <c r="F186" s="611"/>
      <c r="H186" s="611"/>
      <c r="J186" s="611"/>
    </row>
    <row r="187" spans="6:10">
      <c r="F187" s="611"/>
      <c r="H187" s="611"/>
      <c r="J187" s="611"/>
    </row>
    <row r="188" spans="6:10">
      <c r="F188" s="611"/>
      <c r="H188" s="611"/>
      <c r="J188" s="611"/>
    </row>
    <row r="189" spans="6:10">
      <c r="F189" s="611"/>
      <c r="H189" s="611"/>
      <c r="J189" s="611"/>
    </row>
    <row r="190" spans="6:10">
      <c r="F190" s="611"/>
      <c r="H190" s="611"/>
      <c r="J190" s="611"/>
    </row>
    <row r="191" spans="6:10">
      <c r="F191" s="611"/>
      <c r="H191" s="611"/>
      <c r="J191" s="611"/>
    </row>
    <row r="192" spans="6:10">
      <c r="F192" s="611"/>
      <c r="H192" s="611"/>
      <c r="J192" s="611"/>
    </row>
    <row r="193" spans="6:10">
      <c r="F193" s="611"/>
      <c r="H193" s="611"/>
      <c r="J193" s="611"/>
    </row>
    <row r="194" spans="6:10">
      <c r="F194" s="611"/>
      <c r="H194" s="611"/>
      <c r="J194" s="611"/>
    </row>
    <row r="195" spans="6:10">
      <c r="F195" s="611"/>
      <c r="H195" s="611"/>
      <c r="J195" s="611"/>
    </row>
    <row r="196" spans="6:10">
      <c r="F196" s="611"/>
      <c r="H196" s="611"/>
      <c r="J196" s="611"/>
    </row>
    <row r="197" spans="6:10">
      <c r="F197" s="611"/>
      <c r="H197" s="611"/>
      <c r="J197" s="611"/>
    </row>
    <row r="198" spans="6:10">
      <c r="F198" s="611"/>
      <c r="H198" s="611"/>
      <c r="J198" s="611"/>
    </row>
    <row r="199" spans="6:10">
      <c r="F199" s="611"/>
      <c r="H199" s="611"/>
      <c r="J199" s="611"/>
    </row>
    <row r="200" spans="6:10">
      <c r="F200" s="611"/>
      <c r="H200" s="611"/>
      <c r="J200" s="611"/>
    </row>
    <row r="201" spans="6:10">
      <c r="F201" s="611"/>
      <c r="H201" s="611"/>
      <c r="J201" s="611"/>
    </row>
    <row r="202" spans="6:10">
      <c r="F202" s="611"/>
      <c r="H202" s="611"/>
      <c r="J202" s="611"/>
    </row>
    <row r="203" spans="6:10">
      <c r="F203" s="611"/>
      <c r="H203" s="611"/>
      <c r="J203" s="611"/>
    </row>
    <row r="204" spans="6:10">
      <c r="F204" s="611"/>
      <c r="H204" s="611"/>
      <c r="J204" s="611"/>
    </row>
    <row r="205" spans="6:10">
      <c r="F205" s="611"/>
      <c r="H205" s="611"/>
      <c r="J205" s="611"/>
    </row>
    <row r="206" spans="6:10">
      <c r="F206" s="611"/>
      <c r="H206" s="611"/>
      <c r="J206" s="611"/>
    </row>
    <row r="207" spans="6:10">
      <c r="F207" s="611"/>
      <c r="H207" s="611"/>
      <c r="J207" s="611"/>
    </row>
    <row r="208" spans="6:10">
      <c r="F208" s="611"/>
      <c r="H208" s="611"/>
      <c r="J208" s="611"/>
    </row>
    <row r="209" spans="6:10">
      <c r="F209" s="611"/>
      <c r="H209" s="611"/>
      <c r="J209" s="611"/>
    </row>
    <row r="210" spans="6:10">
      <c r="F210" s="611"/>
      <c r="H210" s="611"/>
      <c r="J210" s="611"/>
    </row>
    <row r="211" spans="6:10">
      <c r="F211" s="611"/>
      <c r="H211" s="611"/>
      <c r="J211" s="611"/>
    </row>
    <row r="212" spans="6:10">
      <c r="F212" s="611"/>
      <c r="H212" s="611"/>
      <c r="J212" s="611"/>
    </row>
    <row r="213" spans="6:10">
      <c r="F213" s="611"/>
      <c r="H213" s="611"/>
      <c r="J213" s="611"/>
    </row>
    <row r="214" spans="6:10">
      <c r="F214" s="611"/>
      <c r="H214" s="611"/>
      <c r="J214" s="611"/>
    </row>
    <row r="215" spans="6:10">
      <c r="F215" s="611"/>
      <c r="H215" s="611"/>
      <c r="J215" s="611"/>
    </row>
    <row r="216" spans="6:10">
      <c r="F216" s="611"/>
      <c r="H216" s="611"/>
      <c r="J216" s="611"/>
    </row>
    <row r="217" spans="6:10">
      <c r="F217" s="611"/>
      <c r="H217" s="611"/>
      <c r="J217" s="611"/>
    </row>
    <row r="218" spans="6:10">
      <c r="F218" s="611"/>
      <c r="H218" s="611"/>
      <c r="J218" s="611"/>
    </row>
    <row r="219" spans="6:10">
      <c r="F219" s="611"/>
      <c r="H219" s="611"/>
      <c r="J219" s="611"/>
    </row>
    <row r="220" spans="6:10">
      <c r="F220" s="611"/>
      <c r="H220" s="611"/>
      <c r="J220" s="611"/>
    </row>
    <row r="221" spans="6:10">
      <c r="F221" s="611"/>
      <c r="H221" s="611"/>
      <c r="J221" s="611"/>
    </row>
    <row r="222" spans="6:10">
      <c r="F222" s="611"/>
      <c r="H222" s="611"/>
      <c r="J222" s="611"/>
    </row>
    <row r="223" spans="6:10">
      <c r="F223" s="611"/>
      <c r="H223" s="611"/>
      <c r="J223" s="611"/>
    </row>
    <row r="224" spans="6:10">
      <c r="F224" s="611"/>
      <c r="H224" s="611"/>
      <c r="J224" s="611"/>
    </row>
    <row r="225" spans="6:10">
      <c r="F225" s="611"/>
      <c r="H225" s="611"/>
      <c r="J225" s="611"/>
    </row>
    <row r="226" spans="6:10">
      <c r="F226" s="611"/>
      <c r="H226" s="611"/>
      <c r="J226" s="611"/>
    </row>
    <row r="227" spans="6:10">
      <c r="F227" s="611"/>
      <c r="H227" s="611"/>
      <c r="J227" s="611"/>
    </row>
    <row r="228" spans="6:10">
      <c r="F228" s="611"/>
      <c r="H228" s="611"/>
      <c r="J228" s="611"/>
    </row>
    <row r="229" spans="6:10">
      <c r="F229" s="611"/>
      <c r="H229" s="611"/>
      <c r="J229" s="611"/>
    </row>
    <row r="230" spans="6:10">
      <c r="F230" s="611"/>
      <c r="H230" s="611"/>
      <c r="J230" s="611"/>
    </row>
    <row r="231" spans="6:10">
      <c r="F231" s="611"/>
      <c r="H231" s="611"/>
      <c r="J231" s="611"/>
    </row>
    <row r="232" spans="6:10">
      <c r="F232" s="611"/>
      <c r="H232" s="611"/>
      <c r="J232" s="611"/>
    </row>
    <row r="233" spans="6:10">
      <c r="F233" s="611"/>
      <c r="H233" s="611"/>
      <c r="J233" s="611"/>
    </row>
    <row r="234" spans="6:10">
      <c r="F234" s="611"/>
      <c r="H234" s="611"/>
      <c r="J234" s="611"/>
    </row>
    <row r="235" spans="6:10">
      <c r="F235" s="611"/>
      <c r="H235" s="611"/>
      <c r="J235" s="611"/>
    </row>
    <row r="236" spans="6:10">
      <c r="F236" s="611"/>
      <c r="H236" s="611"/>
      <c r="J236" s="611"/>
    </row>
    <row r="237" spans="6:10">
      <c r="F237" s="611"/>
      <c r="H237" s="611"/>
      <c r="J237" s="611"/>
    </row>
    <row r="238" spans="6:10">
      <c r="F238" s="611"/>
      <c r="H238" s="611"/>
      <c r="J238" s="611"/>
    </row>
    <row r="239" spans="6:10">
      <c r="F239" s="611"/>
      <c r="H239" s="611"/>
      <c r="J239" s="611"/>
    </row>
    <row r="240" spans="6:10">
      <c r="F240" s="611"/>
      <c r="H240" s="611"/>
      <c r="J240" s="611"/>
    </row>
    <row r="241" spans="6:10">
      <c r="F241" s="611"/>
      <c r="H241" s="611"/>
      <c r="J241" s="611"/>
    </row>
    <row r="242" spans="6:10">
      <c r="F242" s="611"/>
      <c r="H242" s="611"/>
      <c r="J242" s="611"/>
    </row>
    <row r="243" spans="6:10">
      <c r="F243" s="611"/>
      <c r="H243" s="611"/>
      <c r="J243" s="611"/>
    </row>
    <row r="244" spans="6:10">
      <c r="F244" s="611"/>
      <c r="H244" s="611"/>
      <c r="J244" s="611"/>
    </row>
    <row r="245" spans="6:10">
      <c r="F245" s="611"/>
      <c r="H245" s="611"/>
      <c r="J245" s="611"/>
    </row>
    <row r="246" spans="6:10">
      <c r="F246" s="611"/>
      <c r="H246" s="611"/>
      <c r="J246" s="611"/>
    </row>
    <row r="247" spans="6:10">
      <c r="F247" s="611"/>
      <c r="H247" s="611"/>
      <c r="J247" s="611"/>
    </row>
    <row r="248" spans="6:10">
      <c r="F248" s="611"/>
      <c r="H248" s="611"/>
      <c r="J248" s="611"/>
    </row>
    <row r="249" spans="6:10">
      <c r="F249" s="611"/>
      <c r="H249" s="611"/>
      <c r="J249" s="611"/>
    </row>
    <row r="250" spans="6:10">
      <c r="F250" s="611"/>
      <c r="H250" s="611"/>
      <c r="J250" s="611"/>
    </row>
    <row r="251" spans="6:10">
      <c r="F251" s="611"/>
      <c r="H251" s="611"/>
      <c r="J251" s="611"/>
    </row>
    <row r="252" spans="6:10">
      <c r="F252" s="611"/>
      <c r="H252" s="611"/>
      <c r="J252" s="611"/>
    </row>
    <row r="253" spans="6:10">
      <c r="F253" s="611"/>
      <c r="H253" s="611"/>
      <c r="J253" s="611"/>
    </row>
    <row r="254" spans="6:10">
      <c r="F254" s="611"/>
      <c r="H254" s="611"/>
      <c r="J254" s="611"/>
    </row>
    <row r="255" spans="6:10">
      <c r="F255" s="611"/>
      <c r="H255" s="611"/>
      <c r="J255" s="611"/>
    </row>
    <row r="256" spans="6:10">
      <c r="F256" s="611"/>
      <c r="H256" s="611"/>
      <c r="J256" s="611"/>
    </row>
    <row r="257" spans="6:10">
      <c r="F257" s="611"/>
      <c r="H257" s="611"/>
      <c r="J257" s="611"/>
    </row>
    <row r="258" spans="6:10">
      <c r="F258" s="611"/>
      <c r="H258" s="611"/>
      <c r="J258" s="611"/>
    </row>
    <row r="259" spans="6:10">
      <c r="F259" s="611"/>
      <c r="H259" s="611"/>
      <c r="J259" s="611"/>
    </row>
    <row r="260" spans="6:10">
      <c r="F260" s="611"/>
      <c r="H260" s="611"/>
      <c r="J260" s="611"/>
    </row>
    <row r="261" spans="6:10">
      <c r="F261" s="611"/>
      <c r="H261" s="611"/>
      <c r="J261" s="611"/>
    </row>
    <row r="262" spans="6:10">
      <c r="F262" s="611"/>
      <c r="H262" s="611"/>
      <c r="J262" s="611"/>
    </row>
    <row r="263" spans="6:10">
      <c r="F263" s="611"/>
      <c r="H263" s="611"/>
      <c r="J263" s="611"/>
    </row>
    <row r="264" spans="6:10">
      <c r="F264" s="611"/>
      <c r="H264" s="611"/>
      <c r="J264" s="611"/>
    </row>
    <row r="265" spans="6:10">
      <c r="F265" s="611"/>
      <c r="H265" s="611"/>
      <c r="J265" s="611"/>
    </row>
    <row r="266" spans="6:10">
      <c r="F266" s="611"/>
      <c r="H266" s="611"/>
      <c r="J266" s="611"/>
    </row>
    <row r="267" spans="6:10">
      <c r="F267" s="611"/>
      <c r="H267" s="611"/>
      <c r="J267" s="611"/>
    </row>
    <row r="268" spans="6:10">
      <c r="F268" s="611"/>
      <c r="H268" s="611"/>
      <c r="J268" s="611"/>
    </row>
    <row r="269" spans="6:10">
      <c r="F269" s="611"/>
      <c r="H269" s="611"/>
      <c r="J269" s="611"/>
    </row>
    <row r="270" spans="6:10">
      <c r="F270" s="611"/>
      <c r="H270" s="611"/>
      <c r="J270" s="611"/>
    </row>
    <row r="271" spans="6:10">
      <c r="F271" s="611"/>
      <c r="H271" s="611"/>
      <c r="J271" s="611"/>
    </row>
    <row r="272" spans="6:10">
      <c r="F272" s="611"/>
      <c r="H272" s="611"/>
      <c r="J272" s="611"/>
    </row>
    <row r="273" spans="6:10">
      <c r="F273" s="611"/>
      <c r="H273" s="611"/>
      <c r="J273" s="611"/>
    </row>
    <row r="274" spans="6:10">
      <c r="F274" s="611"/>
      <c r="H274" s="611"/>
      <c r="J274" s="611"/>
    </row>
    <row r="275" spans="6:10">
      <c r="F275" s="611"/>
      <c r="H275" s="611"/>
      <c r="J275" s="611"/>
    </row>
    <row r="276" spans="6:10">
      <c r="F276" s="611"/>
      <c r="H276" s="611"/>
      <c r="J276" s="611"/>
    </row>
    <row r="277" spans="6:10">
      <c r="F277" s="611"/>
      <c r="H277" s="611"/>
      <c r="J277" s="611"/>
    </row>
    <row r="278" spans="6:10">
      <c r="F278" s="611"/>
      <c r="H278" s="611"/>
      <c r="J278" s="611"/>
    </row>
    <row r="279" spans="6:10">
      <c r="F279" s="611"/>
      <c r="H279" s="611"/>
      <c r="J279" s="611"/>
    </row>
    <row r="280" spans="6:10">
      <c r="F280" s="611"/>
      <c r="H280" s="611"/>
      <c r="J280" s="611"/>
    </row>
    <row r="281" spans="6:10">
      <c r="F281" s="611"/>
      <c r="H281" s="611"/>
      <c r="J281" s="611"/>
    </row>
    <row r="282" spans="6:10">
      <c r="F282" s="611"/>
      <c r="H282" s="611"/>
      <c r="J282" s="611"/>
    </row>
    <row r="283" spans="6:10">
      <c r="F283" s="611"/>
      <c r="H283" s="611"/>
      <c r="J283" s="611"/>
    </row>
    <row r="284" spans="6:10">
      <c r="F284" s="611"/>
      <c r="H284" s="611"/>
      <c r="J284" s="611"/>
    </row>
    <row r="285" spans="6:10">
      <c r="F285" s="611"/>
      <c r="H285" s="611"/>
      <c r="J285" s="611"/>
    </row>
    <row r="286" spans="6:10">
      <c r="F286" s="611"/>
      <c r="H286" s="611"/>
      <c r="J286" s="611"/>
    </row>
    <row r="287" spans="6:10">
      <c r="F287" s="611"/>
      <c r="H287" s="611"/>
      <c r="J287" s="611"/>
    </row>
    <row r="288" spans="6:10">
      <c r="F288" s="611"/>
      <c r="H288" s="611"/>
      <c r="J288" s="611"/>
    </row>
    <row r="289" spans="6:10">
      <c r="F289" s="611"/>
      <c r="H289" s="611"/>
      <c r="J289" s="611"/>
    </row>
    <row r="290" spans="6:10">
      <c r="F290" s="611"/>
      <c r="H290" s="611"/>
      <c r="J290" s="611"/>
    </row>
    <row r="291" spans="6:10">
      <c r="F291" s="611"/>
      <c r="H291" s="611"/>
      <c r="J291" s="611"/>
    </row>
    <row r="292" spans="6:10">
      <c r="F292" s="611"/>
      <c r="H292" s="611"/>
      <c r="J292" s="611"/>
    </row>
    <row r="293" spans="6:10">
      <c r="F293" s="611"/>
      <c r="H293" s="611"/>
      <c r="J293" s="611"/>
    </row>
    <row r="294" spans="6:10">
      <c r="F294" s="611"/>
      <c r="H294" s="611"/>
      <c r="J294" s="611"/>
    </row>
    <row r="295" spans="6:10">
      <c r="F295" s="611"/>
      <c r="H295" s="611"/>
      <c r="J295" s="611"/>
    </row>
    <row r="296" spans="6:10">
      <c r="F296" s="611"/>
      <c r="H296" s="611"/>
      <c r="J296" s="611"/>
    </row>
    <row r="297" spans="6:10">
      <c r="F297" s="611"/>
      <c r="H297" s="611"/>
      <c r="J297" s="611"/>
    </row>
    <row r="298" spans="6:10">
      <c r="F298" s="611"/>
      <c r="H298" s="611"/>
      <c r="J298" s="611"/>
    </row>
    <row r="299" spans="6:10">
      <c r="F299" s="611"/>
      <c r="H299" s="611"/>
      <c r="J299" s="611"/>
    </row>
    <row r="300" spans="6:10">
      <c r="F300" s="611"/>
      <c r="H300" s="611"/>
      <c r="J300" s="611"/>
    </row>
    <row r="301" spans="6:10">
      <c r="F301" s="611"/>
      <c r="H301" s="611"/>
      <c r="J301" s="611"/>
    </row>
    <row r="302" spans="6:10">
      <c r="F302" s="611"/>
      <c r="H302" s="611"/>
      <c r="J302" s="611"/>
    </row>
    <row r="303" spans="6:10">
      <c r="F303" s="611"/>
      <c r="H303" s="611"/>
      <c r="J303" s="611"/>
    </row>
    <row r="304" spans="6:10">
      <c r="F304" s="611"/>
      <c r="H304" s="611"/>
      <c r="J304" s="611"/>
    </row>
    <row r="305" spans="6:10">
      <c r="F305" s="611"/>
      <c r="H305" s="611"/>
      <c r="J305" s="611"/>
    </row>
    <row r="306" spans="6:10">
      <c r="F306" s="611"/>
      <c r="H306" s="611"/>
      <c r="J306" s="611"/>
    </row>
    <row r="307" spans="6:10">
      <c r="F307" s="611"/>
      <c r="H307" s="611"/>
      <c r="J307" s="611"/>
    </row>
    <row r="308" spans="6:10">
      <c r="F308" s="611"/>
      <c r="H308" s="611"/>
      <c r="J308" s="611"/>
    </row>
    <row r="309" spans="6:10">
      <c r="F309" s="611"/>
      <c r="H309" s="611"/>
      <c r="J309" s="611"/>
    </row>
    <row r="310" spans="6:10">
      <c r="F310" s="611"/>
      <c r="H310" s="611"/>
      <c r="J310" s="611"/>
    </row>
    <row r="311" spans="6:10">
      <c r="F311" s="611"/>
      <c r="H311" s="611"/>
      <c r="J311" s="611"/>
    </row>
    <row r="312" spans="6:10">
      <c r="F312" s="611"/>
      <c r="H312" s="611"/>
      <c r="J312" s="611"/>
    </row>
    <row r="313" spans="6:10">
      <c r="F313" s="611"/>
      <c r="H313" s="611"/>
      <c r="J313" s="611"/>
    </row>
    <row r="314" spans="6:10">
      <c r="F314" s="611"/>
      <c r="H314" s="611"/>
      <c r="J314" s="611"/>
    </row>
    <row r="315" spans="6:10">
      <c r="F315" s="611"/>
      <c r="H315" s="611"/>
      <c r="J315" s="611"/>
    </row>
    <row r="316" spans="6:10">
      <c r="F316" s="611"/>
      <c r="H316" s="611"/>
      <c r="J316" s="611"/>
    </row>
    <row r="317" spans="6:10">
      <c r="F317" s="611"/>
      <c r="H317" s="611"/>
      <c r="J317" s="611"/>
    </row>
    <row r="318" spans="6:10">
      <c r="F318" s="611"/>
      <c r="H318" s="611"/>
      <c r="J318" s="611"/>
    </row>
    <row r="319" spans="6:10">
      <c r="F319" s="611"/>
      <c r="H319" s="611"/>
      <c r="J319" s="611"/>
    </row>
    <row r="320" spans="6:10">
      <c r="F320" s="611"/>
      <c r="H320" s="611"/>
      <c r="J320" s="611"/>
    </row>
    <row r="321" spans="6:10">
      <c r="F321" s="611"/>
      <c r="H321" s="611"/>
      <c r="J321" s="611"/>
    </row>
    <row r="322" spans="6:10">
      <c r="F322" s="611"/>
      <c r="H322" s="611"/>
      <c r="J322" s="611"/>
    </row>
    <row r="323" spans="6:10">
      <c r="F323" s="611"/>
      <c r="H323" s="611"/>
      <c r="J323" s="611"/>
    </row>
    <row r="324" spans="6:10">
      <c r="F324" s="611"/>
      <c r="H324" s="611"/>
      <c r="J324" s="611"/>
    </row>
    <row r="325" spans="6:10">
      <c r="F325" s="611"/>
      <c r="H325" s="611"/>
      <c r="J325" s="611"/>
    </row>
    <row r="326" spans="6:10">
      <c r="F326" s="611"/>
      <c r="H326" s="611"/>
      <c r="J326" s="611"/>
    </row>
    <row r="327" spans="6:10">
      <c r="F327" s="611"/>
      <c r="H327" s="611"/>
      <c r="J327" s="611"/>
    </row>
    <row r="328" spans="6:10">
      <c r="F328" s="611"/>
      <c r="H328" s="611"/>
      <c r="J328" s="611"/>
    </row>
    <row r="329" spans="6:10">
      <c r="F329" s="611"/>
      <c r="H329" s="611"/>
      <c r="J329" s="611"/>
    </row>
    <row r="330" spans="6:10">
      <c r="F330" s="611"/>
      <c r="H330" s="611"/>
      <c r="J330" s="611"/>
    </row>
    <row r="331" spans="6:10">
      <c r="F331" s="611"/>
      <c r="H331" s="611"/>
      <c r="J331" s="611"/>
    </row>
    <row r="332" spans="6:10">
      <c r="F332" s="611"/>
      <c r="H332" s="611"/>
      <c r="J332" s="611"/>
    </row>
    <row r="333" spans="6:10">
      <c r="F333" s="611"/>
      <c r="H333" s="611"/>
      <c r="J333" s="611"/>
    </row>
    <row r="334" spans="6:10">
      <c r="F334" s="611"/>
      <c r="H334" s="611"/>
      <c r="J334" s="611"/>
    </row>
    <row r="335" spans="6:10">
      <c r="F335" s="611"/>
      <c r="H335" s="611"/>
      <c r="J335" s="611"/>
    </row>
    <row r="336" spans="6:10">
      <c r="F336" s="611"/>
      <c r="H336" s="611"/>
      <c r="J336" s="611"/>
    </row>
    <row r="337" spans="6:10">
      <c r="F337" s="611"/>
      <c r="H337" s="611"/>
      <c r="J337" s="611"/>
    </row>
    <row r="338" spans="6:10">
      <c r="F338" s="611"/>
      <c r="H338" s="611"/>
      <c r="J338" s="611"/>
    </row>
    <row r="339" spans="6:10">
      <c r="F339" s="611"/>
      <c r="H339" s="611"/>
      <c r="J339" s="611"/>
    </row>
    <row r="340" spans="6:10">
      <c r="F340" s="611"/>
      <c r="H340" s="611"/>
      <c r="J340" s="611"/>
    </row>
    <row r="341" spans="6:10">
      <c r="F341" s="611"/>
      <c r="H341" s="611"/>
      <c r="J341" s="611"/>
    </row>
    <row r="342" spans="6:10">
      <c r="F342" s="611"/>
      <c r="H342" s="611"/>
      <c r="J342" s="611"/>
    </row>
    <row r="343" spans="6:10">
      <c r="F343" s="611"/>
      <c r="H343" s="611"/>
      <c r="J343" s="611"/>
    </row>
    <row r="344" spans="6:10">
      <c r="F344" s="611"/>
      <c r="H344" s="611"/>
      <c r="J344" s="611"/>
    </row>
    <row r="345" spans="6:10">
      <c r="F345" s="611"/>
      <c r="H345" s="611"/>
      <c r="J345" s="611"/>
    </row>
    <row r="346" spans="6:10">
      <c r="F346" s="611"/>
      <c r="H346" s="611"/>
      <c r="J346" s="611"/>
    </row>
    <row r="347" spans="6:10">
      <c r="F347" s="611"/>
      <c r="H347" s="611"/>
      <c r="J347" s="611"/>
    </row>
    <row r="348" spans="6:10">
      <c r="F348" s="611"/>
      <c r="H348" s="611"/>
      <c r="J348" s="611"/>
    </row>
    <row r="349" spans="6:10">
      <c r="F349" s="611"/>
      <c r="H349" s="611"/>
      <c r="J349" s="611"/>
    </row>
    <row r="350" spans="6:10">
      <c r="F350" s="611"/>
      <c r="H350" s="611"/>
      <c r="J350" s="611"/>
    </row>
    <row r="351" spans="6:10">
      <c r="F351" s="611"/>
      <c r="H351" s="611"/>
      <c r="J351" s="611"/>
    </row>
    <row r="352" spans="6:10">
      <c r="F352" s="611"/>
      <c r="H352" s="611"/>
      <c r="J352" s="611"/>
    </row>
    <row r="353" spans="6:10">
      <c r="F353" s="611"/>
      <c r="H353" s="611"/>
      <c r="J353" s="611"/>
    </row>
    <row r="354" spans="6:10">
      <c r="F354" s="611"/>
      <c r="H354" s="611"/>
      <c r="J354" s="611"/>
    </row>
    <row r="355" spans="6:10">
      <c r="F355" s="611"/>
      <c r="H355" s="611"/>
      <c r="J355" s="611"/>
    </row>
    <row r="356" spans="6:10">
      <c r="F356" s="611"/>
      <c r="H356" s="611"/>
      <c r="J356" s="611"/>
    </row>
    <row r="357" spans="6:10">
      <c r="F357" s="611"/>
      <c r="H357" s="611"/>
      <c r="J357" s="611"/>
    </row>
    <row r="358" spans="6:10">
      <c r="F358" s="611"/>
      <c r="H358" s="611"/>
      <c r="J358" s="611"/>
    </row>
    <row r="359" spans="6:10">
      <c r="F359" s="611"/>
      <c r="H359" s="611"/>
      <c r="J359" s="611"/>
    </row>
    <row r="360" spans="6:10">
      <c r="F360" s="611"/>
      <c r="H360" s="611"/>
      <c r="J360" s="611"/>
    </row>
    <row r="361" spans="6:10">
      <c r="F361" s="611"/>
      <c r="H361" s="611"/>
      <c r="J361" s="611"/>
    </row>
    <row r="362" spans="6:10">
      <c r="F362" s="611"/>
      <c r="H362" s="611"/>
      <c r="J362" s="611"/>
    </row>
    <row r="363" spans="6:10">
      <c r="F363" s="611"/>
      <c r="H363" s="611"/>
      <c r="J363" s="611"/>
    </row>
    <row r="364" spans="6:10">
      <c r="F364" s="611"/>
      <c r="H364" s="611"/>
      <c r="J364" s="611"/>
    </row>
    <row r="365" spans="6:10">
      <c r="F365" s="611"/>
      <c r="H365" s="611"/>
      <c r="J365" s="611"/>
    </row>
    <row r="366" spans="6:10">
      <c r="F366" s="611"/>
      <c r="H366" s="611"/>
      <c r="J366" s="611"/>
    </row>
    <row r="367" spans="6:10">
      <c r="F367" s="611"/>
      <c r="H367" s="611"/>
      <c r="J367" s="611"/>
    </row>
    <row r="368" spans="6:10">
      <c r="F368" s="611"/>
      <c r="H368" s="611"/>
      <c r="J368" s="611"/>
    </row>
    <row r="369" spans="6:10">
      <c r="F369" s="611"/>
      <c r="H369" s="611"/>
      <c r="J369" s="611"/>
    </row>
    <row r="370" spans="6:10">
      <c r="F370" s="611"/>
      <c r="H370" s="611"/>
      <c r="J370" s="611"/>
    </row>
    <row r="371" spans="6:10">
      <c r="F371" s="611"/>
      <c r="H371" s="611"/>
      <c r="J371" s="611"/>
    </row>
    <row r="372" spans="6:10">
      <c r="F372" s="611"/>
      <c r="H372" s="611"/>
      <c r="J372" s="611"/>
    </row>
    <row r="373" spans="6:10">
      <c r="F373" s="611"/>
      <c r="H373" s="611"/>
      <c r="J373" s="611"/>
    </row>
    <row r="374" spans="6:10">
      <c r="F374" s="611"/>
      <c r="H374" s="611"/>
      <c r="J374" s="611"/>
    </row>
    <row r="375" spans="6:10">
      <c r="F375" s="611"/>
      <c r="H375" s="611"/>
      <c r="J375" s="611"/>
    </row>
    <row r="376" spans="6:10">
      <c r="F376" s="611"/>
      <c r="H376" s="611"/>
      <c r="J376" s="611"/>
    </row>
    <row r="377" spans="6:10">
      <c r="F377" s="611"/>
      <c r="H377" s="611"/>
      <c r="J377" s="611"/>
    </row>
    <row r="378" spans="6:10">
      <c r="F378" s="611"/>
      <c r="H378" s="611"/>
      <c r="J378" s="611"/>
    </row>
    <row r="379" spans="6:10">
      <c r="F379" s="611"/>
      <c r="H379" s="611"/>
      <c r="J379" s="611"/>
    </row>
    <row r="380" spans="6:10">
      <c r="F380" s="611"/>
      <c r="H380" s="611"/>
      <c r="J380" s="611"/>
    </row>
    <row r="381" spans="6:10">
      <c r="F381" s="611"/>
      <c r="H381" s="611"/>
      <c r="J381" s="611"/>
    </row>
    <row r="382" spans="6:10">
      <c r="F382" s="611"/>
      <c r="H382" s="611"/>
      <c r="J382" s="611"/>
    </row>
    <row r="383" spans="6:10">
      <c r="F383" s="611"/>
      <c r="H383" s="611"/>
      <c r="J383" s="611"/>
    </row>
    <row r="384" spans="6:10">
      <c r="F384" s="611"/>
      <c r="H384" s="611"/>
      <c r="J384" s="611"/>
    </row>
    <row r="385" spans="6:10">
      <c r="F385" s="611"/>
      <c r="H385" s="611"/>
      <c r="J385" s="611"/>
    </row>
    <row r="386" spans="6:10">
      <c r="F386" s="611"/>
      <c r="H386" s="611"/>
      <c r="J386" s="611"/>
    </row>
    <row r="387" spans="6:10">
      <c r="F387" s="611"/>
      <c r="H387" s="611"/>
      <c r="J387" s="611"/>
    </row>
    <row r="388" spans="6:10">
      <c r="F388" s="611"/>
      <c r="H388" s="611"/>
      <c r="J388" s="611"/>
    </row>
    <row r="389" spans="6:10">
      <c r="F389" s="611"/>
      <c r="H389" s="611"/>
      <c r="J389" s="611"/>
    </row>
    <row r="390" spans="6:10">
      <c r="F390" s="611"/>
      <c r="H390" s="611"/>
      <c r="J390" s="611"/>
    </row>
    <row r="391" spans="6:10">
      <c r="F391" s="611"/>
      <c r="H391" s="611"/>
      <c r="J391" s="611"/>
    </row>
    <row r="392" spans="6:10">
      <c r="F392" s="611"/>
      <c r="H392" s="611"/>
      <c r="J392" s="611"/>
    </row>
    <row r="393" spans="6:10">
      <c r="F393" s="611"/>
      <c r="H393" s="611"/>
      <c r="J393" s="611"/>
    </row>
    <row r="394" spans="6:10">
      <c r="F394" s="611"/>
      <c r="H394" s="611"/>
      <c r="J394" s="611"/>
    </row>
    <row r="395" spans="6:10">
      <c r="F395" s="611"/>
      <c r="H395" s="611"/>
      <c r="J395" s="611"/>
    </row>
    <row r="396" spans="6:10">
      <c r="F396" s="611"/>
      <c r="H396" s="611"/>
      <c r="J396" s="611"/>
    </row>
    <row r="397" spans="6:10">
      <c r="F397" s="611"/>
      <c r="H397" s="611"/>
      <c r="J397" s="611"/>
    </row>
    <row r="398" spans="6:10">
      <c r="F398" s="611"/>
      <c r="H398" s="611"/>
      <c r="J398" s="611"/>
    </row>
    <row r="399" spans="6:10">
      <c r="F399" s="611"/>
      <c r="H399" s="611"/>
      <c r="J399" s="611"/>
    </row>
    <row r="400" spans="6:10">
      <c r="F400" s="611"/>
      <c r="H400" s="611"/>
      <c r="J400" s="611"/>
    </row>
    <row r="401" spans="6:10">
      <c r="F401" s="611"/>
      <c r="H401" s="611"/>
      <c r="J401" s="611"/>
    </row>
    <row r="402" spans="6:10">
      <c r="F402" s="611"/>
      <c r="H402" s="611"/>
      <c r="J402" s="611"/>
    </row>
    <row r="403" spans="6:10">
      <c r="F403" s="611"/>
      <c r="H403" s="611"/>
      <c r="J403" s="611"/>
    </row>
    <row r="404" spans="6:10">
      <c r="F404" s="611"/>
      <c r="H404" s="611"/>
      <c r="J404" s="611"/>
    </row>
    <row r="405" spans="6:10">
      <c r="F405" s="611"/>
      <c r="H405" s="611"/>
      <c r="J405" s="611"/>
    </row>
    <row r="406" spans="6:10">
      <c r="F406" s="611"/>
      <c r="H406" s="611"/>
      <c r="J406" s="611"/>
    </row>
    <row r="407" spans="6:10">
      <c r="F407" s="611"/>
      <c r="H407" s="611"/>
      <c r="J407" s="611"/>
    </row>
    <row r="408" spans="6:10">
      <c r="F408" s="611"/>
      <c r="H408" s="611"/>
      <c r="J408" s="611"/>
    </row>
    <row r="409" spans="6:10">
      <c r="F409" s="611"/>
      <c r="H409" s="611"/>
      <c r="J409" s="611"/>
    </row>
    <row r="410" spans="6:10">
      <c r="F410" s="611"/>
      <c r="H410" s="611"/>
      <c r="J410" s="611"/>
    </row>
    <row r="411" spans="6:10">
      <c r="F411" s="611"/>
      <c r="H411" s="611"/>
      <c r="J411" s="611"/>
    </row>
    <row r="412" spans="6:10">
      <c r="F412" s="611"/>
      <c r="H412" s="611"/>
      <c r="J412" s="611"/>
    </row>
    <row r="413" spans="6:10">
      <c r="F413" s="611"/>
      <c r="H413" s="611"/>
      <c r="J413" s="611"/>
    </row>
    <row r="414" spans="6:10">
      <c r="F414" s="611"/>
      <c r="H414" s="611"/>
      <c r="J414" s="611"/>
    </row>
    <row r="415" spans="6:10">
      <c r="F415" s="611"/>
      <c r="H415" s="611"/>
      <c r="J415" s="611"/>
    </row>
    <row r="416" spans="6:10">
      <c r="F416" s="611"/>
      <c r="H416" s="611"/>
      <c r="J416" s="611"/>
    </row>
    <row r="417" spans="6:10">
      <c r="F417" s="611"/>
      <c r="H417" s="611"/>
      <c r="J417" s="611"/>
    </row>
    <row r="418" spans="6:10">
      <c r="F418" s="611"/>
      <c r="H418" s="611"/>
      <c r="J418" s="611"/>
    </row>
    <row r="419" spans="6:10">
      <c r="F419" s="611"/>
      <c r="H419" s="611"/>
      <c r="J419" s="611"/>
    </row>
    <row r="420" spans="6:10">
      <c r="F420" s="611"/>
      <c r="H420" s="611"/>
      <c r="J420" s="611"/>
    </row>
    <row r="421" spans="6:10">
      <c r="F421" s="611"/>
      <c r="H421" s="611"/>
      <c r="J421" s="611"/>
    </row>
    <row r="422" spans="6:10">
      <c r="F422" s="611"/>
      <c r="H422" s="611"/>
      <c r="J422" s="611"/>
    </row>
    <row r="423" spans="6:10">
      <c r="F423" s="611"/>
      <c r="H423" s="611"/>
      <c r="J423" s="611"/>
    </row>
    <row r="424" spans="6:10">
      <c r="F424" s="611"/>
      <c r="H424" s="611"/>
      <c r="J424" s="611"/>
    </row>
    <row r="425" spans="6:10">
      <c r="F425" s="611"/>
      <c r="H425" s="611"/>
      <c r="J425" s="611"/>
    </row>
    <row r="426" spans="6:10">
      <c r="F426" s="611"/>
      <c r="H426" s="611"/>
      <c r="J426" s="611"/>
    </row>
    <row r="427" spans="6:10">
      <c r="F427" s="611"/>
      <c r="H427" s="611"/>
      <c r="J427" s="611"/>
    </row>
    <row r="428" spans="6:10">
      <c r="F428" s="611"/>
      <c r="H428" s="611"/>
      <c r="J428" s="611"/>
    </row>
    <row r="429" spans="6:10">
      <c r="F429" s="611"/>
      <c r="H429" s="611"/>
      <c r="J429" s="611"/>
    </row>
    <row r="430" spans="6:10">
      <c r="F430" s="611"/>
      <c r="H430" s="611"/>
      <c r="J430" s="611"/>
    </row>
    <row r="431" spans="6:10">
      <c r="F431" s="611"/>
      <c r="H431" s="611"/>
      <c r="J431" s="611"/>
    </row>
    <row r="432" spans="6:10">
      <c r="F432" s="611"/>
      <c r="H432" s="611"/>
      <c r="J432" s="611"/>
    </row>
    <row r="433" spans="6:10">
      <c r="F433" s="611"/>
      <c r="H433" s="611"/>
      <c r="J433" s="611"/>
    </row>
    <row r="434" spans="6:10">
      <c r="F434" s="611"/>
      <c r="H434" s="611"/>
      <c r="J434" s="611"/>
    </row>
    <row r="435" spans="6:10">
      <c r="F435" s="611"/>
      <c r="H435" s="611"/>
      <c r="J435" s="611"/>
    </row>
    <row r="436" spans="6:10">
      <c r="F436" s="611"/>
      <c r="H436" s="611"/>
      <c r="J436" s="611"/>
    </row>
    <row r="437" spans="6:10">
      <c r="F437" s="611"/>
      <c r="H437" s="611"/>
      <c r="J437" s="611"/>
    </row>
    <row r="438" spans="6:10">
      <c r="F438" s="611"/>
      <c r="H438" s="611"/>
      <c r="J438" s="611"/>
    </row>
    <row r="439" spans="6:10">
      <c r="F439" s="611"/>
      <c r="H439" s="611"/>
      <c r="J439" s="611"/>
    </row>
    <row r="440" spans="6:10">
      <c r="F440" s="611"/>
      <c r="H440" s="611"/>
      <c r="J440" s="611"/>
    </row>
    <row r="441" spans="6:10">
      <c r="F441" s="611"/>
      <c r="H441" s="611"/>
      <c r="J441" s="611"/>
    </row>
    <row r="442" spans="6:10">
      <c r="F442" s="611"/>
      <c r="H442" s="611"/>
      <c r="J442" s="611"/>
    </row>
    <row r="443" spans="6:10">
      <c r="F443" s="611"/>
      <c r="H443" s="611"/>
      <c r="J443" s="611"/>
    </row>
    <row r="444" spans="6:10">
      <c r="F444" s="611"/>
      <c r="H444" s="611"/>
      <c r="J444" s="611"/>
    </row>
    <row r="445" spans="6:10">
      <c r="F445" s="611"/>
      <c r="H445" s="611"/>
      <c r="J445" s="611"/>
    </row>
    <row r="446" spans="6:10">
      <c r="F446" s="611"/>
      <c r="H446" s="611"/>
      <c r="J446" s="611"/>
    </row>
    <row r="447" spans="6:10">
      <c r="F447" s="611"/>
      <c r="H447" s="611"/>
      <c r="J447" s="611"/>
    </row>
    <row r="448" spans="6:10">
      <c r="F448" s="611"/>
      <c r="H448" s="611"/>
      <c r="J448" s="611"/>
    </row>
    <row r="449" spans="6:10">
      <c r="F449" s="611"/>
      <c r="H449" s="611"/>
      <c r="J449" s="611"/>
    </row>
    <row r="450" spans="6:10">
      <c r="F450" s="611"/>
      <c r="H450" s="611"/>
      <c r="J450" s="611"/>
    </row>
    <row r="451" spans="6:10">
      <c r="F451" s="611"/>
      <c r="H451" s="611"/>
      <c r="J451" s="611"/>
    </row>
    <row r="452" spans="6:10">
      <c r="F452" s="611"/>
      <c r="H452" s="611"/>
      <c r="J452" s="611"/>
    </row>
    <row r="453" spans="6:10">
      <c r="F453" s="611"/>
      <c r="H453" s="611"/>
      <c r="J453" s="611"/>
    </row>
    <row r="454" spans="6:10">
      <c r="F454" s="611"/>
      <c r="H454" s="611"/>
      <c r="J454" s="611"/>
    </row>
    <row r="455" spans="6:10">
      <c r="F455" s="611"/>
      <c r="H455" s="611"/>
      <c r="J455" s="611"/>
    </row>
    <row r="456" spans="6:10">
      <c r="F456" s="611"/>
      <c r="H456" s="611"/>
      <c r="J456" s="611"/>
    </row>
    <row r="457" spans="6:10">
      <c r="F457" s="611"/>
      <c r="H457" s="611"/>
      <c r="J457" s="611"/>
    </row>
    <row r="458" spans="6:10">
      <c r="F458" s="611"/>
      <c r="H458" s="611"/>
      <c r="J458" s="611"/>
    </row>
    <row r="459" spans="6:10">
      <c r="F459" s="611"/>
      <c r="H459" s="611"/>
      <c r="J459" s="611"/>
    </row>
    <row r="460" spans="6:10">
      <c r="F460" s="611"/>
      <c r="H460" s="611"/>
      <c r="J460" s="611"/>
    </row>
    <row r="461" spans="6:10">
      <c r="F461" s="611"/>
      <c r="H461" s="611"/>
      <c r="J461" s="611"/>
    </row>
    <row r="462" spans="6:10">
      <c r="F462" s="611"/>
      <c r="H462" s="611"/>
      <c r="J462" s="611"/>
    </row>
    <row r="463" spans="6:10">
      <c r="F463" s="611"/>
      <c r="H463" s="611"/>
      <c r="J463" s="611"/>
    </row>
    <row r="464" spans="6:10">
      <c r="F464" s="611"/>
      <c r="H464" s="611"/>
      <c r="J464" s="611"/>
    </row>
    <row r="465" spans="6:10">
      <c r="F465" s="611"/>
      <c r="H465" s="611"/>
      <c r="J465" s="611"/>
    </row>
    <row r="466" spans="6:10">
      <c r="F466" s="611"/>
      <c r="H466" s="611"/>
      <c r="J466" s="611"/>
    </row>
    <row r="467" spans="6:10">
      <c r="F467" s="611"/>
      <c r="H467" s="611"/>
      <c r="J467" s="611"/>
    </row>
    <row r="468" spans="6:10">
      <c r="F468" s="611"/>
      <c r="H468" s="611"/>
      <c r="J468" s="611"/>
    </row>
    <row r="469" spans="6:10">
      <c r="F469" s="611"/>
      <c r="H469" s="611"/>
      <c r="J469" s="611"/>
    </row>
    <row r="470" spans="6:10">
      <c r="F470" s="611"/>
      <c r="H470" s="611"/>
      <c r="J470" s="611"/>
    </row>
    <row r="471" spans="6:10">
      <c r="F471" s="611"/>
      <c r="H471" s="611"/>
      <c r="J471" s="611"/>
    </row>
    <row r="472" spans="6:10">
      <c r="F472" s="611"/>
      <c r="H472" s="611"/>
      <c r="J472" s="611"/>
    </row>
    <row r="473" spans="6:10">
      <c r="F473" s="611"/>
      <c r="H473" s="611"/>
      <c r="J473" s="611"/>
    </row>
    <row r="474" spans="6:10">
      <c r="F474" s="611"/>
      <c r="H474" s="611"/>
      <c r="J474" s="611"/>
    </row>
    <row r="475" spans="6:10">
      <c r="F475" s="611"/>
      <c r="H475" s="611"/>
      <c r="J475" s="611"/>
    </row>
    <row r="476" spans="6:10">
      <c r="F476" s="611"/>
      <c r="H476" s="611"/>
      <c r="J476" s="611"/>
    </row>
    <row r="477" spans="6:10">
      <c r="F477" s="611"/>
      <c r="H477" s="611"/>
      <c r="J477" s="611"/>
    </row>
    <row r="478" spans="6:10">
      <c r="F478" s="611"/>
      <c r="H478" s="611"/>
      <c r="J478" s="611"/>
    </row>
    <row r="479" spans="6:10">
      <c r="F479" s="611"/>
      <c r="H479" s="611"/>
      <c r="J479" s="611"/>
    </row>
    <row r="480" spans="6:10">
      <c r="F480" s="611"/>
      <c r="H480" s="611"/>
      <c r="J480" s="611"/>
    </row>
    <row r="481" spans="6:10">
      <c r="F481" s="611"/>
      <c r="H481" s="611"/>
      <c r="J481" s="611"/>
    </row>
    <row r="482" spans="6:10">
      <c r="F482" s="611"/>
      <c r="H482" s="611"/>
      <c r="J482" s="611"/>
    </row>
    <row r="483" spans="6:10">
      <c r="F483" s="611"/>
      <c r="H483" s="611"/>
      <c r="J483" s="611"/>
    </row>
    <row r="484" spans="6:10">
      <c r="F484" s="611"/>
      <c r="H484" s="611"/>
      <c r="J484" s="611"/>
    </row>
    <row r="485" spans="6:10">
      <c r="F485" s="611"/>
      <c r="H485" s="611"/>
      <c r="J485" s="611"/>
    </row>
    <row r="486" spans="6:10">
      <c r="F486" s="611"/>
      <c r="H486" s="611"/>
      <c r="J486" s="611"/>
    </row>
    <row r="487" spans="6:10">
      <c r="F487" s="611"/>
      <c r="H487" s="611"/>
      <c r="J487" s="611"/>
    </row>
    <row r="488" spans="6:10">
      <c r="F488" s="611"/>
      <c r="H488" s="611"/>
      <c r="J488" s="611"/>
    </row>
    <row r="489" spans="6:10">
      <c r="F489" s="611"/>
      <c r="H489" s="611"/>
      <c r="J489" s="611"/>
    </row>
    <row r="490" spans="6:10">
      <c r="F490" s="611"/>
      <c r="H490" s="611"/>
      <c r="J490" s="611"/>
    </row>
    <row r="491" spans="6:10">
      <c r="F491" s="611"/>
      <c r="H491" s="611"/>
      <c r="J491" s="611"/>
    </row>
    <row r="492" spans="6:10">
      <c r="F492" s="611"/>
      <c r="H492" s="611"/>
      <c r="J492" s="611"/>
    </row>
    <row r="493" spans="6:10">
      <c r="F493" s="611"/>
      <c r="H493" s="611"/>
      <c r="J493" s="611"/>
    </row>
    <row r="494" spans="6:10">
      <c r="F494" s="611"/>
      <c r="H494" s="611"/>
      <c r="J494" s="611"/>
    </row>
    <row r="495" spans="6:10">
      <c r="F495" s="611"/>
      <c r="H495" s="611"/>
      <c r="J495" s="611"/>
    </row>
    <row r="496" spans="6:10">
      <c r="F496" s="611"/>
      <c r="H496" s="611"/>
      <c r="J496" s="611"/>
    </row>
    <row r="497" spans="6:10">
      <c r="F497" s="611"/>
      <c r="H497" s="611"/>
      <c r="J497" s="611"/>
    </row>
    <row r="498" spans="6:10">
      <c r="F498" s="611"/>
      <c r="H498" s="611"/>
      <c r="J498" s="611"/>
    </row>
    <row r="499" spans="6:10">
      <c r="F499" s="611"/>
      <c r="H499" s="611"/>
      <c r="J499" s="611"/>
    </row>
    <row r="500" spans="6:10">
      <c r="F500" s="611"/>
      <c r="H500" s="611"/>
      <c r="J500" s="611"/>
    </row>
    <row r="501" spans="6:10">
      <c r="F501" s="611"/>
      <c r="H501" s="611"/>
      <c r="J501" s="611"/>
    </row>
    <row r="502" spans="6:10">
      <c r="F502" s="611"/>
      <c r="H502" s="611"/>
      <c r="J502" s="611"/>
    </row>
    <row r="503" spans="6:10">
      <c r="F503" s="611"/>
      <c r="H503" s="611"/>
      <c r="J503" s="611"/>
    </row>
    <row r="504" spans="6:10">
      <c r="F504" s="611"/>
      <c r="H504" s="611"/>
      <c r="J504" s="611"/>
    </row>
    <row r="505" spans="6:10">
      <c r="F505" s="611"/>
      <c r="H505" s="611"/>
      <c r="J505" s="611"/>
    </row>
    <row r="506" spans="6:10">
      <c r="F506" s="611"/>
      <c r="H506" s="611"/>
      <c r="J506" s="611"/>
    </row>
    <row r="507" spans="6:10">
      <c r="F507" s="611"/>
      <c r="H507" s="611"/>
      <c r="J507" s="611"/>
    </row>
    <row r="508" spans="6:10">
      <c r="F508" s="611"/>
      <c r="H508" s="611"/>
      <c r="J508" s="611"/>
    </row>
    <row r="509" spans="6:10">
      <c r="F509" s="611"/>
      <c r="H509" s="611"/>
      <c r="J509" s="611"/>
    </row>
    <row r="510" spans="6:10">
      <c r="F510" s="611"/>
      <c r="H510" s="611"/>
      <c r="J510" s="611"/>
    </row>
    <row r="511" spans="6:10">
      <c r="F511" s="611"/>
      <c r="H511" s="611"/>
      <c r="J511" s="611"/>
    </row>
    <row r="512" spans="6:10">
      <c r="F512" s="611"/>
      <c r="H512" s="611"/>
      <c r="J512" s="611"/>
    </row>
    <row r="513" spans="6:10">
      <c r="F513" s="611"/>
      <c r="H513" s="611"/>
      <c r="J513" s="611"/>
    </row>
    <row r="514" spans="6:10">
      <c r="F514" s="611"/>
      <c r="H514" s="611"/>
      <c r="J514" s="611"/>
    </row>
    <row r="515" spans="6:10">
      <c r="F515" s="611"/>
      <c r="H515" s="611"/>
      <c r="J515" s="611"/>
    </row>
    <row r="516" spans="6:10">
      <c r="F516" s="611"/>
      <c r="H516" s="611"/>
      <c r="J516" s="611"/>
    </row>
    <row r="517" spans="6:10">
      <c r="F517" s="611"/>
      <c r="H517" s="611"/>
      <c r="J517" s="611"/>
    </row>
    <row r="518" spans="6:10">
      <c r="F518" s="611"/>
      <c r="H518" s="611"/>
      <c r="J518" s="611"/>
    </row>
    <row r="519" spans="6:10">
      <c r="F519" s="611"/>
      <c r="H519" s="611"/>
      <c r="J519" s="611"/>
    </row>
    <row r="520" spans="6:10">
      <c r="F520" s="611"/>
      <c r="H520" s="611"/>
      <c r="J520" s="611"/>
    </row>
    <row r="521" spans="6:10">
      <c r="F521" s="611"/>
      <c r="H521" s="611"/>
      <c r="J521" s="611"/>
    </row>
    <row r="522" spans="6:10">
      <c r="F522" s="611"/>
      <c r="H522" s="611"/>
      <c r="J522" s="611"/>
    </row>
    <row r="523" spans="6:10">
      <c r="F523" s="611"/>
      <c r="H523" s="611"/>
      <c r="J523" s="611"/>
    </row>
    <row r="524" spans="6:10">
      <c r="F524" s="611"/>
      <c r="H524" s="611"/>
      <c r="J524" s="611"/>
    </row>
    <row r="525" spans="6:10">
      <c r="F525" s="611"/>
      <c r="H525" s="611"/>
      <c r="J525" s="611"/>
    </row>
    <row r="526" spans="6:10">
      <c r="F526" s="611"/>
      <c r="H526" s="611"/>
      <c r="J526" s="611"/>
    </row>
    <row r="527" spans="6:10">
      <c r="F527" s="611"/>
      <c r="H527" s="611"/>
      <c r="J527" s="611"/>
    </row>
    <row r="528" spans="6:10">
      <c r="F528" s="611"/>
      <c r="H528" s="611"/>
      <c r="J528" s="611"/>
    </row>
    <row r="529" spans="6:10">
      <c r="F529" s="611"/>
      <c r="H529" s="611"/>
      <c r="J529" s="611"/>
    </row>
    <row r="530" spans="6:10">
      <c r="F530" s="611"/>
      <c r="H530" s="611"/>
      <c r="J530" s="611"/>
    </row>
    <row r="531" spans="6:10">
      <c r="F531" s="611"/>
      <c r="H531" s="611"/>
      <c r="J531" s="611"/>
    </row>
    <row r="532" spans="6:10">
      <c r="F532" s="611"/>
      <c r="H532" s="611"/>
      <c r="J532" s="611"/>
    </row>
    <row r="533" spans="6:10">
      <c r="F533" s="611"/>
      <c r="H533" s="611"/>
      <c r="J533" s="611"/>
    </row>
    <row r="534" spans="6:10">
      <c r="F534" s="611"/>
      <c r="H534" s="611"/>
      <c r="J534" s="611"/>
    </row>
    <row r="535" spans="6:10">
      <c r="F535" s="611"/>
      <c r="H535" s="611"/>
      <c r="J535" s="611"/>
    </row>
    <row r="536" spans="6:10">
      <c r="F536" s="611"/>
      <c r="H536" s="611"/>
      <c r="J536" s="611"/>
    </row>
    <row r="537" spans="6:10">
      <c r="F537" s="611"/>
      <c r="H537" s="611"/>
      <c r="J537" s="611"/>
    </row>
    <row r="538" spans="6:10">
      <c r="F538" s="611"/>
      <c r="H538" s="611"/>
      <c r="J538" s="611"/>
    </row>
    <row r="539" spans="6:10">
      <c r="F539" s="611"/>
      <c r="H539" s="611"/>
      <c r="J539" s="611"/>
    </row>
    <row r="540" spans="6:10">
      <c r="F540" s="611"/>
      <c r="H540" s="611"/>
      <c r="J540" s="611"/>
    </row>
    <row r="541" spans="6:10">
      <c r="F541" s="611"/>
      <c r="H541" s="611"/>
      <c r="J541" s="611"/>
    </row>
    <row r="542" spans="6:10">
      <c r="F542" s="611"/>
      <c r="H542" s="611"/>
      <c r="J542" s="611"/>
    </row>
    <row r="543" spans="6:10">
      <c r="F543" s="611"/>
      <c r="H543" s="611"/>
      <c r="J543" s="611"/>
    </row>
    <row r="544" spans="6:10">
      <c r="F544" s="611"/>
      <c r="H544" s="611"/>
      <c r="J544" s="611"/>
    </row>
    <row r="545" spans="6:10">
      <c r="F545" s="611"/>
      <c r="H545" s="611"/>
      <c r="J545" s="611"/>
    </row>
    <row r="546" spans="6:10">
      <c r="F546" s="611"/>
      <c r="H546" s="611"/>
      <c r="J546" s="611"/>
    </row>
    <row r="547" spans="6:10">
      <c r="F547" s="611"/>
      <c r="H547" s="611"/>
      <c r="J547" s="611"/>
    </row>
    <row r="548" spans="6:10">
      <c r="F548" s="611"/>
      <c r="H548" s="611"/>
      <c r="J548" s="611"/>
    </row>
    <row r="549" spans="6:10">
      <c r="F549" s="611"/>
      <c r="H549" s="611"/>
      <c r="J549" s="611"/>
    </row>
    <row r="550" spans="6:10">
      <c r="F550" s="611"/>
      <c r="H550" s="611"/>
      <c r="J550" s="611"/>
    </row>
    <row r="551" spans="6:10">
      <c r="F551" s="611"/>
      <c r="H551" s="611"/>
      <c r="J551" s="611"/>
    </row>
    <row r="552" spans="6:10">
      <c r="F552" s="611"/>
      <c r="H552" s="611"/>
      <c r="J552" s="611"/>
    </row>
    <row r="553" spans="6:10">
      <c r="F553" s="611"/>
      <c r="H553" s="611"/>
      <c r="J553" s="611"/>
    </row>
    <row r="554" spans="6:10">
      <c r="F554" s="611"/>
      <c r="H554" s="611"/>
      <c r="J554" s="611"/>
    </row>
    <row r="555" spans="6:10">
      <c r="F555" s="611"/>
      <c r="H555" s="611"/>
      <c r="J555" s="611"/>
    </row>
    <row r="556" spans="6:10">
      <c r="F556" s="611"/>
      <c r="H556" s="611"/>
      <c r="J556" s="611"/>
    </row>
    <row r="557" spans="6:10">
      <c r="F557" s="611"/>
      <c r="H557" s="611"/>
      <c r="J557" s="611"/>
    </row>
    <row r="558" spans="6:10">
      <c r="F558" s="611"/>
      <c r="H558" s="611"/>
      <c r="J558" s="611"/>
    </row>
    <row r="559" spans="6:10">
      <c r="F559" s="611"/>
      <c r="H559" s="611"/>
      <c r="J559" s="611"/>
    </row>
    <row r="560" spans="6:10">
      <c r="F560" s="611"/>
      <c r="H560" s="611"/>
      <c r="J560" s="611"/>
    </row>
    <row r="561" spans="6:10">
      <c r="F561" s="611"/>
      <c r="H561" s="611"/>
      <c r="J561" s="611"/>
    </row>
    <row r="562" spans="6:10">
      <c r="F562" s="611"/>
      <c r="H562" s="611"/>
      <c r="J562" s="611"/>
    </row>
    <row r="563" spans="6:10">
      <c r="F563" s="611"/>
      <c r="H563" s="611"/>
      <c r="J563" s="611"/>
    </row>
    <row r="564" spans="6:10">
      <c r="F564" s="611"/>
      <c r="H564" s="611"/>
      <c r="J564" s="611"/>
    </row>
    <row r="565" spans="6:10">
      <c r="F565" s="611"/>
      <c r="H565" s="611"/>
      <c r="J565" s="611"/>
    </row>
    <row r="566" spans="6:10">
      <c r="F566" s="611"/>
      <c r="H566" s="611"/>
      <c r="J566" s="611"/>
    </row>
    <row r="567" spans="6:10">
      <c r="F567" s="611"/>
      <c r="H567" s="611"/>
      <c r="J567" s="611"/>
    </row>
    <row r="568" spans="6:10">
      <c r="F568" s="611"/>
      <c r="H568" s="611"/>
      <c r="J568" s="611"/>
    </row>
    <row r="569" spans="6:10">
      <c r="F569" s="611"/>
      <c r="H569" s="611"/>
      <c r="J569" s="611"/>
    </row>
    <row r="570" spans="6:10">
      <c r="F570" s="611"/>
      <c r="H570" s="611"/>
      <c r="J570" s="611"/>
    </row>
    <row r="571" spans="6:10">
      <c r="F571" s="611"/>
      <c r="H571" s="611"/>
      <c r="J571" s="611"/>
    </row>
    <row r="572" spans="6:10">
      <c r="F572" s="611"/>
      <c r="H572" s="611"/>
      <c r="J572" s="611"/>
    </row>
    <row r="573" spans="6:10">
      <c r="F573" s="611"/>
      <c r="H573" s="611"/>
      <c r="J573" s="611"/>
    </row>
    <row r="574" spans="6:10">
      <c r="F574" s="611"/>
      <c r="H574" s="611"/>
      <c r="J574" s="611"/>
    </row>
    <row r="575" spans="6:10">
      <c r="F575" s="611"/>
      <c r="H575" s="611"/>
      <c r="J575" s="611"/>
    </row>
    <row r="576" spans="6:10">
      <c r="F576" s="611"/>
      <c r="H576" s="611"/>
      <c r="J576" s="611"/>
    </row>
    <row r="577" spans="6:10">
      <c r="F577" s="611"/>
      <c r="H577" s="611"/>
      <c r="J577" s="611"/>
    </row>
    <row r="578" spans="6:10">
      <c r="F578" s="611"/>
      <c r="H578" s="611"/>
      <c r="J578" s="611"/>
    </row>
    <row r="579" spans="6:10">
      <c r="F579" s="611"/>
      <c r="H579" s="611"/>
      <c r="J579" s="611"/>
    </row>
    <row r="580" spans="6:10">
      <c r="F580" s="611"/>
      <c r="H580" s="611"/>
      <c r="J580" s="611"/>
    </row>
    <row r="581" spans="6:10">
      <c r="F581" s="611"/>
      <c r="H581" s="611"/>
      <c r="J581" s="611"/>
    </row>
    <row r="582" spans="6:10">
      <c r="F582" s="611"/>
      <c r="H582" s="611"/>
      <c r="J582" s="611"/>
    </row>
    <row r="583" spans="6:10">
      <c r="F583" s="611"/>
      <c r="H583" s="611"/>
      <c r="J583" s="611"/>
    </row>
    <row r="584" spans="6:10">
      <c r="F584" s="611"/>
      <c r="H584" s="611"/>
      <c r="J584" s="611"/>
    </row>
    <row r="585" spans="6:10">
      <c r="F585" s="611"/>
      <c r="H585" s="611"/>
      <c r="J585" s="611"/>
    </row>
    <row r="586" spans="6:10">
      <c r="F586" s="611"/>
      <c r="H586" s="611"/>
      <c r="J586" s="611"/>
    </row>
    <row r="587" spans="6:10">
      <c r="F587" s="611"/>
      <c r="H587" s="611"/>
      <c r="J587" s="611"/>
    </row>
    <row r="588" spans="6:10">
      <c r="F588" s="611"/>
      <c r="H588" s="611"/>
      <c r="J588" s="611"/>
    </row>
    <row r="589" spans="6:10">
      <c r="F589" s="611"/>
      <c r="H589" s="611"/>
      <c r="J589" s="611"/>
    </row>
    <row r="590" spans="6:10">
      <c r="F590" s="611"/>
      <c r="H590" s="611"/>
      <c r="J590" s="611"/>
    </row>
    <row r="591" spans="6:10">
      <c r="F591" s="611"/>
      <c r="H591" s="611"/>
      <c r="J591" s="611"/>
    </row>
    <row r="592" spans="6:10">
      <c r="F592" s="611"/>
      <c r="H592" s="611"/>
      <c r="J592" s="611"/>
    </row>
    <row r="593" spans="6:10">
      <c r="F593" s="611"/>
      <c r="H593" s="611"/>
      <c r="J593" s="611"/>
    </row>
    <row r="594" spans="6:10">
      <c r="F594" s="611"/>
      <c r="H594" s="611"/>
      <c r="J594" s="611"/>
    </row>
    <row r="595" spans="6:10">
      <c r="F595" s="611"/>
      <c r="H595" s="611"/>
      <c r="J595" s="611"/>
    </row>
    <row r="596" spans="6:10">
      <c r="F596" s="611"/>
      <c r="H596" s="611"/>
      <c r="J596" s="611"/>
    </row>
    <row r="597" spans="6:10">
      <c r="F597" s="611"/>
      <c r="H597" s="611"/>
      <c r="J597" s="611"/>
    </row>
    <row r="598" spans="6:10">
      <c r="F598" s="611"/>
      <c r="H598" s="611"/>
      <c r="J598" s="611"/>
    </row>
    <row r="599" spans="6:10">
      <c r="F599" s="611"/>
      <c r="H599" s="611"/>
      <c r="J599" s="611"/>
    </row>
    <row r="600" spans="6:10">
      <c r="F600" s="611"/>
      <c r="H600" s="611"/>
      <c r="J600" s="611"/>
    </row>
    <row r="601" spans="6:10">
      <c r="F601" s="611"/>
      <c r="H601" s="611"/>
      <c r="J601" s="611"/>
    </row>
    <row r="602" spans="6:10">
      <c r="F602" s="611"/>
      <c r="H602" s="611"/>
      <c r="J602" s="611"/>
    </row>
    <row r="603" spans="6:10">
      <c r="F603" s="611"/>
      <c r="H603" s="611"/>
      <c r="J603" s="611"/>
    </row>
    <row r="604" spans="6:10">
      <c r="F604" s="611"/>
      <c r="H604" s="611"/>
      <c r="J604" s="611"/>
    </row>
    <row r="605" spans="6:10">
      <c r="F605" s="611"/>
      <c r="H605" s="611"/>
      <c r="J605" s="611"/>
    </row>
    <row r="606" spans="6:10">
      <c r="F606" s="611"/>
      <c r="H606" s="611"/>
      <c r="J606" s="611"/>
    </row>
    <row r="607" spans="6:10">
      <c r="F607" s="611"/>
      <c r="H607" s="611"/>
      <c r="J607" s="611"/>
    </row>
    <row r="608" spans="6:10">
      <c r="F608" s="611"/>
      <c r="H608" s="611"/>
      <c r="J608" s="611"/>
    </row>
    <row r="609" spans="6:10">
      <c r="F609" s="611"/>
      <c r="H609" s="611"/>
      <c r="J609" s="611"/>
    </row>
    <row r="610" spans="6:10">
      <c r="F610" s="611"/>
      <c r="H610" s="611"/>
      <c r="J610" s="611"/>
    </row>
    <row r="611" spans="6:10">
      <c r="F611" s="611"/>
      <c r="H611" s="611"/>
      <c r="J611" s="611"/>
    </row>
    <row r="612" spans="6:10">
      <c r="F612" s="611"/>
      <c r="H612" s="611"/>
      <c r="J612" s="611"/>
    </row>
    <row r="613" spans="6:10">
      <c r="F613" s="611"/>
      <c r="H613" s="611"/>
      <c r="J613" s="611"/>
    </row>
    <row r="614" spans="6:10">
      <c r="F614" s="611"/>
      <c r="H614" s="611"/>
      <c r="J614" s="611"/>
    </row>
    <row r="615" spans="6:10">
      <c r="F615" s="611"/>
      <c r="H615" s="611"/>
      <c r="J615" s="611"/>
    </row>
    <row r="616" spans="6:10">
      <c r="F616" s="611"/>
      <c r="H616" s="611"/>
      <c r="J616" s="611"/>
    </row>
    <row r="617" spans="6:10">
      <c r="F617" s="611"/>
      <c r="H617" s="611"/>
      <c r="J617" s="611"/>
    </row>
    <row r="618" spans="6:10">
      <c r="F618" s="611"/>
      <c r="H618" s="611"/>
      <c r="J618" s="611"/>
    </row>
    <row r="619" spans="6:10">
      <c r="F619" s="611"/>
      <c r="H619" s="611"/>
      <c r="J619" s="611"/>
    </row>
    <row r="620" spans="6:10">
      <c r="F620" s="611"/>
      <c r="H620" s="611"/>
      <c r="J620" s="611"/>
    </row>
    <row r="621" spans="6:10">
      <c r="F621" s="611"/>
      <c r="H621" s="611"/>
      <c r="J621" s="611"/>
    </row>
    <row r="622" spans="6:10">
      <c r="F622" s="611"/>
      <c r="H622" s="611"/>
      <c r="J622" s="611"/>
    </row>
    <row r="623" spans="6:10">
      <c r="F623" s="611"/>
      <c r="H623" s="611"/>
      <c r="J623" s="611"/>
    </row>
    <row r="624" spans="6:10">
      <c r="F624" s="611"/>
      <c r="H624" s="611"/>
      <c r="J624" s="611"/>
    </row>
    <row r="625" spans="6:10">
      <c r="F625" s="611"/>
      <c r="H625" s="611"/>
      <c r="J625" s="611"/>
    </row>
    <row r="626" spans="6:10">
      <c r="F626" s="611"/>
      <c r="H626" s="611"/>
      <c r="J626" s="611"/>
    </row>
    <row r="627" spans="6:10">
      <c r="F627" s="611"/>
      <c r="H627" s="611"/>
      <c r="J627" s="611"/>
    </row>
    <row r="628" spans="6:10">
      <c r="F628" s="611"/>
      <c r="H628" s="611"/>
      <c r="J628" s="611"/>
    </row>
    <row r="629" spans="6:10">
      <c r="F629" s="611"/>
      <c r="H629" s="611"/>
      <c r="J629" s="611"/>
    </row>
    <row r="630" spans="6:10">
      <c r="F630" s="611"/>
      <c r="H630" s="611"/>
      <c r="J630" s="611"/>
    </row>
    <row r="631" spans="6:10">
      <c r="F631" s="611"/>
      <c r="H631" s="611"/>
      <c r="J631" s="611"/>
    </row>
    <row r="632" spans="6:10">
      <c r="F632" s="611"/>
      <c r="H632" s="611"/>
      <c r="J632" s="611"/>
    </row>
    <row r="633" spans="6:10">
      <c r="F633" s="611"/>
      <c r="H633" s="611"/>
      <c r="J633" s="611"/>
    </row>
    <row r="634" spans="6:10">
      <c r="F634" s="611"/>
      <c r="H634" s="611"/>
      <c r="J634" s="611"/>
    </row>
    <row r="635" spans="6:10">
      <c r="F635" s="611"/>
      <c r="H635" s="611"/>
      <c r="J635" s="611"/>
    </row>
    <row r="636" spans="6:10">
      <c r="F636" s="611"/>
      <c r="H636" s="611"/>
      <c r="J636" s="611"/>
    </row>
    <row r="637" spans="6:10">
      <c r="F637" s="611"/>
      <c r="H637" s="611"/>
      <c r="J637" s="611"/>
    </row>
    <row r="638" spans="6:10">
      <c r="F638" s="611"/>
      <c r="H638" s="611"/>
      <c r="J638" s="611"/>
    </row>
    <row r="639" spans="6:10">
      <c r="F639" s="611"/>
      <c r="H639" s="611"/>
      <c r="J639" s="611"/>
    </row>
    <row r="640" spans="6:10">
      <c r="F640" s="611"/>
      <c r="H640" s="611"/>
      <c r="J640" s="611"/>
    </row>
    <row r="641" spans="6:10">
      <c r="F641" s="611"/>
      <c r="H641" s="611"/>
      <c r="J641" s="611"/>
    </row>
    <row r="642" spans="6:10">
      <c r="F642" s="611"/>
      <c r="H642" s="611"/>
      <c r="J642" s="611"/>
    </row>
    <row r="643" spans="6:10">
      <c r="F643" s="611"/>
      <c r="H643" s="611"/>
      <c r="J643" s="611"/>
    </row>
    <row r="644" spans="6:10">
      <c r="F644" s="611"/>
      <c r="H644" s="611"/>
      <c r="J644" s="611"/>
    </row>
    <row r="645" spans="6:10">
      <c r="F645" s="611"/>
      <c r="H645" s="611"/>
      <c r="J645" s="611"/>
    </row>
    <row r="646" spans="6:10">
      <c r="F646" s="611"/>
      <c r="H646" s="611"/>
      <c r="J646" s="611"/>
    </row>
    <row r="647" spans="6:10">
      <c r="F647" s="611"/>
      <c r="H647" s="611"/>
      <c r="J647" s="611"/>
    </row>
    <row r="648" spans="6:10">
      <c r="F648" s="611"/>
      <c r="H648" s="611"/>
      <c r="J648" s="611"/>
    </row>
    <row r="649" spans="6:10">
      <c r="F649" s="611"/>
      <c r="H649" s="611"/>
      <c r="J649" s="611"/>
    </row>
    <row r="650" spans="6:10">
      <c r="F650" s="611"/>
      <c r="H650" s="611"/>
      <c r="J650" s="611"/>
    </row>
    <row r="651" spans="6:10">
      <c r="F651" s="611"/>
      <c r="H651" s="611"/>
      <c r="J651" s="611"/>
    </row>
    <row r="652" spans="6:10">
      <c r="F652" s="611"/>
      <c r="H652" s="611"/>
      <c r="J652" s="611"/>
    </row>
    <row r="653" spans="6:10">
      <c r="F653" s="611"/>
      <c r="H653" s="611"/>
      <c r="J653" s="611"/>
    </row>
    <row r="654" spans="6:10">
      <c r="F654" s="611"/>
      <c r="H654" s="611"/>
      <c r="J654" s="611"/>
    </row>
    <row r="655" spans="6:10">
      <c r="F655" s="611"/>
      <c r="H655" s="611"/>
      <c r="J655" s="611"/>
    </row>
    <row r="656" spans="6:10">
      <c r="F656" s="611"/>
      <c r="H656" s="611"/>
      <c r="J656" s="611"/>
    </row>
    <row r="657" spans="6:10">
      <c r="F657" s="611"/>
      <c r="H657" s="611"/>
      <c r="J657" s="611"/>
    </row>
    <row r="658" spans="6:10">
      <c r="F658" s="611"/>
      <c r="H658" s="611"/>
      <c r="J658" s="611"/>
    </row>
    <row r="659" spans="6:10">
      <c r="F659" s="611"/>
      <c r="H659" s="611"/>
      <c r="J659" s="611"/>
    </row>
    <row r="660" spans="6:10">
      <c r="F660" s="611"/>
      <c r="H660" s="611"/>
      <c r="J660" s="611"/>
    </row>
    <row r="661" spans="6:10">
      <c r="F661" s="611"/>
      <c r="H661" s="611"/>
      <c r="J661" s="611"/>
    </row>
    <row r="662" spans="6:10">
      <c r="F662" s="611"/>
      <c r="H662" s="611"/>
      <c r="J662" s="611"/>
    </row>
    <row r="663" spans="6:10">
      <c r="F663" s="611"/>
      <c r="H663" s="611"/>
      <c r="J663" s="611"/>
    </row>
    <row r="664" spans="6:10">
      <c r="F664" s="611"/>
      <c r="H664" s="611"/>
      <c r="J664" s="611"/>
    </row>
    <row r="665" spans="6:10">
      <c r="F665" s="611"/>
      <c r="H665" s="611"/>
      <c r="J665" s="611"/>
    </row>
    <row r="666" spans="6:10">
      <c r="F666" s="611"/>
      <c r="H666" s="611"/>
      <c r="J666" s="611"/>
    </row>
    <row r="667" spans="6:10">
      <c r="F667" s="611"/>
      <c r="H667" s="611"/>
      <c r="J667" s="611"/>
    </row>
    <row r="668" spans="6:10">
      <c r="F668" s="611"/>
      <c r="H668" s="611"/>
      <c r="J668" s="611"/>
    </row>
    <row r="669" spans="6:10">
      <c r="F669" s="611"/>
      <c r="H669" s="611"/>
      <c r="J669" s="611"/>
    </row>
    <row r="670" spans="6:10">
      <c r="F670" s="611"/>
      <c r="H670" s="611"/>
      <c r="J670" s="611"/>
    </row>
    <row r="671" spans="6:10">
      <c r="F671" s="611"/>
      <c r="H671" s="611"/>
      <c r="J671" s="611"/>
    </row>
    <row r="672" spans="6:10">
      <c r="F672" s="611"/>
      <c r="H672" s="611"/>
      <c r="J672" s="611"/>
    </row>
    <row r="673" spans="6:10">
      <c r="F673" s="611"/>
      <c r="H673" s="611"/>
      <c r="J673" s="611"/>
    </row>
    <row r="674" spans="6:10">
      <c r="F674" s="611"/>
      <c r="H674" s="611"/>
      <c r="J674" s="611"/>
    </row>
    <row r="675" spans="6:10">
      <c r="F675" s="611"/>
      <c r="H675" s="611"/>
      <c r="J675" s="611"/>
    </row>
    <row r="676" spans="6:10">
      <c r="F676" s="611"/>
      <c r="H676" s="611"/>
      <c r="J676" s="611"/>
    </row>
    <row r="677" spans="6:10">
      <c r="F677" s="611"/>
      <c r="H677" s="611"/>
      <c r="J677" s="611"/>
    </row>
    <row r="678" spans="6:10">
      <c r="F678" s="611"/>
      <c r="H678" s="611"/>
      <c r="J678" s="611"/>
    </row>
    <row r="679" spans="6:10">
      <c r="F679" s="611"/>
      <c r="H679" s="611"/>
      <c r="J679" s="611"/>
    </row>
    <row r="680" spans="6:10">
      <c r="F680" s="611"/>
      <c r="H680" s="611"/>
      <c r="J680" s="611"/>
    </row>
    <row r="681" spans="6:10">
      <c r="F681" s="611"/>
      <c r="H681" s="611"/>
      <c r="J681" s="611"/>
    </row>
    <row r="682" spans="6:10">
      <c r="F682" s="611"/>
      <c r="H682" s="611"/>
      <c r="J682" s="611"/>
    </row>
    <row r="683" spans="6:10">
      <c r="F683" s="611"/>
      <c r="H683" s="611"/>
      <c r="J683" s="611"/>
    </row>
    <row r="684" spans="6:10">
      <c r="F684" s="611"/>
      <c r="H684" s="611"/>
      <c r="J684" s="611"/>
    </row>
    <row r="685" spans="6:10">
      <c r="F685" s="611"/>
      <c r="H685" s="611"/>
      <c r="J685" s="611"/>
    </row>
    <row r="686" spans="6:10">
      <c r="F686" s="611"/>
      <c r="H686" s="611"/>
      <c r="J686" s="611"/>
    </row>
    <row r="687" spans="6:10">
      <c r="F687" s="611"/>
      <c r="H687" s="611"/>
      <c r="J687" s="611"/>
    </row>
    <row r="688" spans="6:10">
      <c r="F688" s="611"/>
      <c r="H688" s="611"/>
      <c r="J688" s="611"/>
    </row>
    <row r="689" spans="6:10">
      <c r="F689" s="611"/>
      <c r="H689" s="611"/>
      <c r="J689" s="611"/>
    </row>
    <row r="690" spans="6:10">
      <c r="F690" s="611"/>
      <c r="H690" s="611"/>
      <c r="J690" s="611"/>
    </row>
    <row r="691" spans="6:10">
      <c r="F691" s="611"/>
      <c r="H691" s="611"/>
      <c r="J691" s="611"/>
    </row>
    <row r="692" spans="6:10">
      <c r="F692" s="611"/>
      <c r="H692" s="611"/>
      <c r="J692" s="611"/>
    </row>
    <row r="693" spans="6:10">
      <c r="F693" s="611"/>
      <c r="H693" s="611"/>
      <c r="J693" s="611"/>
    </row>
    <row r="694" spans="6:10">
      <c r="F694" s="611"/>
      <c r="H694" s="611"/>
      <c r="J694" s="611"/>
    </row>
    <row r="695" spans="6:10">
      <c r="F695" s="611"/>
      <c r="H695" s="611"/>
      <c r="J695" s="611"/>
    </row>
    <row r="696" spans="6:10">
      <c r="F696" s="611"/>
      <c r="H696" s="611"/>
      <c r="J696" s="611"/>
    </row>
    <row r="697" spans="6:10">
      <c r="F697" s="611"/>
      <c r="H697" s="611"/>
      <c r="J697" s="611"/>
    </row>
    <row r="698" spans="6:10">
      <c r="F698" s="611"/>
      <c r="H698" s="611"/>
      <c r="J698" s="611"/>
    </row>
    <row r="699" spans="6:10">
      <c r="F699" s="611"/>
      <c r="H699" s="611"/>
      <c r="J699" s="611"/>
    </row>
    <row r="700" spans="6:10">
      <c r="F700" s="611"/>
      <c r="H700" s="611"/>
      <c r="J700" s="611"/>
    </row>
    <row r="701" spans="6:10">
      <c r="F701" s="611"/>
      <c r="H701" s="611"/>
      <c r="J701" s="611"/>
    </row>
    <row r="702" spans="6:10">
      <c r="F702" s="611"/>
      <c r="H702" s="611"/>
      <c r="J702" s="611"/>
    </row>
    <row r="703" spans="6:10">
      <c r="F703" s="611"/>
      <c r="H703" s="611"/>
      <c r="J703" s="611"/>
    </row>
    <row r="704" spans="6:10">
      <c r="F704" s="611"/>
      <c r="H704" s="611"/>
      <c r="J704" s="611"/>
    </row>
    <row r="705" spans="6:10">
      <c r="F705" s="611"/>
      <c r="H705" s="611"/>
      <c r="J705" s="611"/>
    </row>
    <row r="706" spans="6:10">
      <c r="F706" s="611"/>
      <c r="H706" s="611"/>
      <c r="J706" s="611"/>
    </row>
    <row r="707" spans="6:10">
      <c r="F707" s="611"/>
      <c r="H707" s="611"/>
      <c r="J707" s="611"/>
    </row>
    <row r="708" spans="6:10">
      <c r="F708" s="611"/>
      <c r="H708" s="611"/>
      <c r="J708" s="611"/>
    </row>
    <row r="709" spans="6:10">
      <c r="F709" s="611"/>
      <c r="H709" s="611"/>
      <c r="J709" s="611"/>
    </row>
    <row r="710" spans="6:10">
      <c r="F710" s="611"/>
      <c r="H710" s="611"/>
      <c r="J710" s="611"/>
    </row>
    <row r="711" spans="6:10">
      <c r="F711" s="611"/>
      <c r="H711" s="611"/>
      <c r="J711" s="611"/>
    </row>
    <row r="712" spans="6:10">
      <c r="F712" s="611"/>
      <c r="H712" s="611"/>
      <c r="J712" s="611"/>
    </row>
    <row r="713" spans="6:10">
      <c r="F713" s="611"/>
      <c r="H713" s="611"/>
      <c r="J713" s="611"/>
    </row>
    <row r="714" spans="6:10">
      <c r="F714" s="611"/>
      <c r="H714" s="611"/>
      <c r="J714" s="611"/>
    </row>
    <row r="715" spans="6:10">
      <c r="F715" s="611"/>
      <c r="H715" s="611"/>
      <c r="J715" s="611"/>
    </row>
    <row r="716" spans="6:10">
      <c r="F716" s="611"/>
      <c r="H716" s="611"/>
      <c r="J716" s="611"/>
    </row>
    <row r="717" spans="6:10">
      <c r="F717" s="611"/>
      <c r="H717" s="611"/>
      <c r="J717" s="611"/>
    </row>
    <row r="718" spans="6:10">
      <c r="F718" s="611"/>
      <c r="H718" s="611"/>
      <c r="J718" s="611"/>
    </row>
    <row r="719" spans="6:10">
      <c r="F719" s="611"/>
      <c r="H719" s="611"/>
      <c r="J719" s="611"/>
    </row>
    <row r="720" spans="6:10">
      <c r="F720" s="611"/>
      <c r="H720" s="611"/>
      <c r="J720" s="611"/>
    </row>
    <row r="721" spans="6:10">
      <c r="F721" s="611"/>
      <c r="H721" s="611"/>
      <c r="J721" s="611"/>
    </row>
    <row r="722" spans="6:10">
      <c r="F722" s="611"/>
      <c r="H722" s="611"/>
      <c r="J722" s="611"/>
    </row>
    <row r="723" spans="6:10">
      <c r="F723" s="611"/>
      <c r="H723" s="611"/>
      <c r="J723" s="611"/>
    </row>
    <row r="724" spans="6:10">
      <c r="F724" s="611"/>
      <c r="H724" s="611"/>
      <c r="J724" s="611"/>
    </row>
    <row r="725" spans="6:10">
      <c r="F725" s="611"/>
      <c r="H725" s="611"/>
      <c r="J725" s="611"/>
    </row>
    <row r="726" spans="6:10">
      <c r="F726" s="611"/>
      <c r="H726" s="611"/>
      <c r="J726" s="611"/>
    </row>
    <row r="727" spans="6:10">
      <c r="F727" s="611"/>
      <c r="H727" s="611"/>
      <c r="J727" s="611"/>
    </row>
    <row r="728" spans="6:10">
      <c r="F728" s="611"/>
      <c r="H728" s="611"/>
      <c r="J728" s="611"/>
    </row>
    <row r="729" spans="6:10">
      <c r="F729" s="611"/>
      <c r="H729" s="611"/>
      <c r="J729" s="611"/>
    </row>
    <row r="730" spans="6:10">
      <c r="F730" s="611"/>
      <c r="H730" s="611"/>
      <c r="J730" s="611"/>
    </row>
    <row r="731" spans="6:10">
      <c r="F731" s="611"/>
      <c r="H731" s="611"/>
      <c r="J731" s="611"/>
    </row>
    <row r="732" spans="6:10">
      <c r="F732" s="611"/>
      <c r="H732" s="611"/>
      <c r="J732" s="611"/>
    </row>
    <row r="733" spans="6:10">
      <c r="F733" s="611"/>
      <c r="H733" s="611"/>
      <c r="J733" s="611"/>
    </row>
    <row r="734" spans="6:10">
      <c r="F734" s="611"/>
      <c r="H734" s="611"/>
      <c r="J734" s="611"/>
    </row>
    <row r="735" spans="6:10">
      <c r="F735" s="611"/>
      <c r="H735" s="611"/>
      <c r="J735" s="611"/>
    </row>
    <row r="736" spans="6:10">
      <c r="F736" s="611"/>
      <c r="H736" s="611"/>
      <c r="J736" s="611"/>
    </row>
    <row r="737" spans="6:10">
      <c r="F737" s="611"/>
      <c r="H737" s="611"/>
      <c r="J737" s="611"/>
    </row>
    <row r="738" spans="6:10">
      <c r="F738" s="611"/>
      <c r="H738" s="611"/>
      <c r="J738" s="611"/>
    </row>
    <row r="739" spans="6:10">
      <c r="F739" s="611"/>
      <c r="H739" s="611"/>
      <c r="J739" s="611"/>
    </row>
    <row r="740" spans="6:10">
      <c r="F740" s="611"/>
      <c r="H740" s="611"/>
      <c r="J740" s="611"/>
    </row>
    <row r="741" spans="6:10">
      <c r="F741" s="611"/>
      <c r="H741" s="611"/>
      <c r="J741" s="611"/>
    </row>
    <row r="742" spans="6:10">
      <c r="F742" s="611"/>
      <c r="H742" s="611"/>
      <c r="J742" s="611"/>
    </row>
    <row r="743" spans="6:10">
      <c r="F743" s="611"/>
      <c r="H743" s="611"/>
      <c r="J743" s="611"/>
    </row>
    <row r="744" spans="6:10">
      <c r="F744" s="611"/>
      <c r="H744" s="611"/>
      <c r="J744" s="611"/>
    </row>
    <row r="745" spans="6:10">
      <c r="F745" s="611"/>
      <c r="H745" s="611"/>
      <c r="J745" s="611"/>
    </row>
    <row r="746" spans="6:10">
      <c r="F746" s="611"/>
      <c r="H746" s="611"/>
      <c r="J746" s="611"/>
    </row>
    <row r="747" spans="6:10">
      <c r="F747" s="611"/>
      <c r="H747" s="611"/>
      <c r="J747" s="611"/>
    </row>
    <row r="748" spans="6:10">
      <c r="F748" s="611"/>
      <c r="H748" s="611"/>
      <c r="J748" s="611"/>
    </row>
    <row r="749" spans="6:10">
      <c r="F749" s="611"/>
      <c r="H749" s="611"/>
      <c r="J749" s="611"/>
    </row>
    <row r="750" spans="6:10">
      <c r="F750" s="611"/>
      <c r="H750" s="611"/>
      <c r="J750" s="611"/>
    </row>
    <row r="751" spans="6:10">
      <c r="F751" s="611"/>
      <c r="H751" s="611"/>
      <c r="J751" s="611"/>
    </row>
    <row r="752" spans="6:10">
      <c r="F752" s="611"/>
      <c r="H752" s="611"/>
      <c r="J752" s="611"/>
    </row>
    <row r="753" spans="6:10">
      <c r="F753" s="611"/>
      <c r="H753" s="611"/>
      <c r="J753" s="611"/>
    </row>
    <row r="754" spans="6:10">
      <c r="F754" s="611"/>
      <c r="H754" s="611"/>
      <c r="J754" s="611"/>
    </row>
    <row r="755" spans="6:10">
      <c r="F755" s="611"/>
      <c r="H755" s="611"/>
      <c r="J755" s="611"/>
    </row>
    <row r="756" spans="6:10">
      <c r="F756" s="611"/>
      <c r="H756" s="611"/>
      <c r="J756" s="611"/>
    </row>
    <row r="757" spans="6:10">
      <c r="F757" s="611"/>
      <c r="H757" s="611"/>
      <c r="J757" s="611"/>
    </row>
    <row r="758" spans="6:10">
      <c r="F758" s="611"/>
      <c r="H758" s="611"/>
      <c r="J758" s="611"/>
    </row>
    <row r="759" spans="6:10">
      <c r="F759" s="611"/>
      <c r="H759" s="611"/>
      <c r="J759" s="611"/>
    </row>
    <row r="760" spans="6:10">
      <c r="F760" s="611"/>
      <c r="H760" s="611"/>
      <c r="J760" s="611"/>
    </row>
    <row r="761" spans="6:10">
      <c r="F761" s="611"/>
      <c r="H761" s="611"/>
      <c r="J761" s="611"/>
    </row>
    <row r="762" spans="6:10">
      <c r="F762" s="611"/>
      <c r="H762" s="611"/>
      <c r="J762" s="611"/>
    </row>
    <row r="763" spans="6:10">
      <c r="F763" s="611"/>
      <c r="H763" s="611"/>
      <c r="J763" s="611"/>
    </row>
    <row r="764" spans="6:10">
      <c r="F764" s="611"/>
      <c r="H764" s="611"/>
      <c r="J764" s="611"/>
    </row>
    <row r="765" spans="6:10">
      <c r="F765" s="611"/>
      <c r="H765" s="611"/>
      <c r="J765" s="611"/>
    </row>
    <row r="766" spans="6:10">
      <c r="F766" s="611"/>
      <c r="H766" s="611"/>
      <c r="J766" s="611"/>
    </row>
    <row r="767" spans="6:10">
      <c r="F767" s="611"/>
      <c r="H767" s="611"/>
      <c r="J767" s="611"/>
    </row>
    <row r="768" spans="6:10">
      <c r="F768" s="611"/>
      <c r="H768" s="611"/>
      <c r="J768" s="611"/>
    </row>
    <row r="769" spans="6:10">
      <c r="F769" s="611"/>
      <c r="H769" s="611"/>
      <c r="J769" s="611"/>
    </row>
    <row r="770" spans="6:10">
      <c r="F770" s="611"/>
      <c r="H770" s="611"/>
      <c r="J770" s="611"/>
    </row>
    <row r="771" spans="6:10">
      <c r="F771" s="611"/>
      <c r="H771" s="611"/>
      <c r="J771" s="611"/>
    </row>
    <row r="772" spans="6:10">
      <c r="F772" s="611"/>
      <c r="H772" s="611"/>
      <c r="J772" s="611"/>
    </row>
    <row r="773" spans="6:10">
      <c r="F773" s="611"/>
      <c r="H773" s="611"/>
      <c r="J773" s="611"/>
    </row>
    <row r="774" spans="6:10">
      <c r="F774" s="611"/>
      <c r="H774" s="611"/>
      <c r="J774" s="611"/>
    </row>
    <row r="775" spans="6:10">
      <c r="F775" s="611"/>
      <c r="H775" s="611"/>
      <c r="J775" s="611"/>
    </row>
    <row r="776" spans="6:10">
      <c r="F776" s="611"/>
      <c r="H776" s="611"/>
      <c r="J776" s="611"/>
    </row>
    <row r="777" spans="6:10">
      <c r="F777" s="611"/>
      <c r="H777" s="611"/>
      <c r="J777" s="611"/>
    </row>
    <row r="778" spans="6:10">
      <c r="F778" s="611"/>
      <c r="H778" s="611"/>
      <c r="J778" s="611"/>
    </row>
    <row r="779" spans="6:10">
      <c r="F779" s="611"/>
      <c r="H779" s="611"/>
      <c r="J779" s="611"/>
    </row>
    <row r="780" spans="6:10">
      <c r="F780" s="611"/>
      <c r="H780" s="611"/>
      <c r="J780" s="611"/>
    </row>
    <row r="781" spans="6:10">
      <c r="F781" s="611"/>
      <c r="H781" s="611"/>
      <c r="J781" s="611"/>
    </row>
    <row r="782" spans="6:10">
      <c r="F782" s="611"/>
      <c r="H782" s="611"/>
      <c r="J782" s="611"/>
    </row>
    <row r="783" spans="6:10">
      <c r="F783" s="611"/>
      <c r="H783" s="611"/>
      <c r="J783" s="611"/>
    </row>
    <row r="784" spans="6:10">
      <c r="F784" s="611"/>
      <c r="H784" s="611"/>
      <c r="J784" s="611"/>
    </row>
    <row r="785" spans="6:10">
      <c r="F785" s="611"/>
      <c r="H785" s="611"/>
      <c r="J785" s="611"/>
    </row>
    <row r="786" spans="6:10">
      <c r="F786" s="611"/>
      <c r="H786" s="611"/>
      <c r="J786" s="611"/>
    </row>
    <row r="787" spans="6:10">
      <c r="F787" s="611"/>
      <c r="H787" s="611"/>
      <c r="J787" s="611"/>
    </row>
    <row r="788" spans="6:10">
      <c r="F788" s="611"/>
      <c r="H788" s="611"/>
      <c r="J788" s="611"/>
    </row>
    <row r="789" spans="6:10">
      <c r="F789" s="611"/>
      <c r="H789" s="611"/>
      <c r="J789" s="611"/>
    </row>
    <row r="790" spans="6:10">
      <c r="F790" s="611"/>
      <c r="H790" s="611"/>
      <c r="J790" s="611"/>
    </row>
    <row r="791" spans="6:10">
      <c r="F791" s="611"/>
      <c r="H791" s="611"/>
      <c r="J791" s="611"/>
    </row>
    <row r="792" spans="6:10">
      <c r="F792" s="611"/>
      <c r="H792" s="611"/>
      <c r="J792" s="611"/>
    </row>
    <row r="793" spans="6:10">
      <c r="F793" s="611"/>
      <c r="H793" s="611"/>
      <c r="J793" s="611"/>
    </row>
    <row r="794" spans="6:10">
      <c r="F794" s="611"/>
      <c r="H794" s="611"/>
      <c r="J794" s="611"/>
    </row>
    <row r="795" spans="6:10">
      <c r="F795" s="611"/>
      <c r="H795" s="611"/>
      <c r="J795" s="611"/>
    </row>
    <row r="796" spans="6:10">
      <c r="F796" s="611"/>
      <c r="H796" s="611"/>
      <c r="J796" s="611"/>
    </row>
    <row r="797" spans="6:10">
      <c r="F797" s="611"/>
      <c r="H797" s="611"/>
      <c r="J797" s="611"/>
    </row>
    <row r="798" spans="6:10">
      <c r="F798" s="611"/>
      <c r="H798" s="611"/>
      <c r="J798" s="611"/>
    </row>
    <row r="799" spans="6:10">
      <c r="F799" s="611"/>
      <c r="H799" s="611"/>
      <c r="J799" s="611"/>
    </row>
    <row r="800" spans="6:10">
      <c r="F800" s="611"/>
      <c r="H800" s="611"/>
      <c r="J800" s="611"/>
    </row>
    <row r="801" spans="6:10">
      <c r="F801" s="611"/>
      <c r="H801" s="611"/>
      <c r="J801" s="611"/>
    </row>
    <row r="802" spans="6:10">
      <c r="F802" s="611"/>
      <c r="H802" s="611"/>
      <c r="J802" s="611"/>
    </row>
    <row r="803" spans="6:10">
      <c r="F803" s="611"/>
      <c r="H803" s="611"/>
      <c r="J803" s="611"/>
    </row>
    <row r="804" spans="6:10">
      <c r="F804" s="611"/>
      <c r="H804" s="611"/>
      <c r="J804" s="611"/>
    </row>
    <row r="805" spans="6:10">
      <c r="F805" s="611"/>
      <c r="H805" s="611"/>
      <c r="J805" s="611"/>
    </row>
    <row r="806" spans="6:10">
      <c r="F806" s="611"/>
      <c r="H806" s="611"/>
      <c r="J806" s="611"/>
    </row>
    <row r="807" spans="6:10">
      <c r="F807" s="611"/>
      <c r="H807" s="611"/>
      <c r="J807" s="611"/>
    </row>
    <row r="808" spans="6:10">
      <c r="F808" s="611"/>
      <c r="H808" s="611"/>
      <c r="J808" s="611"/>
    </row>
    <row r="809" spans="6:10">
      <c r="F809" s="611"/>
      <c r="H809" s="611"/>
      <c r="J809" s="611"/>
    </row>
    <row r="810" spans="6:10">
      <c r="F810" s="611"/>
      <c r="H810" s="611"/>
      <c r="J810" s="611"/>
    </row>
    <row r="811" spans="6:10">
      <c r="F811" s="611"/>
      <c r="H811" s="611"/>
      <c r="J811" s="611"/>
    </row>
    <row r="812" spans="6:10">
      <c r="F812" s="611"/>
      <c r="H812" s="611"/>
      <c r="J812" s="611"/>
    </row>
    <row r="813" spans="6:10">
      <c r="F813" s="611"/>
      <c r="H813" s="611"/>
      <c r="J813" s="611"/>
    </row>
    <row r="814" spans="6:10">
      <c r="F814" s="611"/>
      <c r="H814" s="611"/>
      <c r="J814" s="611"/>
    </row>
    <row r="815" spans="6:10">
      <c r="F815" s="611"/>
      <c r="H815" s="611"/>
      <c r="J815" s="611"/>
    </row>
    <row r="816" spans="6:10">
      <c r="F816" s="611"/>
      <c r="H816" s="611"/>
      <c r="J816" s="611"/>
    </row>
    <row r="817" spans="6:10">
      <c r="F817" s="611"/>
      <c r="H817" s="611"/>
      <c r="J817" s="611"/>
    </row>
    <row r="818" spans="6:10">
      <c r="F818" s="611"/>
      <c r="H818" s="611"/>
      <c r="J818" s="611"/>
    </row>
    <row r="819" spans="6:10">
      <c r="F819" s="611"/>
      <c r="H819" s="611"/>
      <c r="J819" s="611"/>
    </row>
    <row r="820" spans="6:10">
      <c r="F820" s="611"/>
      <c r="H820" s="611"/>
      <c r="J820" s="611"/>
    </row>
    <row r="821" spans="6:10">
      <c r="F821" s="611"/>
      <c r="H821" s="611"/>
      <c r="J821" s="611"/>
    </row>
    <row r="822" spans="6:10">
      <c r="F822" s="611"/>
      <c r="H822" s="611"/>
      <c r="J822" s="611"/>
    </row>
    <row r="823" spans="6:10">
      <c r="F823" s="611"/>
      <c r="H823" s="611"/>
      <c r="J823" s="611"/>
    </row>
    <row r="824" spans="6:10">
      <c r="F824" s="611"/>
      <c r="H824" s="611"/>
      <c r="J824" s="611"/>
    </row>
    <row r="825" spans="6:10">
      <c r="F825" s="611"/>
      <c r="H825" s="611"/>
      <c r="J825" s="611"/>
    </row>
    <row r="826" spans="6:10">
      <c r="F826" s="611"/>
      <c r="H826" s="611"/>
      <c r="J826" s="611"/>
    </row>
    <row r="827" spans="6:10">
      <c r="F827" s="611"/>
      <c r="H827" s="611"/>
      <c r="J827" s="611"/>
    </row>
    <row r="828" spans="6:10">
      <c r="F828" s="611"/>
      <c r="H828" s="611"/>
      <c r="J828" s="611"/>
    </row>
    <row r="829" spans="6:10">
      <c r="F829" s="611"/>
      <c r="H829" s="611"/>
      <c r="J829" s="611"/>
    </row>
    <row r="830" spans="6:10">
      <c r="F830" s="611"/>
      <c r="H830" s="611"/>
      <c r="J830" s="611"/>
    </row>
    <row r="831" spans="6:10">
      <c r="F831" s="611"/>
      <c r="H831" s="611"/>
      <c r="J831" s="611"/>
    </row>
    <row r="832" spans="6:10">
      <c r="F832" s="611"/>
      <c r="H832" s="611"/>
      <c r="J832" s="611"/>
    </row>
    <row r="833" spans="6:10">
      <c r="F833" s="611"/>
      <c r="H833" s="611"/>
      <c r="J833" s="611"/>
    </row>
    <row r="834" spans="6:10">
      <c r="F834" s="611"/>
      <c r="H834" s="611"/>
      <c r="J834" s="611"/>
    </row>
    <row r="835" spans="6:10">
      <c r="F835" s="611"/>
      <c r="H835" s="611"/>
      <c r="J835" s="611"/>
    </row>
    <row r="836" spans="6:10">
      <c r="F836" s="611"/>
      <c r="H836" s="611"/>
      <c r="J836" s="611"/>
    </row>
    <row r="837" spans="6:10">
      <c r="F837" s="611"/>
      <c r="H837" s="611"/>
      <c r="J837" s="611"/>
    </row>
    <row r="838" spans="6:10">
      <c r="F838" s="611"/>
      <c r="H838" s="611"/>
      <c r="J838" s="611"/>
    </row>
    <row r="839" spans="6:10">
      <c r="F839" s="611"/>
      <c r="H839" s="611"/>
      <c r="J839" s="611"/>
    </row>
    <row r="840" spans="6:10">
      <c r="F840" s="611"/>
      <c r="H840" s="611"/>
      <c r="J840" s="611"/>
    </row>
    <row r="841" spans="6:10">
      <c r="F841" s="611"/>
      <c r="H841" s="611"/>
      <c r="J841" s="611"/>
    </row>
    <row r="842" spans="6:10">
      <c r="F842" s="611"/>
      <c r="H842" s="611"/>
      <c r="J842" s="611"/>
    </row>
    <row r="843" spans="6:10">
      <c r="F843" s="611"/>
      <c r="H843" s="611"/>
      <c r="J843" s="611"/>
    </row>
    <row r="844" spans="6:10">
      <c r="F844" s="611"/>
      <c r="H844" s="611"/>
      <c r="J844" s="611"/>
    </row>
    <row r="845" spans="6:10">
      <c r="F845" s="611"/>
      <c r="H845" s="611"/>
      <c r="J845" s="611"/>
    </row>
    <row r="846" spans="6:10">
      <c r="F846" s="611"/>
      <c r="H846" s="611"/>
      <c r="J846" s="611"/>
    </row>
    <row r="847" spans="6:10">
      <c r="F847" s="611"/>
      <c r="H847" s="611"/>
      <c r="J847" s="611"/>
    </row>
    <row r="848" spans="6:10">
      <c r="F848" s="611"/>
      <c r="H848" s="611"/>
      <c r="J848" s="611"/>
    </row>
    <row r="849" spans="6:10">
      <c r="F849" s="611"/>
      <c r="H849" s="611"/>
      <c r="J849" s="611"/>
    </row>
    <row r="850" spans="6:10">
      <c r="F850" s="611"/>
      <c r="H850" s="611"/>
      <c r="J850" s="611"/>
    </row>
    <row r="851" spans="6:10">
      <c r="F851" s="611"/>
      <c r="H851" s="611"/>
      <c r="J851" s="611"/>
    </row>
    <row r="852" spans="6:10">
      <c r="F852" s="611"/>
      <c r="H852" s="611"/>
      <c r="J852" s="611"/>
    </row>
    <row r="853" spans="6:10">
      <c r="F853" s="611"/>
      <c r="H853" s="611"/>
      <c r="J853" s="611"/>
    </row>
    <row r="854" spans="6:10">
      <c r="F854" s="611"/>
      <c r="H854" s="611"/>
      <c r="J854" s="611"/>
    </row>
    <row r="855" spans="6:10">
      <c r="F855" s="611"/>
      <c r="H855" s="611"/>
      <c r="J855" s="611"/>
    </row>
    <row r="856" spans="6:10">
      <c r="F856" s="611"/>
      <c r="H856" s="611"/>
      <c r="J856" s="611"/>
    </row>
    <row r="857" spans="6:10">
      <c r="F857" s="611"/>
      <c r="H857" s="611"/>
      <c r="J857" s="611"/>
    </row>
    <row r="858" spans="6:10">
      <c r="F858" s="611"/>
      <c r="H858" s="611"/>
      <c r="J858" s="611"/>
    </row>
    <row r="859" spans="6:10">
      <c r="F859" s="611"/>
      <c r="H859" s="611"/>
      <c r="J859" s="611"/>
    </row>
    <row r="860" spans="6:10">
      <c r="F860" s="611"/>
      <c r="H860" s="611"/>
      <c r="J860" s="611"/>
    </row>
    <row r="861" spans="6:10">
      <c r="F861" s="611"/>
      <c r="H861" s="611"/>
      <c r="J861" s="611"/>
    </row>
    <row r="862" spans="6:10">
      <c r="F862" s="611"/>
      <c r="H862" s="611"/>
      <c r="J862" s="611"/>
    </row>
    <row r="863" spans="6:10">
      <c r="F863" s="611"/>
      <c r="H863" s="611"/>
      <c r="J863" s="611"/>
    </row>
    <row r="864" spans="6:10">
      <c r="F864" s="611"/>
      <c r="H864" s="611"/>
      <c r="J864" s="611"/>
    </row>
    <row r="865" spans="6:10">
      <c r="F865" s="611"/>
      <c r="H865" s="611"/>
      <c r="J865" s="611"/>
    </row>
    <row r="866" spans="6:10">
      <c r="F866" s="611"/>
      <c r="H866" s="611"/>
      <c r="J866" s="611"/>
    </row>
    <row r="867" spans="6:10">
      <c r="F867" s="611"/>
      <c r="H867" s="611"/>
      <c r="J867" s="611"/>
    </row>
    <row r="868" spans="6:10">
      <c r="F868" s="611"/>
      <c r="H868" s="611"/>
      <c r="J868" s="611"/>
    </row>
    <row r="869" spans="6:10">
      <c r="F869" s="611"/>
      <c r="H869" s="611"/>
      <c r="J869" s="611"/>
    </row>
    <row r="870" spans="6:10">
      <c r="F870" s="611"/>
      <c r="H870" s="611"/>
      <c r="J870" s="611"/>
    </row>
    <row r="871" spans="6:10">
      <c r="F871" s="611"/>
      <c r="H871" s="611"/>
      <c r="J871" s="611"/>
    </row>
    <row r="872" spans="6:10">
      <c r="F872" s="611"/>
      <c r="H872" s="611"/>
      <c r="J872" s="611"/>
    </row>
    <row r="873" spans="6:10">
      <c r="F873" s="611"/>
      <c r="H873" s="611"/>
      <c r="J873" s="611"/>
    </row>
    <row r="874" spans="6:10">
      <c r="F874" s="611"/>
      <c r="H874" s="611"/>
      <c r="J874" s="611"/>
    </row>
    <row r="875" spans="6:10">
      <c r="F875" s="611"/>
      <c r="H875" s="611"/>
      <c r="J875" s="611"/>
    </row>
    <row r="876" spans="6:10">
      <c r="F876" s="611"/>
      <c r="H876" s="611"/>
      <c r="J876" s="611"/>
    </row>
    <row r="877" spans="6:10">
      <c r="F877" s="611"/>
      <c r="H877" s="611"/>
      <c r="J877" s="611"/>
    </row>
    <row r="878" spans="6:10">
      <c r="F878" s="611"/>
      <c r="H878" s="611"/>
      <c r="J878" s="611"/>
    </row>
    <row r="879" spans="6:10">
      <c r="F879" s="611"/>
      <c r="H879" s="611"/>
      <c r="J879" s="611"/>
    </row>
    <row r="880" spans="6:10">
      <c r="F880" s="611"/>
      <c r="H880" s="611"/>
      <c r="J880" s="611"/>
    </row>
    <row r="881" spans="6:10">
      <c r="F881" s="611"/>
      <c r="H881" s="611"/>
      <c r="J881" s="611"/>
    </row>
    <row r="882" spans="6:10">
      <c r="F882" s="611"/>
      <c r="H882" s="611"/>
      <c r="J882" s="611"/>
    </row>
    <row r="883" spans="6:10">
      <c r="F883" s="611"/>
      <c r="H883" s="611"/>
      <c r="J883" s="611"/>
    </row>
    <row r="884" spans="6:10">
      <c r="F884" s="611"/>
      <c r="H884" s="611"/>
      <c r="J884" s="611"/>
    </row>
    <row r="885" spans="6:10">
      <c r="F885" s="611"/>
      <c r="H885" s="611"/>
      <c r="J885" s="611"/>
    </row>
    <row r="886" spans="6:10">
      <c r="F886" s="611"/>
      <c r="H886" s="611"/>
      <c r="J886" s="611"/>
    </row>
    <row r="887" spans="6:10">
      <c r="F887" s="611"/>
      <c r="H887" s="611"/>
      <c r="J887" s="611"/>
    </row>
    <row r="888" spans="6:10">
      <c r="F888" s="611"/>
      <c r="H888" s="611"/>
      <c r="J888" s="611"/>
    </row>
    <row r="889" spans="6:10">
      <c r="F889" s="611"/>
      <c r="H889" s="611"/>
      <c r="J889" s="611"/>
    </row>
    <row r="890" spans="6:10">
      <c r="F890" s="611"/>
      <c r="H890" s="611"/>
      <c r="J890" s="611"/>
    </row>
    <row r="891" spans="6:10">
      <c r="F891" s="611"/>
      <c r="H891" s="611"/>
      <c r="J891" s="611"/>
    </row>
    <row r="892" spans="6:10">
      <c r="F892" s="611"/>
      <c r="H892" s="611"/>
      <c r="J892" s="611"/>
    </row>
    <row r="893" spans="6:10">
      <c r="F893" s="611"/>
      <c r="H893" s="611"/>
      <c r="J893" s="611"/>
    </row>
    <row r="894" spans="6:10">
      <c r="F894" s="611"/>
      <c r="H894" s="611"/>
      <c r="J894" s="611"/>
    </row>
    <row r="895" spans="6:10">
      <c r="F895" s="611"/>
      <c r="H895" s="611"/>
      <c r="J895" s="611"/>
    </row>
    <row r="896" spans="6:10">
      <c r="F896" s="611"/>
      <c r="H896" s="611"/>
      <c r="J896" s="611"/>
    </row>
    <row r="897" spans="6:10">
      <c r="F897" s="611"/>
      <c r="H897" s="611"/>
      <c r="J897" s="611"/>
    </row>
    <row r="898" spans="6:10">
      <c r="F898" s="611"/>
      <c r="H898" s="611"/>
      <c r="J898" s="611"/>
    </row>
    <row r="899" spans="6:10">
      <c r="F899" s="611"/>
      <c r="H899" s="611"/>
      <c r="J899" s="611"/>
    </row>
    <row r="900" spans="6:10">
      <c r="F900" s="611"/>
      <c r="H900" s="611"/>
      <c r="J900" s="611"/>
    </row>
    <row r="901" spans="6:10">
      <c r="F901" s="611"/>
      <c r="H901" s="611"/>
      <c r="J901" s="611"/>
    </row>
    <row r="902" spans="6:10">
      <c r="F902" s="611"/>
      <c r="H902" s="611"/>
      <c r="J902" s="611"/>
    </row>
    <row r="903" spans="6:10">
      <c r="F903" s="611"/>
      <c r="H903" s="611"/>
      <c r="J903" s="611"/>
    </row>
    <row r="904" spans="6:10">
      <c r="F904" s="611"/>
      <c r="H904" s="611"/>
      <c r="J904" s="611"/>
    </row>
    <row r="905" spans="6:10">
      <c r="F905" s="611"/>
      <c r="H905" s="611"/>
      <c r="J905" s="611"/>
    </row>
    <row r="906" spans="6:10">
      <c r="F906" s="611"/>
      <c r="H906" s="611"/>
      <c r="J906" s="611"/>
    </row>
    <row r="907" spans="6:10">
      <c r="F907" s="611"/>
      <c r="H907" s="611"/>
      <c r="J907" s="611"/>
    </row>
    <row r="908" spans="6:10">
      <c r="F908" s="611"/>
      <c r="H908" s="611"/>
      <c r="J908" s="611"/>
    </row>
    <row r="909" spans="6:10">
      <c r="F909" s="611"/>
      <c r="H909" s="611"/>
      <c r="J909" s="611"/>
    </row>
    <row r="910" spans="6:10">
      <c r="F910" s="611"/>
      <c r="H910" s="611"/>
      <c r="J910" s="611"/>
    </row>
    <row r="911" spans="6:10">
      <c r="F911" s="611"/>
      <c r="H911" s="611"/>
      <c r="J911" s="611"/>
    </row>
    <row r="912" spans="6:10">
      <c r="F912" s="611"/>
      <c r="H912" s="611"/>
      <c r="J912" s="611"/>
    </row>
    <row r="913" spans="6:10">
      <c r="F913" s="611"/>
      <c r="H913" s="611"/>
      <c r="J913" s="611"/>
    </row>
    <row r="914" spans="6:10">
      <c r="F914" s="611"/>
      <c r="H914" s="611"/>
      <c r="J914" s="611"/>
    </row>
    <row r="915" spans="6:10">
      <c r="F915" s="611"/>
      <c r="H915" s="611"/>
      <c r="J915" s="611"/>
    </row>
    <row r="916" spans="6:10">
      <c r="F916" s="611"/>
      <c r="H916" s="611"/>
      <c r="J916" s="611"/>
    </row>
    <row r="917" spans="6:10">
      <c r="F917" s="611"/>
      <c r="H917" s="611"/>
      <c r="J917" s="611"/>
    </row>
    <row r="918" spans="6:10">
      <c r="F918" s="611"/>
      <c r="H918" s="611"/>
      <c r="J918" s="611"/>
    </row>
    <row r="919" spans="6:10">
      <c r="F919" s="611"/>
      <c r="H919" s="611"/>
      <c r="J919" s="611"/>
    </row>
    <row r="920" spans="6:10">
      <c r="F920" s="611"/>
      <c r="H920" s="611"/>
      <c r="J920" s="611"/>
    </row>
    <row r="921" spans="6:10">
      <c r="F921" s="611"/>
      <c r="H921" s="611"/>
      <c r="J921" s="611"/>
    </row>
    <row r="922" spans="6:10">
      <c r="F922" s="611"/>
      <c r="H922" s="611"/>
      <c r="J922" s="611"/>
    </row>
    <row r="923" spans="6:10">
      <c r="F923" s="611"/>
      <c r="H923" s="611"/>
      <c r="J923" s="611"/>
    </row>
    <row r="924" spans="6:10">
      <c r="F924" s="611"/>
      <c r="H924" s="611"/>
      <c r="J924" s="611"/>
    </row>
    <row r="925" spans="6:10">
      <c r="F925" s="611"/>
      <c r="H925" s="611"/>
      <c r="J925" s="611"/>
    </row>
    <row r="926" spans="6:10">
      <c r="F926" s="611"/>
      <c r="H926" s="611"/>
      <c r="J926" s="611"/>
    </row>
    <row r="927" spans="6:10">
      <c r="F927" s="611"/>
      <c r="H927" s="611"/>
      <c r="J927" s="611"/>
    </row>
    <row r="928" spans="6:10">
      <c r="F928" s="611"/>
      <c r="H928" s="611"/>
      <c r="J928" s="611"/>
    </row>
    <row r="929" spans="6:10">
      <c r="F929" s="611"/>
      <c r="H929" s="611"/>
      <c r="J929" s="611"/>
    </row>
    <row r="930" spans="6:10">
      <c r="F930" s="611"/>
      <c r="H930" s="611"/>
      <c r="J930" s="611"/>
    </row>
    <row r="931" spans="6:10">
      <c r="F931" s="611"/>
      <c r="H931" s="611"/>
      <c r="J931" s="611"/>
    </row>
    <row r="932" spans="6:10">
      <c r="F932" s="611"/>
      <c r="H932" s="611"/>
      <c r="J932" s="611"/>
    </row>
    <row r="933" spans="6:10">
      <c r="F933" s="611"/>
      <c r="H933" s="611"/>
      <c r="J933" s="611"/>
    </row>
    <row r="934" spans="6:10">
      <c r="F934" s="611"/>
      <c r="H934" s="611"/>
      <c r="J934" s="611"/>
    </row>
    <row r="935" spans="6:10">
      <c r="F935" s="611"/>
      <c r="H935" s="611"/>
      <c r="J935" s="611"/>
    </row>
    <row r="936" spans="6:10">
      <c r="F936" s="611"/>
      <c r="H936" s="611"/>
      <c r="J936" s="611"/>
    </row>
    <row r="937" spans="6:10">
      <c r="F937" s="611"/>
      <c r="H937" s="611"/>
      <c r="J937" s="611"/>
    </row>
    <row r="938" spans="6:10">
      <c r="F938" s="611"/>
      <c r="H938" s="611"/>
      <c r="J938" s="611"/>
    </row>
    <row r="939" spans="6:10">
      <c r="F939" s="611"/>
      <c r="H939" s="611"/>
      <c r="J939" s="611"/>
    </row>
    <row r="940" spans="6:10">
      <c r="F940" s="611"/>
      <c r="H940" s="611"/>
      <c r="J940" s="611"/>
    </row>
    <row r="941" spans="6:10">
      <c r="F941" s="611"/>
      <c r="H941" s="611"/>
      <c r="J941" s="611"/>
    </row>
    <row r="942" spans="6:10">
      <c r="F942" s="611"/>
      <c r="H942" s="611"/>
      <c r="J942" s="611"/>
    </row>
    <row r="943" spans="6:10">
      <c r="F943" s="611"/>
      <c r="H943" s="611"/>
      <c r="J943" s="611"/>
    </row>
    <row r="944" spans="6:10">
      <c r="F944" s="611"/>
      <c r="H944" s="611"/>
      <c r="J944" s="611"/>
    </row>
    <row r="945" spans="6:10">
      <c r="F945" s="611"/>
      <c r="H945" s="611"/>
      <c r="J945" s="611"/>
    </row>
    <row r="946" spans="6:10">
      <c r="F946" s="611"/>
      <c r="H946" s="611"/>
      <c r="J946" s="611"/>
    </row>
    <row r="947" spans="6:10">
      <c r="F947" s="611"/>
      <c r="H947" s="611"/>
      <c r="J947" s="611"/>
    </row>
    <row r="948" spans="6:10">
      <c r="F948" s="611"/>
      <c r="H948" s="611"/>
      <c r="J948" s="611"/>
    </row>
    <row r="949" spans="6:10">
      <c r="F949" s="611"/>
      <c r="H949" s="611"/>
      <c r="J949" s="611"/>
    </row>
    <row r="950" spans="6:10">
      <c r="F950" s="611"/>
      <c r="H950" s="611"/>
      <c r="J950" s="611"/>
    </row>
    <row r="951" spans="6:10">
      <c r="F951" s="611"/>
      <c r="H951" s="611"/>
      <c r="J951" s="611"/>
    </row>
    <row r="952" spans="6:10">
      <c r="F952" s="611"/>
      <c r="H952" s="611"/>
      <c r="J952" s="611"/>
    </row>
    <row r="953" spans="6:10">
      <c r="F953" s="611"/>
      <c r="H953" s="611"/>
      <c r="J953" s="611"/>
    </row>
    <row r="954" spans="6:10">
      <c r="F954" s="611"/>
      <c r="H954" s="611"/>
      <c r="J954" s="611"/>
    </row>
    <row r="955" spans="6:10">
      <c r="F955" s="611"/>
      <c r="H955" s="611"/>
      <c r="J955" s="611"/>
    </row>
    <row r="956" spans="6:10">
      <c r="F956" s="611"/>
      <c r="H956" s="611"/>
      <c r="J956" s="611"/>
    </row>
    <row r="957" spans="6:10">
      <c r="F957" s="611"/>
      <c r="H957" s="611"/>
      <c r="J957" s="611"/>
    </row>
    <row r="958" spans="6:10">
      <c r="F958" s="611"/>
      <c r="H958" s="611"/>
      <c r="J958" s="611"/>
    </row>
    <row r="959" spans="6:10">
      <c r="F959" s="611"/>
      <c r="H959" s="611"/>
      <c r="J959" s="611"/>
    </row>
    <row r="960" spans="6:10">
      <c r="F960" s="611"/>
      <c r="H960" s="611"/>
      <c r="J960" s="611"/>
    </row>
    <row r="961" spans="6:10">
      <c r="F961" s="611"/>
      <c r="H961" s="611"/>
      <c r="J961" s="611"/>
    </row>
    <row r="962" spans="6:10">
      <c r="F962" s="611"/>
      <c r="H962" s="611"/>
      <c r="J962" s="611"/>
    </row>
    <row r="963" spans="6:10">
      <c r="F963" s="611"/>
      <c r="H963" s="611"/>
      <c r="J963" s="611"/>
    </row>
    <row r="964" spans="6:10">
      <c r="F964" s="611"/>
      <c r="H964" s="611"/>
      <c r="J964" s="611"/>
    </row>
    <row r="965" spans="6:10">
      <c r="F965" s="611"/>
      <c r="H965" s="611"/>
      <c r="J965" s="611"/>
    </row>
    <row r="966" spans="6:10">
      <c r="F966" s="611"/>
      <c r="H966" s="611"/>
      <c r="J966" s="611"/>
    </row>
    <row r="967" spans="6:10">
      <c r="F967" s="611"/>
      <c r="H967" s="611"/>
      <c r="J967" s="611"/>
    </row>
    <row r="968" spans="6:10">
      <c r="F968" s="611"/>
      <c r="H968" s="611"/>
      <c r="J968" s="611"/>
    </row>
    <row r="969" spans="6:10">
      <c r="F969" s="611"/>
      <c r="H969" s="611"/>
      <c r="J969" s="611"/>
    </row>
    <row r="970" spans="6:10">
      <c r="F970" s="611"/>
      <c r="H970" s="611"/>
      <c r="J970" s="611"/>
    </row>
    <row r="971" spans="6:10">
      <c r="F971" s="611"/>
      <c r="H971" s="611"/>
      <c r="J971" s="611"/>
    </row>
    <row r="972" spans="6:10">
      <c r="F972" s="611"/>
      <c r="H972" s="611"/>
      <c r="J972" s="611"/>
    </row>
    <row r="973" spans="6:10">
      <c r="F973" s="611"/>
      <c r="H973" s="611"/>
      <c r="J973" s="611"/>
    </row>
    <row r="974" spans="6:10">
      <c r="F974" s="611"/>
      <c r="H974" s="611"/>
      <c r="J974" s="611"/>
    </row>
    <row r="975" spans="6:10">
      <c r="F975" s="611"/>
      <c r="H975" s="611"/>
      <c r="J975" s="611"/>
    </row>
    <row r="976" spans="6:10">
      <c r="F976" s="611"/>
      <c r="H976" s="611"/>
      <c r="J976" s="611"/>
    </row>
    <row r="977" spans="6:10">
      <c r="F977" s="611"/>
      <c r="H977" s="611"/>
      <c r="J977" s="611"/>
    </row>
    <row r="978" spans="6:10">
      <c r="F978" s="611"/>
      <c r="H978" s="611"/>
      <c r="J978" s="611"/>
    </row>
    <row r="979" spans="6:10">
      <c r="F979" s="611"/>
      <c r="H979" s="611"/>
      <c r="J979" s="611"/>
    </row>
    <row r="980" spans="6:10">
      <c r="F980" s="611"/>
      <c r="H980" s="611"/>
      <c r="J980" s="611"/>
    </row>
    <row r="981" spans="6:10">
      <c r="F981" s="611"/>
      <c r="H981" s="611"/>
      <c r="J981" s="611"/>
    </row>
    <row r="982" spans="6:10">
      <c r="F982" s="611"/>
      <c r="H982" s="611"/>
      <c r="J982" s="611"/>
    </row>
    <row r="983" spans="6:10">
      <c r="F983" s="611"/>
      <c r="H983" s="611"/>
      <c r="J983" s="611"/>
    </row>
    <row r="984" spans="6:10">
      <c r="F984" s="611"/>
      <c r="H984" s="611"/>
      <c r="J984" s="611"/>
    </row>
    <row r="985" spans="6:10">
      <c r="F985" s="611"/>
      <c r="H985" s="611"/>
      <c r="J985" s="611"/>
    </row>
    <row r="986" spans="6:10">
      <c r="F986" s="611"/>
      <c r="H986" s="611"/>
      <c r="J986" s="611"/>
    </row>
    <row r="987" spans="6:10">
      <c r="F987" s="611"/>
      <c r="H987" s="611"/>
      <c r="J987" s="611"/>
    </row>
    <row r="988" spans="6:10">
      <c r="F988" s="611"/>
      <c r="H988" s="611"/>
      <c r="J988" s="611"/>
    </row>
    <row r="989" spans="6:10">
      <c r="F989" s="611"/>
      <c r="H989" s="611"/>
      <c r="J989" s="611"/>
    </row>
    <row r="990" spans="6:10">
      <c r="F990" s="611"/>
      <c r="H990" s="611"/>
      <c r="J990" s="611"/>
    </row>
    <row r="991" spans="6:10">
      <c r="F991" s="611"/>
      <c r="H991" s="611"/>
      <c r="J991" s="611"/>
    </row>
    <row r="992" spans="6:10">
      <c r="F992" s="611"/>
      <c r="H992" s="611"/>
      <c r="J992" s="611"/>
    </row>
    <row r="993" spans="6:10">
      <c r="F993" s="611"/>
      <c r="H993" s="611"/>
      <c r="J993" s="611"/>
    </row>
    <row r="994" spans="6:10">
      <c r="F994" s="611"/>
      <c r="H994" s="611"/>
      <c r="J994" s="611"/>
    </row>
    <row r="995" spans="6:10">
      <c r="F995" s="611"/>
      <c r="H995" s="611"/>
      <c r="J995" s="611"/>
    </row>
    <row r="996" spans="6:10">
      <c r="F996" s="611"/>
      <c r="H996" s="611"/>
      <c r="J996" s="611"/>
    </row>
    <row r="997" spans="6:10">
      <c r="F997" s="611"/>
      <c r="H997" s="611"/>
      <c r="J997" s="611"/>
    </row>
    <row r="998" spans="6:10">
      <c r="F998" s="611"/>
      <c r="H998" s="611"/>
      <c r="J998" s="611"/>
    </row>
    <row r="999" spans="6:10">
      <c r="F999" s="611"/>
      <c r="H999" s="611"/>
      <c r="J999" s="611"/>
    </row>
    <row r="1000" spans="6:10">
      <c r="F1000" s="611"/>
      <c r="H1000" s="611"/>
      <c r="J1000" s="611"/>
    </row>
    <row r="1001" spans="6:10">
      <c r="F1001" s="611"/>
      <c r="H1001" s="611"/>
      <c r="J1001" s="611"/>
    </row>
    <row r="1002" spans="6:10">
      <c r="F1002" s="611"/>
      <c r="H1002" s="611"/>
      <c r="J1002" s="611"/>
    </row>
    <row r="1003" spans="6:10">
      <c r="F1003" s="611"/>
      <c r="H1003" s="611"/>
      <c r="J1003" s="611"/>
    </row>
    <row r="1004" spans="6:10">
      <c r="F1004" s="611"/>
      <c r="H1004" s="611"/>
      <c r="J1004" s="611"/>
    </row>
    <row r="1005" spans="6:10">
      <c r="F1005" s="611"/>
      <c r="H1005" s="611"/>
      <c r="J1005" s="611"/>
    </row>
    <row r="1006" spans="6:10">
      <c r="F1006" s="611"/>
      <c r="H1006" s="611"/>
      <c r="J1006" s="611"/>
    </row>
    <row r="1007" spans="6:10">
      <c r="F1007" s="611"/>
      <c r="H1007" s="611"/>
      <c r="J1007" s="611"/>
    </row>
    <row r="1008" spans="6:10">
      <c r="F1008" s="611"/>
      <c r="H1008" s="611"/>
      <c r="J1008" s="611"/>
    </row>
    <row r="1009" spans="6:10">
      <c r="F1009" s="611"/>
      <c r="H1009" s="611"/>
      <c r="J1009" s="611"/>
    </row>
    <row r="1010" spans="6:10">
      <c r="F1010" s="611"/>
      <c r="H1010" s="611"/>
      <c r="J1010" s="611"/>
    </row>
    <row r="1011" spans="6:10">
      <c r="F1011" s="611"/>
      <c r="H1011" s="611"/>
      <c r="J1011" s="611"/>
    </row>
    <row r="1012" spans="6:10">
      <c r="F1012" s="611"/>
      <c r="H1012" s="611"/>
      <c r="J1012" s="611"/>
    </row>
    <row r="1013" spans="6:10">
      <c r="F1013" s="611"/>
      <c r="H1013" s="611"/>
      <c r="J1013" s="611"/>
    </row>
    <row r="1014" spans="6:10">
      <c r="F1014" s="611"/>
      <c r="H1014" s="611"/>
      <c r="J1014" s="611"/>
    </row>
    <row r="1015" spans="6:10">
      <c r="F1015" s="611"/>
      <c r="H1015" s="611"/>
      <c r="J1015" s="611"/>
    </row>
    <row r="1016" spans="6:10">
      <c r="F1016" s="611"/>
      <c r="H1016" s="611"/>
      <c r="J1016" s="611"/>
    </row>
    <row r="1017" spans="6:10">
      <c r="F1017" s="611"/>
      <c r="H1017" s="611"/>
      <c r="J1017" s="611"/>
    </row>
    <row r="1018" spans="6:10">
      <c r="F1018" s="611"/>
      <c r="H1018" s="611"/>
      <c r="J1018" s="611"/>
    </row>
    <row r="1019" spans="6:10">
      <c r="F1019" s="611"/>
      <c r="H1019" s="611"/>
      <c r="J1019" s="611"/>
    </row>
    <row r="1020" spans="6:10">
      <c r="F1020" s="611"/>
      <c r="H1020" s="611"/>
      <c r="J1020" s="611"/>
    </row>
    <row r="1021" spans="6:10">
      <c r="F1021" s="611"/>
      <c r="H1021" s="611"/>
      <c r="J1021" s="611"/>
    </row>
    <row r="1022" spans="6:10">
      <c r="F1022" s="611"/>
      <c r="H1022" s="611"/>
      <c r="J1022" s="611"/>
    </row>
    <row r="1023" spans="6:10">
      <c r="F1023" s="611"/>
      <c r="H1023" s="611"/>
      <c r="J1023" s="611"/>
    </row>
    <row r="1024" spans="6:10">
      <c r="F1024" s="611"/>
      <c r="H1024" s="611"/>
      <c r="J1024" s="611"/>
    </row>
    <row r="1025" spans="6:10">
      <c r="F1025" s="611"/>
      <c r="H1025" s="611"/>
      <c r="J1025" s="611"/>
    </row>
    <row r="1026" spans="6:10">
      <c r="F1026" s="611"/>
      <c r="H1026" s="611"/>
      <c r="J1026" s="611"/>
    </row>
    <row r="1027" spans="6:10">
      <c r="F1027" s="611"/>
      <c r="H1027" s="611"/>
      <c r="J1027" s="611"/>
    </row>
    <row r="1028" spans="6:10">
      <c r="F1028" s="611"/>
      <c r="H1028" s="611"/>
      <c r="J1028" s="611"/>
    </row>
    <row r="1029" spans="6:10">
      <c r="F1029" s="611"/>
      <c r="H1029" s="611"/>
      <c r="J1029" s="611"/>
    </row>
    <row r="1030" spans="6:10">
      <c r="F1030" s="611"/>
      <c r="H1030" s="611"/>
      <c r="J1030" s="611"/>
    </row>
    <row r="1031" spans="6:10">
      <c r="F1031" s="611"/>
      <c r="H1031" s="611"/>
      <c r="J1031" s="611"/>
    </row>
    <row r="1032" spans="6:10">
      <c r="F1032" s="611"/>
      <c r="H1032" s="611"/>
      <c r="J1032" s="611"/>
    </row>
    <row r="1033" spans="6:10">
      <c r="F1033" s="611"/>
      <c r="H1033" s="611"/>
      <c r="J1033" s="611"/>
    </row>
    <row r="1034" spans="6:10">
      <c r="F1034" s="611"/>
      <c r="H1034" s="611"/>
      <c r="J1034" s="611"/>
    </row>
    <row r="1035" spans="6:10">
      <c r="F1035" s="611"/>
      <c r="H1035" s="611"/>
      <c r="J1035" s="611"/>
    </row>
    <row r="1036" spans="6:10">
      <c r="F1036" s="611"/>
      <c r="H1036" s="611"/>
      <c r="J1036" s="611"/>
    </row>
    <row r="1037" spans="6:10">
      <c r="F1037" s="611"/>
      <c r="H1037" s="611"/>
      <c r="J1037" s="611"/>
    </row>
    <row r="1038" spans="6:10">
      <c r="F1038" s="611"/>
      <c r="H1038" s="611"/>
      <c r="J1038" s="611"/>
    </row>
    <row r="1039" spans="6:10">
      <c r="F1039" s="611"/>
      <c r="H1039" s="611"/>
      <c r="J1039" s="611"/>
    </row>
    <row r="1040" spans="6:10">
      <c r="F1040" s="611"/>
      <c r="H1040" s="611"/>
      <c r="J1040" s="611"/>
    </row>
    <row r="1041" spans="6:10">
      <c r="F1041" s="611"/>
      <c r="H1041" s="611"/>
      <c r="J1041" s="611"/>
    </row>
    <row r="1042" spans="6:10">
      <c r="F1042" s="611"/>
      <c r="H1042" s="611"/>
      <c r="J1042" s="611"/>
    </row>
    <row r="1043" spans="6:10">
      <c r="F1043" s="611"/>
      <c r="H1043" s="611"/>
      <c r="J1043" s="611"/>
    </row>
    <row r="1044" spans="6:10">
      <c r="F1044" s="611"/>
      <c r="H1044" s="611"/>
      <c r="J1044" s="611"/>
    </row>
    <row r="1045" spans="6:10">
      <c r="F1045" s="611"/>
      <c r="H1045" s="611"/>
      <c r="J1045" s="611"/>
    </row>
    <row r="1046" spans="6:10">
      <c r="F1046" s="611"/>
      <c r="H1046" s="611"/>
      <c r="J1046" s="611"/>
    </row>
    <row r="1047" spans="6:10">
      <c r="F1047" s="611"/>
      <c r="H1047" s="611"/>
      <c r="J1047" s="611"/>
    </row>
    <row r="1048" spans="6:10">
      <c r="F1048" s="611"/>
      <c r="H1048" s="611"/>
      <c r="J1048" s="611"/>
    </row>
    <row r="1049" spans="6:10">
      <c r="F1049" s="611"/>
      <c r="H1049" s="611"/>
      <c r="J1049" s="611"/>
    </row>
    <row r="1050" spans="6:10">
      <c r="F1050" s="611"/>
      <c r="H1050" s="611"/>
      <c r="J1050" s="611"/>
    </row>
    <row r="1051" spans="6:10">
      <c r="F1051" s="611"/>
      <c r="H1051" s="611"/>
      <c r="J1051" s="611"/>
    </row>
    <row r="1052" spans="6:10">
      <c r="F1052" s="611"/>
      <c r="H1052" s="611"/>
      <c r="J1052" s="611"/>
    </row>
    <row r="1053" spans="6:10">
      <c r="F1053" s="611"/>
      <c r="H1053" s="611"/>
      <c r="J1053" s="611"/>
    </row>
    <row r="1054" spans="6:10">
      <c r="F1054" s="611"/>
      <c r="H1054" s="611"/>
      <c r="J1054" s="611"/>
    </row>
    <row r="1055" spans="6:10">
      <c r="F1055" s="611"/>
      <c r="H1055" s="611"/>
      <c r="J1055" s="611"/>
    </row>
    <row r="1056" spans="6:10">
      <c r="F1056" s="611"/>
      <c r="H1056" s="611"/>
      <c r="J1056" s="611"/>
    </row>
    <row r="1057" spans="6:10">
      <c r="F1057" s="611"/>
      <c r="H1057" s="611"/>
      <c r="J1057" s="611"/>
    </row>
    <row r="1058" spans="6:10">
      <c r="F1058" s="611"/>
      <c r="H1058" s="611"/>
      <c r="J1058" s="611"/>
    </row>
    <row r="1059" spans="6:10">
      <c r="F1059" s="611"/>
      <c r="H1059" s="611"/>
      <c r="J1059" s="611"/>
    </row>
    <row r="1060" spans="6:10">
      <c r="F1060" s="611"/>
      <c r="H1060" s="611"/>
      <c r="J1060" s="611"/>
    </row>
    <row r="1061" spans="6:10">
      <c r="F1061" s="611"/>
      <c r="H1061" s="611"/>
      <c r="J1061" s="611"/>
    </row>
    <row r="1062" spans="6:10">
      <c r="F1062" s="611"/>
      <c r="H1062" s="611"/>
      <c r="J1062" s="611"/>
    </row>
    <row r="1063" spans="6:10">
      <c r="F1063" s="611"/>
      <c r="H1063" s="611"/>
      <c r="J1063" s="611"/>
    </row>
    <row r="1064" spans="6:10">
      <c r="F1064" s="611"/>
      <c r="H1064" s="611"/>
      <c r="J1064" s="611"/>
    </row>
    <row r="1065" spans="6:10">
      <c r="F1065" s="611"/>
      <c r="H1065" s="611"/>
      <c r="J1065" s="611"/>
    </row>
    <row r="1066" spans="6:10">
      <c r="F1066" s="611"/>
      <c r="H1066" s="611"/>
      <c r="J1066" s="611"/>
    </row>
    <row r="1067" spans="6:10">
      <c r="F1067" s="611"/>
      <c r="H1067" s="611"/>
      <c r="J1067" s="611"/>
    </row>
    <row r="1068" spans="6:10">
      <c r="F1068" s="611"/>
      <c r="H1068" s="611"/>
      <c r="J1068" s="611"/>
    </row>
    <row r="1069" spans="6:10">
      <c r="F1069" s="611"/>
      <c r="H1069" s="611"/>
      <c r="J1069" s="611"/>
    </row>
    <row r="1070" spans="6:10">
      <c r="F1070" s="611"/>
      <c r="H1070" s="611"/>
      <c r="J1070" s="611"/>
    </row>
    <row r="1071" spans="6:10">
      <c r="F1071" s="611"/>
      <c r="H1071" s="611"/>
      <c r="J1071" s="611"/>
    </row>
    <row r="1072" spans="6:10">
      <c r="F1072" s="611"/>
      <c r="H1072" s="611"/>
      <c r="J1072" s="611"/>
    </row>
    <row r="1073" spans="6:10">
      <c r="F1073" s="611"/>
      <c r="H1073" s="611"/>
      <c r="J1073" s="611"/>
    </row>
    <row r="1074" spans="6:10">
      <c r="F1074" s="611"/>
      <c r="H1074" s="611"/>
      <c r="J1074" s="611"/>
    </row>
    <row r="1075" spans="6:10">
      <c r="F1075" s="611"/>
      <c r="H1075" s="611"/>
      <c r="J1075" s="611"/>
    </row>
    <row r="1076" spans="6:10">
      <c r="F1076" s="611"/>
      <c r="H1076" s="611"/>
      <c r="J1076" s="611"/>
    </row>
    <row r="1077" spans="6:10">
      <c r="F1077" s="611"/>
      <c r="H1077" s="611"/>
      <c r="J1077" s="611"/>
    </row>
    <row r="1078" spans="6:10">
      <c r="F1078" s="611"/>
      <c r="H1078" s="611"/>
      <c r="J1078" s="611"/>
    </row>
    <row r="1079" spans="6:10">
      <c r="F1079" s="611"/>
      <c r="H1079" s="611"/>
      <c r="J1079" s="611"/>
    </row>
    <row r="1080" spans="6:10">
      <c r="F1080" s="611"/>
      <c r="H1080" s="611"/>
      <c r="J1080" s="611"/>
    </row>
    <row r="1081" spans="6:10">
      <c r="F1081" s="611"/>
      <c r="H1081" s="611"/>
      <c r="J1081" s="611"/>
    </row>
    <row r="1082" spans="6:10">
      <c r="F1082" s="611"/>
      <c r="H1082" s="611"/>
      <c r="J1082" s="611"/>
    </row>
    <row r="1083" spans="6:10">
      <c r="F1083" s="611"/>
      <c r="H1083" s="611"/>
      <c r="J1083" s="611"/>
    </row>
    <row r="1084" spans="6:10">
      <c r="F1084" s="611"/>
      <c r="H1084" s="611"/>
      <c r="J1084" s="611"/>
    </row>
    <row r="1085" spans="6:10">
      <c r="F1085" s="611"/>
      <c r="H1085" s="611"/>
      <c r="J1085" s="611"/>
    </row>
    <row r="1086" spans="6:10">
      <c r="F1086" s="611"/>
      <c r="H1086" s="611"/>
      <c r="J1086" s="611"/>
    </row>
    <row r="1087" spans="6:10">
      <c r="F1087" s="611"/>
      <c r="H1087" s="611"/>
      <c r="J1087" s="611"/>
    </row>
    <row r="1088" spans="6:10">
      <c r="F1088" s="611"/>
      <c r="H1088" s="611"/>
      <c r="J1088" s="611"/>
    </row>
    <row r="1089" spans="6:10">
      <c r="F1089" s="611"/>
      <c r="H1089" s="611"/>
      <c r="J1089" s="611"/>
    </row>
    <row r="1090" spans="6:10">
      <c r="F1090" s="611"/>
      <c r="H1090" s="611"/>
      <c r="J1090" s="611"/>
    </row>
    <row r="1091" spans="6:10">
      <c r="F1091" s="611"/>
      <c r="H1091" s="611"/>
      <c r="J1091" s="611"/>
    </row>
    <row r="1092" spans="6:10">
      <c r="F1092" s="611"/>
      <c r="H1092" s="611"/>
      <c r="J1092" s="611"/>
    </row>
    <row r="1093" spans="6:10">
      <c r="F1093" s="611"/>
      <c r="H1093" s="611"/>
      <c r="J1093" s="611"/>
    </row>
    <row r="1094" spans="6:10">
      <c r="F1094" s="611"/>
      <c r="H1094" s="611"/>
      <c r="J1094" s="611"/>
    </row>
    <row r="1095" spans="6:10">
      <c r="F1095" s="611"/>
      <c r="H1095" s="611"/>
      <c r="J1095" s="611"/>
    </row>
    <row r="1096" spans="6:10">
      <c r="F1096" s="611"/>
      <c r="H1096" s="611"/>
      <c r="J1096" s="611"/>
    </row>
    <row r="1097" spans="6:10">
      <c r="F1097" s="611"/>
      <c r="H1097" s="611"/>
      <c r="J1097" s="611"/>
    </row>
    <row r="1098" spans="6:10">
      <c r="F1098" s="611"/>
      <c r="H1098" s="611"/>
      <c r="J1098" s="611"/>
    </row>
    <row r="1099" spans="6:10">
      <c r="F1099" s="611"/>
      <c r="H1099" s="611"/>
      <c r="J1099" s="611"/>
    </row>
    <row r="1100" spans="6:10">
      <c r="F1100" s="611"/>
      <c r="H1100" s="611"/>
      <c r="J1100" s="611"/>
    </row>
    <row r="1101" spans="6:10">
      <c r="F1101" s="611"/>
      <c r="H1101" s="611"/>
      <c r="J1101" s="611"/>
    </row>
    <row r="1102" spans="6:10">
      <c r="F1102" s="611"/>
      <c r="H1102" s="611"/>
      <c r="J1102" s="611"/>
    </row>
    <row r="1103" spans="6:10">
      <c r="F1103" s="611"/>
      <c r="H1103" s="611"/>
      <c r="J1103" s="611"/>
    </row>
    <row r="1104" spans="6:10">
      <c r="F1104" s="611"/>
      <c r="H1104" s="611"/>
      <c r="J1104" s="611"/>
    </row>
    <row r="1105" spans="6:10">
      <c r="F1105" s="611"/>
      <c r="H1105" s="611"/>
      <c r="J1105" s="611"/>
    </row>
    <row r="1106" spans="6:10">
      <c r="F1106" s="611"/>
      <c r="H1106" s="611"/>
      <c r="J1106" s="611"/>
    </row>
    <row r="1107" spans="6:10">
      <c r="F1107" s="611"/>
      <c r="H1107" s="611"/>
      <c r="J1107" s="611"/>
    </row>
    <row r="1108" spans="6:10">
      <c r="F1108" s="611"/>
      <c r="H1108" s="611"/>
      <c r="J1108" s="611"/>
    </row>
    <row r="1109" spans="6:10">
      <c r="F1109" s="611"/>
      <c r="H1109" s="611"/>
      <c r="J1109" s="611"/>
    </row>
    <row r="1110" spans="6:10">
      <c r="F1110" s="611"/>
      <c r="H1110" s="611"/>
      <c r="J1110" s="611"/>
    </row>
    <row r="1111" spans="6:10">
      <c r="F1111" s="611"/>
      <c r="H1111" s="611"/>
      <c r="J1111" s="611"/>
    </row>
    <row r="1112" spans="6:10">
      <c r="F1112" s="611"/>
      <c r="H1112" s="611"/>
      <c r="J1112" s="611"/>
    </row>
    <row r="1113" spans="6:10">
      <c r="F1113" s="611"/>
      <c r="H1113" s="611"/>
      <c r="J1113" s="611"/>
    </row>
    <row r="1114" spans="6:10">
      <c r="F1114" s="611"/>
      <c r="H1114" s="611"/>
      <c r="J1114" s="611"/>
    </row>
    <row r="1115" spans="6:10">
      <c r="F1115" s="611"/>
      <c r="H1115" s="611"/>
      <c r="J1115" s="611"/>
    </row>
    <row r="1116" spans="6:10">
      <c r="F1116" s="611"/>
      <c r="H1116" s="611"/>
      <c r="J1116" s="611"/>
    </row>
    <row r="1117" spans="6:10">
      <c r="F1117" s="611"/>
      <c r="H1117" s="611"/>
      <c r="J1117" s="611"/>
    </row>
    <row r="1118" spans="6:10">
      <c r="F1118" s="611"/>
      <c r="H1118" s="611"/>
      <c r="J1118" s="611"/>
    </row>
    <row r="1119" spans="6:10">
      <c r="F1119" s="611"/>
      <c r="H1119" s="611"/>
      <c r="J1119" s="611"/>
    </row>
    <row r="1120" spans="6:10">
      <c r="F1120" s="611"/>
      <c r="H1120" s="611"/>
      <c r="J1120" s="611"/>
    </row>
    <row r="1121" spans="6:10">
      <c r="F1121" s="611"/>
      <c r="H1121" s="611"/>
      <c r="J1121" s="611"/>
    </row>
    <row r="1122" spans="6:10">
      <c r="F1122" s="611"/>
      <c r="H1122" s="611"/>
      <c r="J1122" s="611"/>
    </row>
    <row r="1123" spans="6:10">
      <c r="F1123" s="611"/>
      <c r="H1123" s="611"/>
      <c r="J1123" s="611"/>
    </row>
    <row r="1124" spans="6:10">
      <c r="F1124" s="611"/>
      <c r="H1124" s="611"/>
      <c r="J1124" s="611"/>
    </row>
    <row r="1125" spans="6:10">
      <c r="F1125" s="611"/>
      <c r="H1125" s="611"/>
      <c r="J1125" s="611"/>
    </row>
    <row r="1126" spans="6:10">
      <c r="F1126" s="611"/>
      <c r="H1126" s="611"/>
      <c r="J1126" s="611"/>
    </row>
    <row r="1127" spans="6:10">
      <c r="F1127" s="611"/>
      <c r="H1127" s="611"/>
      <c r="J1127" s="611"/>
    </row>
    <row r="1128" spans="6:10">
      <c r="F1128" s="611"/>
      <c r="H1128" s="611"/>
      <c r="J1128" s="611"/>
    </row>
    <row r="1129" spans="6:10">
      <c r="F1129" s="611"/>
      <c r="H1129" s="611"/>
      <c r="J1129" s="611"/>
    </row>
    <row r="1130" spans="6:10">
      <c r="F1130" s="611"/>
      <c r="H1130" s="611"/>
      <c r="J1130" s="611"/>
    </row>
    <row r="1131" spans="6:10">
      <c r="F1131" s="611"/>
      <c r="H1131" s="611"/>
      <c r="J1131" s="611"/>
    </row>
    <row r="1132" spans="6:10">
      <c r="F1132" s="611"/>
      <c r="H1132" s="611"/>
      <c r="J1132" s="611"/>
    </row>
    <row r="1133" spans="6:10">
      <c r="F1133" s="611"/>
      <c r="H1133" s="611"/>
      <c r="J1133" s="611"/>
    </row>
    <row r="1134" spans="6:10">
      <c r="F1134" s="611"/>
      <c r="H1134" s="611"/>
      <c r="J1134" s="611"/>
    </row>
    <row r="1135" spans="6:10">
      <c r="F1135" s="611"/>
      <c r="H1135" s="611"/>
      <c r="J1135" s="611"/>
    </row>
    <row r="1136" spans="6:10">
      <c r="F1136" s="611"/>
      <c r="H1136" s="611"/>
      <c r="J1136" s="611"/>
    </row>
    <row r="1137" spans="6:10">
      <c r="F1137" s="611"/>
      <c r="H1137" s="611"/>
      <c r="J1137" s="611"/>
    </row>
    <row r="1138" spans="6:10">
      <c r="F1138" s="611"/>
      <c r="H1138" s="611"/>
      <c r="J1138" s="611"/>
    </row>
    <row r="1139" spans="6:10">
      <c r="F1139" s="611"/>
      <c r="H1139" s="611"/>
      <c r="J1139" s="611"/>
    </row>
    <row r="1140" spans="6:10">
      <c r="F1140" s="611"/>
      <c r="H1140" s="611"/>
      <c r="J1140" s="611"/>
    </row>
    <row r="1141" spans="6:10">
      <c r="F1141" s="611"/>
      <c r="H1141" s="611"/>
      <c r="J1141" s="611"/>
    </row>
    <row r="1142" spans="6:10">
      <c r="F1142" s="611"/>
      <c r="H1142" s="611"/>
      <c r="J1142" s="611"/>
    </row>
    <row r="1143" spans="6:10">
      <c r="F1143" s="611"/>
      <c r="H1143" s="611"/>
      <c r="J1143" s="611"/>
    </row>
    <row r="1144" spans="6:10">
      <c r="F1144" s="611"/>
      <c r="H1144" s="611"/>
      <c r="J1144" s="611"/>
    </row>
    <row r="1145" spans="6:10">
      <c r="F1145" s="611"/>
      <c r="H1145" s="611"/>
      <c r="J1145" s="611"/>
    </row>
    <row r="1146" spans="6:10">
      <c r="F1146" s="611"/>
      <c r="H1146" s="611"/>
      <c r="J1146" s="611"/>
    </row>
    <row r="1147" spans="6:10">
      <c r="F1147" s="611"/>
      <c r="H1147" s="611"/>
      <c r="J1147" s="611"/>
    </row>
    <row r="1148" spans="6:10">
      <c r="F1148" s="611"/>
      <c r="H1148" s="611"/>
      <c r="J1148" s="611"/>
    </row>
    <row r="1149" spans="6:10">
      <c r="F1149" s="611"/>
      <c r="H1149" s="611"/>
      <c r="J1149" s="611"/>
    </row>
    <row r="1150" spans="6:10">
      <c r="F1150" s="611"/>
      <c r="H1150" s="611"/>
      <c r="J1150" s="611"/>
    </row>
    <row r="1151" spans="6:10">
      <c r="F1151" s="611"/>
      <c r="H1151" s="611"/>
      <c r="J1151" s="611"/>
    </row>
    <row r="1152" spans="6:10">
      <c r="F1152" s="611"/>
      <c r="H1152" s="611"/>
      <c r="J1152" s="611"/>
    </row>
    <row r="1153" spans="6:10">
      <c r="F1153" s="611"/>
      <c r="H1153" s="611"/>
      <c r="J1153" s="611"/>
    </row>
    <row r="1154" spans="6:10">
      <c r="F1154" s="611"/>
      <c r="H1154" s="611"/>
      <c r="J1154" s="611"/>
    </row>
    <row r="1155" spans="6:10">
      <c r="F1155" s="611"/>
      <c r="H1155" s="611"/>
      <c r="J1155" s="611"/>
    </row>
    <row r="1156" spans="6:10">
      <c r="F1156" s="611"/>
      <c r="H1156" s="611"/>
      <c r="J1156" s="611"/>
    </row>
    <row r="1157" spans="6:10">
      <c r="F1157" s="611"/>
      <c r="H1157" s="611"/>
      <c r="J1157" s="611"/>
    </row>
    <row r="1158" spans="6:10">
      <c r="F1158" s="611"/>
      <c r="H1158" s="611"/>
      <c r="J1158" s="611"/>
    </row>
    <row r="1159" spans="6:10">
      <c r="F1159" s="611"/>
      <c r="H1159" s="611"/>
      <c r="J1159" s="611"/>
    </row>
    <row r="1160" spans="6:10">
      <c r="F1160" s="611"/>
      <c r="H1160" s="611"/>
      <c r="J1160" s="611"/>
    </row>
    <row r="1161" spans="6:10">
      <c r="F1161" s="611"/>
      <c r="H1161" s="611"/>
      <c r="J1161" s="611"/>
    </row>
    <row r="1162" spans="6:10">
      <c r="F1162" s="611"/>
      <c r="H1162" s="611"/>
      <c r="J1162" s="611"/>
    </row>
    <row r="1163" spans="6:10">
      <c r="F1163" s="611"/>
      <c r="H1163" s="611"/>
      <c r="J1163" s="611"/>
    </row>
    <row r="1164" spans="6:10">
      <c r="F1164" s="611"/>
      <c r="H1164" s="611"/>
      <c r="J1164" s="611"/>
    </row>
    <row r="1165" spans="6:10">
      <c r="F1165" s="611"/>
      <c r="H1165" s="611"/>
      <c r="J1165" s="611"/>
    </row>
    <row r="1166" spans="6:10">
      <c r="F1166" s="611"/>
      <c r="H1166" s="611"/>
      <c r="J1166" s="611"/>
    </row>
    <row r="1167" spans="6:10">
      <c r="F1167" s="611"/>
      <c r="H1167" s="611"/>
      <c r="J1167" s="611"/>
    </row>
    <row r="1168" spans="6:10">
      <c r="F1168" s="611"/>
      <c r="H1168" s="611"/>
      <c r="J1168" s="611"/>
    </row>
    <row r="1169" spans="6:10">
      <c r="F1169" s="611"/>
      <c r="H1169" s="611"/>
      <c r="J1169" s="611"/>
    </row>
    <row r="1170" spans="6:10">
      <c r="F1170" s="611"/>
      <c r="H1170" s="611"/>
      <c r="J1170" s="611"/>
    </row>
    <row r="1171" spans="6:10">
      <c r="F1171" s="611"/>
      <c r="H1171" s="611"/>
      <c r="J1171" s="611"/>
    </row>
    <row r="1172" spans="6:10">
      <c r="F1172" s="611"/>
      <c r="H1172" s="611"/>
      <c r="J1172" s="611"/>
    </row>
    <row r="1173" spans="6:10">
      <c r="F1173" s="611"/>
      <c r="H1173" s="611"/>
      <c r="J1173" s="611"/>
    </row>
    <row r="1174" spans="6:10">
      <c r="F1174" s="611"/>
      <c r="H1174" s="611"/>
      <c r="J1174" s="611"/>
    </row>
    <row r="1175" spans="6:10">
      <c r="F1175" s="611"/>
      <c r="H1175" s="611"/>
      <c r="J1175" s="611"/>
    </row>
    <row r="1176" spans="6:10">
      <c r="F1176" s="611"/>
      <c r="H1176" s="611"/>
      <c r="J1176" s="611"/>
    </row>
    <row r="1177" spans="6:10">
      <c r="F1177" s="611"/>
      <c r="H1177" s="611"/>
      <c r="J1177" s="611"/>
    </row>
    <row r="1178" spans="6:10">
      <c r="F1178" s="611"/>
      <c r="H1178" s="611"/>
      <c r="J1178" s="611"/>
    </row>
    <row r="1179" spans="6:10">
      <c r="F1179" s="611"/>
      <c r="H1179" s="611"/>
      <c r="J1179" s="611"/>
    </row>
    <row r="1180" spans="6:10">
      <c r="F1180" s="611"/>
      <c r="H1180" s="611"/>
      <c r="J1180" s="611"/>
    </row>
    <row r="1181" spans="6:10">
      <c r="F1181" s="611"/>
      <c r="H1181" s="611"/>
      <c r="J1181" s="611"/>
    </row>
    <row r="1182" spans="6:10">
      <c r="F1182" s="611"/>
      <c r="H1182" s="611"/>
      <c r="J1182" s="611"/>
    </row>
    <row r="1183" spans="6:10">
      <c r="F1183" s="611"/>
      <c r="H1183" s="611"/>
      <c r="J1183" s="611"/>
    </row>
    <row r="1184" spans="6:10">
      <c r="F1184" s="611"/>
      <c r="H1184" s="611"/>
      <c r="J1184" s="611"/>
    </row>
    <row r="1185" spans="6:10">
      <c r="F1185" s="611"/>
      <c r="H1185" s="611"/>
      <c r="J1185" s="611"/>
    </row>
    <row r="1186" spans="6:10">
      <c r="F1186" s="611"/>
      <c r="H1186" s="611"/>
      <c r="J1186" s="611"/>
    </row>
    <row r="1187" spans="6:10">
      <c r="F1187" s="611"/>
      <c r="H1187" s="611"/>
      <c r="J1187" s="611"/>
    </row>
    <row r="1188" spans="6:10">
      <c r="F1188" s="611"/>
      <c r="H1188" s="611"/>
      <c r="J1188" s="611"/>
    </row>
    <row r="1189" spans="6:10">
      <c r="F1189" s="611"/>
      <c r="H1189" s="611"/>
      <c r="J1189" s="611"/>
    </row>
    <row r="1190" spans="6:10">
      <c r="F1190" s="611"/>
      <c r="H1190" s="611"/>
      <c r="J1190" s="611"/>
    </row>
    <row r="1191" spans="6:10">
      <c r="F1191" s="611"/>
      <c r="H1191" s="611"/>
      <c r="J1191" s="611"/>
    </row>
    <row r="1192" spans="6:10">
      <c r="F1192" s="611"/>
      <c r="H1192" s="611"/>
      <c r="J1192" s="611"/>
    </row>
    <row r="1193" spans="6:10">
      <c r="F1193" s="611"/>
      <c r="H1193" s="611"/>
      <c r="J1193" s="611"/>
    </row>
    <row r="1194" spans="6:10">
      <c r="F1194" s="611"/>
      <c r="H1194" s="611"/>
      <c r="J1194" s="611"/>
    </row>
    <row r="1195" spans="6:10">
      <c r="F1195" s="611"/>
      <c r="H1195" s="611"/>
      <c r="J1195" s="611"/>
    </row>
    <row r="1196" spans="6:10">
      <c r="F1196" s="611"/>
      <c r="H1196" s="611"/>
      <c r="J1196" s="611"/>
    </row>
    <row r="1197" spans="6:10">
      <c r="F1197" s="611"/>
      <c r="H1197" s="611"/>
      <c r="J1197" s="611"/>
    </row>
    <row r="1198" spans="6:10">
      <c r="F1198" s="611"/>
      <c r="H1198" s="611"/>
      <c r="J1198" s="611"/>
    </row>
    <row r="1199" spans="6:10">
      <c r="F1199" s="611"/>
      <c r="H1199" s="611"/>
      <c r="J1199" s="611"/>
    </row>
    <row r="1200" spans="6:10">
      <c r="F1200" s="611"/>
      <c r="H1200" s="611"/>
      <c r="J1200" s="611"/>
    </row>
    <row r="1201" spans="6:10">
      <c r="F1201" s="611"/>
      <c r="H1201" s="611"/>
      <c r="J1201" s="611"/>
    </row>
    <row r="1202" spans="6:10">
      <c r="F1202" s="611"/>
      <c r="H1202" s="611"/>
      <c r="J1202" s="611"/>
    </row>
    <row r="1203" spans="6:10">
      <c r="F1203" s="611"/>
      <c r="H1203" s="611"/>
      <c r="J1203" s="611"/>
    </row>
    <row r="1204" spans="6:10">
      <c r="F1204" s="611"/>
      <c r="H1204" s="611"/>
      <c r="J1204" s="611"/>
    </row>
    <row r="1205" spans="6:10">
      <c r="F1205" s="611"/>
      <c r="H1205" s="611"/>
      <c r="J1205" s="611"/>
    </row>
    <row r="1206" spans="6:10">
      <c r="F1206" s="611"/>
      <c r="H1206" s="611"/>
      <c r="J1206" s="611"/>
    </row>
    <row r="1207" spans="6:10">
      <c r="F1207" s="611"/>
      <c r="H1207" s="611"/>
      <c r="J1207" s="611"/>
    </row>
    <row r="1208" spans="6:10">
      <c r="F1208" s="611"/>
      <c r="H1208" s="611"/>
      <c r="J1208" s="611"/>
    </row>
    <row r="1209" spans="6:10">
      <c r="F1209" s="611"/>
      <c r="H1209" s="611"/>
      <c r="J1209" s="611"/>
    </row>
    <row r="1210" spans="6:10">
      <c r="F1210" s="611"/>
      <c r="H1210" s="611"/>
      <c r="J1210" s="611"/>
    </row>
    <row r="1211" spans="6:10">
      <c r="F1211" s="611"/>
      <c r="H1211" s="611"/>
      <c r="J1211" s="611"/>
    </row>
    <row r="1212" spans="6:10">
      <c r="F1212" s="611"/>
      <c r="H1212" s="611"/>
      <c r="J1212" s="611"/>
    </row>
    <row r="1213" spans="6:10">
      <c r="F1213" s="611"/>
      <c r="H1213" s="611"/>
      <c r="J1213" s="611"/>
    </row>
    <row r="1214" spans="6:10">
      <c r="F1214" s="611"/>
      <c r="H1214" s="611"/>
      <c r="J1214" s="611"/>
    </row>
    <row r="1215" spans="6:10">
      <c r="F1215" s="611"/>
      <c r="H1215" s="611"/>
      <c r="J1215" s="611"/>
    </row>
    <row r="1216" spans="6:10">
      <c r="F1216" s="611"/>
      <c r="H1216" s="611"/>
      <c r="J1216" s="611"/>
    </row>
    <row r="1217" spans="6:10">
      <c r="F1217" s="611"/>
      <c r="H1217" s="611"/>
      <c r="J1217" s="611"/>
    </row>
    <row r="1218" spans="6:10">
      <c r="F1218" s="611"/>
      <c r="H1218" s="611"/>
      <c r="J1218" s="611"/>
    </row>
    <row r="1219" spans="6:10">
      <c r="F1219" s="611"/>
      <c r="H1219" s="611"/>
      <c r="J1219" s="611"/>
    </row>
    <row r="1220" spans="6:10">
      <c r="F1220" s="611"/>
      <c r="H1220" s="611"/>
      <c r="J1220" s="611"/>
    </row>
    <row r="1221" spans="6:10">
      <c r="F1221" s="611"/>
      <c r="H1221" s="611"/>
      <c r="J1221" s="611"/>
    </row>
    <row r="1222" spans="6:10">
      <c r="F1222" s="611"/>
      <c r="H1222" s="611"/>
      <c r="J1222" s="611"/>
    </row>
    <row r="1223" spans="6:10">
      <c r="F1223" s="611"/>
      <c r="H1223" s="611"/>
      <c r="J1223" s="611"/>
    </row>
    <row r="1224" spans="6:10">
      <c r="F1224" s="611"/>
      <c r="H1224" s="611"/>
      <c r="J1224" s="611"/>
    </row>
    <row r="1225" spans="6:10">
      <c r="F1225" s="611"/>
      <c r="H1225" s="611"/>
      <c r="J1225" s="611"/>
    </row>
    <row r="1226" spans="6:10">
      <c r="F1226" s="611"/>
      <c r="H1226" s="611"/>
      <c r="J1226" s="611"/>
    </row>
    <row r="1227" spans="6:10">
      <c r="F1227" s="611"/>
      <c r="H1227" s="611"/>
      <c r="J1227" s="611"/>
    </row>
    <row r="1228" spans="6:10">
      <c r="F1228" s="611"/>
      <c r="H1228" s="611"/>
      <c r="J1228" s="611"/>
    </row>
    <row r="1229" spans="6:10">
      <c r="F1229" s="611"/>
      <c r="H1229" s="611"/>
      <c r="J1229" s="611"/>
    </row>
    <row r="1230" spans="6:10">
      <c r="F1230" s="611"/>
      <c r="H1230" s="611"/>
      <c r="J1230" s="611"/>
    </row>
    <row r="1231" spans="6:10">
      <c r="F1231" s="611"/>
      <c r="H1231" s="611"/>
      <c r="J1231" s="611"/>
    </row>
    <row r="1232" spans="6:10">
      <c r="F1232" s="611"/>
      <c r="H1232" s="611"/>
      <c r="J1232" s="611"/>
    </row>
    <row r="1233" spans="6:10">
      <c r="F1233" s="611"/>
      <c r="H1233" s="611"/>
      <c r="J1233" s="611"/>
    </row>
    <row r="1234" spans="6:10">
      <c r="F1234" s="611"/>
      <c r="H1234" s="611"/>
      <c r="J1234" s="611"/>
    </row>
    <row r="1235" spans="6:10">
      <c r="F1235" s="611"/>
      <c r="H1235" s="611"/>
      <c r="J1235" s="611"/>
    </row>
    <row r="1236" spans="6:10">
      <c r="F1236" s="611"/>
      <c r="H1236" s="611"/>
      <c r="J1236" s="611"/>
    </row>
    <row r="1237" spans="6:10">
      <c r="F1237" s="611"/>
      <c r="H1237" s="611"/>
      <c r="J1237" s="611"/>
    </row>
    <row r="1238" spans="6:10">
      <c r="F1238" s="611"/>
      <c r="H1238" s="611"/>
      <c r="J1238" s="611"/>
    </row>
    <row r="1239" spans="6:10">
      <c r="F1239" s="611"/>
      <c r="H1239" s="611"/>
      <c r="J1239" s="611"/>
    </row>
    <row r="1240" spans="6:10">
      <c r="F1240" s="611"/>
      <c r="H1240" s="611"/>
      <c r="J1240" s="611"/>
    </row>
    <row r="1241" spans="6:10">
      <c r="F1241" s="611"/>
      <c r="H1241" s="611"/>
      <c r="J1241" s="611"/>
    </row>
    <row r="1242" spans="6:10">
      <c r="F1242" s="611"/>
      <c r="H1242" s="611"/>
      <c r="J1242" s="611"/>
    </row>
    <row r="1243" spans="6:10">
      <c r="F1243" s="611"/>
      <c r="H1243" s="611"/>
      <c r="J1243" s="611"/>
    </row>
    <row r="1244" spans="6:10">
      <c r="F1244" s="611"/>
      <c r="H1244" s="611"/>
      <c r="J1244" s="611"/>
    </row>
    <row r="1245" spans="6:10">
      <c r="F1245" s="611"/>
      <c r="H1245" s="611"/>
      <c r="J1245" s="611"/>
    </row>
    <row r="1246" spans="6:10">
      <c r="F1246" s="611"/>
      <c r="H1246" s="611"/>
      <c r="J1246" s="611"/>
    </row>
    <row r="1247" spans="6:10">
      <c r="F1247" s="611"/>
      <c r="H1247" s="611"/>
      <c r="J1247" s="611"/>
    </row>
    <row r="1248" spans="6:10">
      <c r="F1248" s="611"/>
      <c r="H1248" s="611"/>
      <c r="J1248" s="611"/>
    </row>
    <row r="1249" spans="6:10">
      <c r="F1249" s="611"/>
      <c r="H1249" s="611"/>
      <c r="J1249" s="611"/>
    </row>
    <row r="1250" spans="6:10">
      <c r="F1250" s="611"/>
      <c r="H1250" s="611"/>
      <c r="J1250" s="611"/>
    </row>
    <row r="1251" spans="6:10">
      <c r="F1251" s="611"/>
      <c r="H1251" s="611"/>
      <c r="J1251" s="611"/>
    </row>
    <row r="1252" spans="6:10">
      <c r="F1252" s="611"/>
      <c r="H1252" s="611"/>
      <c r="J1252" s="611"/>
    </row>
    <row r="1253" spans="6:10">
      <c r="F1253" s="611"/>
      <c r="H1253" s="611"/>
      <c r="J1253" s="611"/>
    </row>
    <row r="1254" spans="6:10">
      <c r="F1254" s="611"/>
      <c r="H1254" s="611"/>
      <c r="J1254" s="611"/>
    </row>
    <row r="1255" spans="6:10">
      <c r="F1255" s="611"/>
      <c r="H1255" s="611"/>
      <c r="J1255" s="611"/>
    </row>
    <row r="1256" spans="6:10">
      <c r="F1256" s="611"/>
      <c r="H1256" s="611"/>
      <c r="J1256" s="611"/>
    </row>
    <row r="1257" spans="6:10">
      <c r="F1257" s="611"/>
      <c r="H1257" s="611"/>
      <c r="J1257" s="611"/>
    </row>
    <row r="1258" spans="6:10">
      <c r="F1258" s="611"/>
      <c r="H1258" s="611"/>
      <c r="J1258" s="611"/>
    </row>
    <row r="1259" spans="6:10">
      <c r="F1259" s="611"/>
      <c r="H1259" s="611"/>
      <c r="J1259" s="611"/>
    </row>
    <row r="1260" spans="6:10">
      <c r="F1260" s="611"/>
      <c r="H1260" s="611"/>
      <c r="J1260" s="611"/>
    </row>
    <row r="1261" spans="6:10">
      <c r="F1261" s="611"/>
      <c r="H1261" s="611"/>
      <c r="J1261" s="611"/>
    </row>
    <row r="1262" spans="6:10">
      <c r="F1262" s="611"/>
      <c r="H1262" s="611"/>
      <c r="J1262" s="611"/>
    </row>
    <row r="1263" spans="6:10">
      <c r="F1263" s="611"/>
      <c r="H1263" s="611"/>
      <c r="J1263" s="611"/>
    </row>
    <row r="1264" spans="6:10">
      <c r="F1264" s="611"/>
      <c r="H1264" s="611"/>
      <c r="J1264" s="611"/>
    </row>
    <row r="1265" spans="6:10">
      <c r="F1265" s="611"/>
      <c r="H1265" s="611"/>
      <c r="J1265" s="611"/>
    </row>
    <row r="1266" spans="6:10">
      <c r="F1266" s="611"/>
      <c r="H1266" s="611"/>
      <c r="J1266" s="611"/>
    </row>
    <row r="1267" spans="6:10">
      <c r="F1267" s="611"/>
      <c r="H1267" s="611"/>
      <c r="J1267" s="611"/>
    </row>
    <row r="1268" spans="6:10">
      <c r="F1268" s="611"/>
      <c r="H1268" s="611"/>
      <c r="J1268" s="611"/>
    </row>
    <row r="1269" spans="6:10">
      <c r="F1269" s="611"/>
      <c r="H1269" s="611"/>
      <c r="J1269" s="611"/>
    </row>
    <row r="1270" spans="6:10">
      <c r="F1270" s="611"/>
      <c r="H1270" s="611"/>
      <c r="J1270" s="611"/>
    </row>
    <row r="1271" spans="6:10">
      <c r="F1271" s="611"/>
      <c r="H1271" s="611"/>
      <c r="J1271" s="611"/>
    </row>
    <row r="1272" spans="6:10">
      <c r="F1272" s="611"/>
      <c r="H1272" s="611"/>
      <c r="J1272" s="611"/>
    </row>
    <row r="1273" spans="6:10">
      <c r="F1273" s="611"/>
      <c r="H1273" s="611"/>
      <c r="J1273" s="611"/>
    </row>
    <row r="1274" spans="6:10">
      <c r="F1274" s="611"/>
      <c r="H1274" s="611"/>
      <c r="J1274" s="611"/>
    </row>
    <row r="1275" spans="6:10">
      <c r="F1275" s="611"/>
      <c r="H1275" s="611"/>
      <c r="J1275" s="611"/>
    </row>
    <row r="1276" spans="6:10">
      <c r="F1276" s="611"/>
      <c r="H1276" s="611"/>
      <c r="J1276" s="611"/>
    </row>
    <row r="1277" spans="6:10">
      <c r="F1277" s="611"/>
      <c r="H1277" s="611"/>
      <c r="J1277" s="611"/>
    </row>
    <row r="1278" spans="6:10">
      <c r="F1278" s="611"/>
      <c r="H1278" s="611"/>
      <c r="J1278" s="611"/>
    </row>
    <row r="1279" spans="6:10">
      <c r="F1279" s="611"/>
      <c r="H1279" s="611"/>
      <c r="J1279" s="611"/>
    </row>
    <row r="1280" spans="6:10">
      <c r="F1280" s="611"/>
      <c r="H1280" s="611"/>
      <c r="J1280" s="611"/>
    </row>
    <row r="1281" spans="6:10">
      <c r="F1281" s="611"/>
      <c r="H1281" s="611"/>
      <c r="J1281" s="611"/>
    </row>
    <row r="1282" spans="6:10">
      <c r="F1282" s="611"/>
      <c r="H1282" s="611"/>
      <c r="J1282" s="611"/>
    </row>
    <row r="1283" spans="6:10">
      <c r="F1283" s="611"/>
      <c r="H1283" s="611"/>
      <c r="J1283" s="611"/>
    </row>
    <row r="1284" spans="6:10">
      <c r="F1284" s="611"/>
      <c r="H1284" s="611"/>
      <c r="J1284" s="611"/>
    </row>
    <row r="1285" spans="6:10">
      <c r="F1285" s="611"/>
      <c r="H1285" s="611"/>
      <c r="J1285" s="611"/>
    </row>
    <row r="1286" spans="6:10">
      <c r="F1286" s="611"/>
      <c r="H1286" s="611"/>
      <c r="J1286" s="611"/>
    </row>
    <row r="1287" spans="6:10">
      <c r="F1287" s="611"/>
      <c r="H1287" s="611"/>
      <c r="J1287" s="611"/>
    </row>
    <row r="1288" spans="6:10">
      <c r="F1288" s="611"/>
      <c r="H1288" s="611"/>
      <c r="J1288" s="611"/>
    </row>
    <row r="1289" spans="6:10">
      <c r="F1289" s="611"/>
      <c r="H1289" s="611"/>
      <c r="J1289" s="611"/>
    </row>
    <row r="1290" spans="6:10">
      <c r="F1290" s="611"/>
      <c r="H1290" s="611"/>
      <c r="J1290" s="611"/>
    </row>
    <row r="1291" spans="6:10">
      <c r="F1291" s="611"/>
      <c r="H1291" s="611"/>
      <c r="J1291" s="611"/>
    </row>
    <row r="1292" spans="6:10">
      <c r="F1292" s="611"/>
      <c r="H1292" s="611"/>
      <c r="J1292" s="611"/>
    </row>
    <row r="1293" spans="6:10">
      <c r="F1293" s="611"/>
      <c r="H1293" s="611"/>
      <c r="J1293" s="611"/>
    </row>
    <row r="1294" spans="6:10">
      <c r="F1294" s="611"/>
      <c r="H1294" s="611"/>
      <c r="J1294" s="611"/>
    </row>
    <row r="1295" spans="6:10">
      <c r="F1295" s="611"/>
      <c r="H1295" s="611"/>
      <c r="J1295" s="611"/>
    </row>
    <row r="1296" spans="6:10">
      <c r="F1296" s="611"/>
      <c r="H1296" s="611"/>
      <c r="J1296" s="611"/>
    </row>
    <row r="1297" spans="6:10">
      <c r="F1297" s="611"/>
      <c r="H1297" s="611"/>
      <c r="J1297" s="611"/>
    </row>
    <row r="1298" spans="6:10">
      <c r="F1298" s="611"/>
      <c r="H1298" s="611"/>
      <c r="J1298" s="611"/>
    </row>
    <row r="1299" spans="6:10">
      <c r="F1299" s="611"/>
      <c r="H1299" s="611"/>
      <c r="J1299" s="611"/>
    </row>
    <row r="1300" spans="6:10">
      <c r="F1300" s="611"/>
      <c r="H1300" s="611"/>
      <c r="J1300" s="611"/>
    </row>
    <row r="1301" spans="6:10">
      <c r="F1301" s="611"/>
      <c r="H1301" s="611"/>
      <c r="J1301" s="611"/>
    </row>
    <row r="1302" spans="6:10">
      <c r="F1302" s="611"/>
      <c r="H1302" s="611"/>
      <c r="J1302" s="611"/>
    </row>
    <row r="1303" spans="6:10">
      <c r="F1303" s="611"/>
      <c r="H1303" s="611"/>
      <c r="J1303" s="611"/>
    </row>
  </sheetData>
  <sheetProtection sheet="1" objects="1" scenarios="1"/>
  <customSheetViews>
    <customSheetView guid="{D1431318-1DB8-4C45-813B-5A8065DFC797}" zeroValues="0" fitToPage="1">
      <selection activeCell="H39" sqref="H39"/>
      <pageMargins left="0" right="0" top="0" bottom="0" header="0" footer="0"/>
      <pageSetup scale="72" orientation="portrait" blackAndWhite="1" r:id="rId1"/>
      <headerFooter alignWithMargins="0"/>
    </customSheetView>
  </customSheetViews>
  <mergeCells count="59">
    <mergeCell ref="H57:U57"/>
    <mergeCell ref="Q26:U26"/>
    <mergeCell ref="E24:U24"/>
    <mergeCell ref="A30:I30"/>
    <mergeCell ref="E32:U32"/>
    <mergeCell ref="B28:L28"/>
    <mergeCell ref="G47:H47"/>
    <mergeCell ref="K53:U53"/>
    <mergeCell ref="H51:U51"/>
    <mergeCell ref="K55:U55"/>
    <mergeCell ref="R47:S47"/>
    <mergeCell ref="J47:L47"/>
    <mergeCell ref="G49:I49"/>
    <mergeCell ref="S49:U49"/>
    <mergeCell ref="G44:H44"/>
    <mergeCell ref="J44:L44"/>
    <mergeCell ref="Q3:R3"/>
    <mergeCell ref="B15:E15"/>
    <mergeCell ref="F15:L15"/>
    <mergeCell ref="Q15:T15"/>
    <mergeCell ref="L17:N17"/>
    <mergeCell ref="B4:L4"/>
    <mergeCell ref="B14:L14"/>
    <mergeCell ref="B12:L12"/>
    <mergeCell ref="B7:L7"/>
    <mergeCell ref="B13:L13"/>
    <mergeCell ref="E17:G17"/>
    <mergeCell ref="K22:U22"/>
    <mergeCell ref="R45:U45"/>
    <mergeCell ref="G46:H46"/>
    <mergeCell ref="S36:U36"/>
    <mergeCell ref="B35:L35"/>
    <mergeCell ref="I38:K38"/>
    <mergeCell ref="R46:S46"/>
    <mergeCell ref="S40:U40"/>
    <mergeCell ref="S38:U38"/>
    <mergeCell ref="J46:L46"/>
    <mergeCell ref="B42:L42"/>
    <mergeCell ref="J43:L43"/>
    <mergeCell ref="J45:L45"/>
    <mergeCell ref="G43:H43"/>
    <mergeCell ref="G45:H45"/>
    <mergeCell ref="B44:F44"/>
    <mergeCell ref="S1:U1"/>
    <mergeCell ref="K9:M9"/>
    <mergeCell ref="R9:U9"/>
    <mergeCell ref="J30:L30"/>
    <mergeCell ref="S34:U34"/>
    <mergeCell ref="R17:T17"/>
    <mergeCell ref="B29:L29"/>
    <mergeCell ref="B31:L31"/>
    <mergeCell ref="K26:M26"/>
    <mergeCell ref="S3:U3"/>
    <mergeCell ref="P5:R5"/>
    <mergeCell ref="S5:U5"/>
    <mergeCell ref="E5:N5"/>
    <mergeCell ref="B3:F3"/>
    <mergeCell ref="G3:P3"/>
    <mergeCell ref="K20:U20"/>
  </mergeCells>
  <dataValidations count="10">
    <dataValidation type="list" allowBlank="1" showInputMessage="1" sqref="J30 S49 S38 S40 S34 S36 K26" xr:uid="{00000000-0002-0000-0300-000000000000}">
      <formula1>YN</formula1>
    </dataValidation>
    <dataValidation type="decimal" errorStyle="warning" allowBlank="1" showInputMessage="1" showErrorMessage="1" error="Check slope.  Must be a number_x000a_" sqref="E17:G17" xr:uid="{00000000-0002-0000-0300-000001000000}">
      <formula1>0</formula1>
      <formula2>35</formula2>
    </dataValidation>
    <dataValidation type="list" allowBlank="1" showInputMessage="1" sqref="L17" xr:uid="{00000000-0002-0000-0300-000002000000}">
      <formula1>SlopeShape</formula1>
    </dataValidation>
    <dataValidation type="list" allowBlank="1" showInputMessage="1" sqref="Q15" xr:uid="{00000000-0002-0000-0300-000003000000}">
      <formula1>LandscapePosition</formula1>
    </dataValidation>
    <dataValidation allowBlank="1" showInputMessage="1" showErrorMessage="1" prompt="Location of Benchmark" sqref="N50:U50" xr:uid="{00000000-0002-0000-0300-000004000000}"/>
    <dataValidation allowBlank="1" showErrorMessage="1" sqref="G51:H51" xr:uid="{00000000-0002-0000-0300-000005000000}"/>
    <dataValidation type="list" errorStyle="information" allowBlank="1" showInputMessage="1" sqref="R47:S48" xr:uid="{00000000-0002-0000-0300-000006000000}">
      <formula1>SHLR</formula1>
    </dataValidation>
    <dataValidation type="whole" allowBlank="1" showInputMessage="1" showErrorMessage="1" prompt="Value must be less than or equal to 84 inches for treatment to occur within 7 feet from grade." sqref="G44:H44" xr:uid="{00000000-0002-0000-0300-000007000000}">
      <formula1>0</formula1>
      <formula2>84</formula2>
    </dataValidation>
    <dataValidation type="list" errorStyle="information" allowBlank="1" showInputMessage="1" prompt="Select from drop down or enter you own description" sqref="R45:U45" xr:uid="{00000000-0002-0000-0300-000008000000}">
      <formula1>SoilTexture7080</formula1>
    </dataValidation>
    <dataValidation allowBlank="1" showInputMessage="1" showErrorMessage="1" prompt="From Prelim Page" sqref="G3:P3 S3:U3 E5:N5" xr:uid="{5226A5D7-8575-4547-921B-50AD0F4FD1B5}"/>
  </dataValidations>
  <pageMargins left="0.4" right="0.4" top="1" bottom="0.2" header="0.4" footer="0.1"/>
  <pageSetup orientation="portrait" blackAndWhite="1" r:id="rId2"/>
  <headerFooter>
    <oddHeader>&amp;L&amp;G&amp;C&amp;"Trebuchet MS,Regular"&amp;14 Field
Evaluation Worksheet&amp;R&amp;G</oddHeader>
    <firstHeader>&amp;L&amp;G&amp;C&amp;"Trebuchet MS,Regular"&amp;16OSTP Field
Evaluation Worksheet&amp;R&amp;G</firstHead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544279" r:id="rId6" name="Check Box 2711">
              <controlPr defaultSize="0" autoFill="0" autoLine="0" autoPict="0">
                <anchor moveWithCells="1" sizeWithCells="1">
                  <from>
                    <xdr:col>5</xdr:col>
                    <xdr:colOff>219075</xdr:colOff>
                    <xdr:row>8</xdr:row>
                    <xdr:rowOff>0</xdr:rowOff>
                  </from>
                  <to>
                    <xdr:col>9</xdr:col>
                    <xdr:colOff>304800</xdr:colOff>
                    <xdr:row>9</xdr:row>
                    <xdr:rowOff>9525</xdr:rowOff>
                  </to>
                </anchor>
              </controlPr>
            </control>
          </mc:Choice>
        </mc:AlternateContent>
        <mc:AlternateContent xmlns:mc="http://schemas.openxmlformats.org/markup-compatibility/2006">
          <mc:Choice Requires="x14">
            <control shapeId="2544280" r:id="rId7" name="Check Box 2712">
              <controlPr defaultSize="0" autoFill="0" autoLine="0" autoPict="0">
                <anchor moveWithCells="1" sizeWithCells="1">
                  <from>
                    <xdr:col>13</xdr:col>
                    <xdr:colOff>152400</xdr:colOff>
                    <xdr:row>8</xdr:row>
                    <xdr:rowOff>9525</xdr:rowOff>
                  </from>
                  <to>
                    <xdr:col>16</xdr:col>
                    <xdr:colOff>304800</xdr:colOff>
                    <xdr:row>9</xdr:row>
                    <xdr:rowOff>0</xdr:rowOff>
                  </to>
                </anchor>
              </controlPr>
            </control>
          </mc:Choice>
        </mc:AlternateContent>
        <mc:AlternateContent xmlns:mc="http://schemas.openxmlformats.org/markup-compatibility/2006">
          <mc:Choice Requires="x14">
            <control shapeId="2544285" r:id="rId8" name="Check Box 2717">
              <controlPr defaultSize="0" autoFill="0" autoLine="0" autoPict="0">
                <anchor moveWithCells="1" sizeWithCells="1">
                  <from>
                    <xdr:col>9</xdr:col>
                    <xdr:colOff>66675</xdr:colOff>
                    <xdr:row>10</xdr:row>
                    <xdr:rowOff>28575</xdr:rowOff>
                  </from>
                  <to>
                    <xdr:col>12</xdr:col>
                    <xdr:colOff>66675</xdr:colOff>
                    <xdr:row>10</xdr:row>
                    <xdr:rowOff>219075</xdr:rowOff>
                  </to>
                </anchor>
              </controlPr>
            </control>
          </mc:Choice>
        </mc:AlternateContent>
        <mc:AlternateContent xmlns:mc="http://schemas.openxmlformats.org/markup-compatibility/2006">
          <mc:Choice Requires="x14">
            <control shapeId="2544286" r:id="rId9" name="Check Box 2718">
              <controlPr defaultSize="0" autoFill="0" autoLine="0" autoPict="0">
                <anchor moveWithCells="1" sizeWithCells="1">
                  <from>
                    <xdr:col>12</xdr:col>
                    <xdr:colOff>219075</xdr:colOff>
                    <xdr:row>10</xdr:row>
                    <xdr:rowOff>28575</xdr:rowOff>
                  </from>
                  <to>
                    <xdr:col>15</xdr:col>
                    <xdr:colOff>76200</xdr:colOff>
                    <xdr:row>10</xdr:row>
                    <xdr:rowOff>219075</xdr:rowOff>
                  </to>
                </anchor>
              </controlPr>
            </control>
          </mc:Choice>
        </mc:AlternateContent>
        <mc:AlternateContent xmlns:mc="http://schemas.openxmlformats.org/markup-compatibility/2006">
          <mc:Choice Requires="x14">
            <control shapeId="2544287" r:id="rId10" name="Check Box 2719">
              <controlPr defaultSize="0" autoFill="0" autoLine="0" autoPict="0">
                <anchor moveWithCells="1" sizeWithCells="1">
                  <from>
                    <xdr:col>16</xdr:col>
                    <xdr:colOff>38100</xdr:colOff>
                    <xdr:row>10</xdr:row>
                    <xdr:rowOff>28575</xdr:rowOff>
                  </from>
                  <to>
                    <xdr:col>17</xdr:col>
                    <xdr:colOff>304800</xdr:colOff>
                    <xdr:row>10</xdr:row>
                    <xdr:rowOff>219075</xdr:rowOff>
                  </to>
                </anchor>
              </controlPr>
            </control>
          </mc:Choice>
        </mc:AlternateContent>
        <mc:AlternateContent xmlns:mc="http://schemas.openxmlformats.org/markup-compatibility/2006">
          <mc:Choice Requires="x14">
            <control shapeId="2544288" r:id="rId11" name="Check Box 2720">
              <controlPr defaultSize="0" autoFill="0" autoLine="0" autoPict="0">
                <anchor moveWithCells="1" sizeWithCells="1">
                  <from>
                    <xdr:col>19</xdr:col>
                    <xdr:colOff>28575</xdr:colOff>
                    <xdr:row>10</xdr:row>
                    <xdr:rowOff>9525</xdr:rowOff>
                  </from>
                  <to>
                    <xdr:col>20</xdr:col>
                    <xdr:colOff>295275</xdr:colOff>
                    <xdr:row>11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xr:uid="{00000000-0002-0000-0300-00000A000000}">
          <x14:formula1>
            <xm:f>'Drop-Down Lists'!$AH$3</xm:f>
          </x14:formula1>
          <xm:sqref>K16</xm:sqref>
        </x14:dataValidation>
        <x14:dataValidation type="list" allowBlank="1" showInputMessage="1" xr:uid="{00000000-0002-0000-0300-000009000000}">
          <x14:formula1>
            <xm:f>'Drop-Down Lists'!$BC$4:$BC$13</xm:f>
          </x14:formula1>
          <xm:sqref>I38</xm:sqref>
        </x14:dataValidation>
        <x14:dataValidation type="list" allowBlank="1" showInputMessage="1" xr:uid="{00000000-0002-0000-0300-00000B000000}">
          <x14:formula1>
            <xm:f>'Drop-Down Lists'!$U$2:$U$9</xm:f>
          </x14:formula1>
          <xm:sqref>F15</xm:sqref>
        </x14:dataValidation>
        <x14:dataValidation type="list" allowBlank="1" showInputMessage="1" xr:uid="{4B96A4B4-DB4E-411B-8A5A-317E1D577103}">
          <x14:formula1>
            <xm:f>'Drop-Down Lists'!$R$2:$R$10</xm:f>
          </x14:formula1>
          <xm:sqref>R17:T17</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0">
    <tabColor rgb="FF00B0F0"/>
  </sheetPr>
  <dimension ref="A1:AU126"/>
  <sheetViews>
    <sheetView showGridLines="0" showZeros="0" view="pageBreakPreview" zoomScaleNormal="100" zoomScaleSheetLayoutView="100" workbookViewId="0">
      <selection activeCell="I4" sqref="I4:L4"/>
    </sheetView>
  </sheetViews>
  <sheetFormatPr defaultColWidth="6.42578125" defaultRowHeight="24.75" customHeight="1"/>
  <cols>
    <col min="1" max="1" width="3.42578125" style="16" customWidth="1"/>
    <col min="2" max="18" width="6.42578125" style="8" customWidth="1"/>
    <col min="19" max="19" width="6.42578125" style="4" customWidth="1"/>
    <col min="20" max="20" width="6.42578125" style="8" customWidth="1"/>
    <col min="21" max="43" width="6.42578125" style="8"/>
    <col min="44" max="44" width="6.85546875" style="8" bestFit="1" customWidth="1"/>
    <col min="45" max="45" width="7" style="8" bestFit="1" customWidth="1"/>
    <col min="46" max="46" width="6.85546875" style="8" bestFit="1" customWidth="1"/>
    <col min="47" max="16384" width="6.42578125" style="8"/>
  </cols>
  <sheetData>
    <row r="1" spans="1:22" ht="54.95" customHeight="1" thickBot="1">
      <c r="B1" s="323"/>
      <c r="C1" s="323"/>
      <c r="D1" s="323"/>
      <c r="E1" s="3176" t="s">
        <v>2218</v>
      </c>
      <c r="F1" s="3176"/>
      <c r="G1" s="3176"/>
      <c r="H1" s="3176"/>
      <c r="I1" s="3176"/>
      <c r="J1" s="3176"/>
      <c r="K1" s="3176"/>
      <c r="L1" s="3176"/>
      <c r="M1" s="3176"/>
      <c r="N1" s="3176"/>
      <c r="O1" s="3176"/>
      <c r="P1" s="324"/>
      <c r="Q1" s="324"/>
      <c r="R1" s="324"/>
      <c r="S1" s="324"/>
    </row>
    <row r="2" spans="1:22" ht="16.350000000000001" customHeight="1">
      <c r="A2" s="1144" t="s">
        <v>1791</v>
      </c>
      <c r="B2" s="1145" t="s">
        <v>1792</v>
      </c>
      <c r="C2" s="1146"/>
      <c r="D2" s="1146"/>
      <c r="E2" s="1146"/>
      <c r="F2" s="1146"/>
      <c r="G2" s="1146"/>
      <c r="H2" s="1146"/>
      <c r="I2" s="3561" t="s">
        <v>1164</v>
      </c>
      <c r="J2" s="3561"/>
      <c r="K2" s="3564" t="str">
        <f>IF(ISBLANK('Design Details &amp; Summary'!S3)," ",'Design Details &amp; Summary'!S3)</f>
        <v xml:space="preserve"> </v>
      </c>
      <c r="L2" s="3564"/>
      <c r="M2" s="1146"/>
      <c r="N2" s="1146"/>
      <c r="O2" s="1146"/>
      <c r="P2" s="1146"/>
      <c r="Q2" s="1146"/>
      <c r="R2" s="1146"/>
      <c r="S2" s="857" t="str">
        <f>'Drop-Down Lists'!$A2</f>
        <v>v 05.01.2026</v>
      </c>
      <c r="T2" s="52"/>
      <c r="U2" s="52"/>
      <c r="V2" s="52"/>
    </row>
    <row r="3" spans="1:22" ht="6" customHeight="1">
      <c r="A3" s="1147"/>
      <c r="B3" s="308"/>
      <c r="C3" s="308"/>
      <c r="D3" s="308"/>
      <c r="E3" s="308"/>
      <c r="F3" s="308"/>
      <c r="G3" s="308"/>
      <c r="H3" s="308"/>
      <c r="I3" s="308"/>
      <c r="J3" s="308"/>
      <c r="K3" s="308"/>
      <c r="L3" s="308"/>
      <c r="M3" s="308"/>
      <c r="N3" s="308"/>
      <c r="O3" s="308"/>
      <c r="P3" s="308"/>
      <c r="Q3" s="308"/>
      <c r="R3" s="308"/>
      <c r="S3" s="1148"/>
      <c r="T3" s="52"/>
      <c r="U3" s="52"/>
      <c r="V3" s="52"/>
    </row>
    <row r="4" spans="1:22" ht="21" customHeight="1">
      <c r="A4" s="1149"/>
      <c r="B4" s="3562" t="s">
        <v>1793</v>
      </c>
      <c r="C4" s="3562"/>
      <c r="D4" s="3562"/>
      <c r="E4" s="3562"/>
      <c r="F4" s="3562"/>
      <c r="G4" s="3554"/>
      <c r="H4" s="3554"/>
      <c r="I4" s="3565"/>
      <c r="J4" s="3566"/>
      <c r="K4" s="3566"/>
      <c r="L4" s="3567"/>
      <c r="M4" s="52"/>
      <c r="N4" s="1582"/>
      <c r="O4" s="52"/>
      <c r="P4" s="52"/>
      <c r="Q4" s="52"/>
      <c r="S4" s="1150">
        <v>0</v>
      </c>
      <c r="T4" s="52"/>
      <c r="U4" s="360">
        <v>1</v>
      </c>
      <c r="V4" s="52"/>
    </row>
    <row r="5" spans="1:22" ht="6" customHeight="1">
      <c r="A5" s="1149"/>
      <c r="B5" s="52"/>
      <c r="C5" s="52"/>
      <c r="D5" s="52"/>
      <c r="E5" s="52"/>
      <c r="F5" s="52"/>
      <c r="G5" s="52"/>
      <c r="H5" s="52"/>
      <c r="I5" s="52"/>
      <c r="J5" s="52"/>
      <c r="K5" s="52"/>
      <c r="L5" s="52"/>
      <c r="M5" s="52"/>
      <c r="N5" s="52"/>
      <c r="O5" s="52"/>
      <c r="P5" s="52"/>
      <c r="Q5" s="52"/>
      <c r="R5" s="360"/>
      <c r="S5" s="1151"/>
      <c r="T5" s="52"/>
      <c r="U5" s="52"/>
      <c r="V5" s="52"/>
    </row>
    <row r="6" spans="1:22" ht="20.100000000000001" customHeight="1">
      <c r="A6" s="1152" t="s">
        <v>1011</v>
      </c>
      <c r="B6" s="8" t="s">
        <v>1794</v>
      </c>
      <c r="K6" s="3870"/>
      <c r="L6" s="3871"/>
      <c r="M6" s="8" t="s">
        <v>1034</v>
      </c>
      <c r="N6" s="2348"/>
      <c r="S6" s="863"/>
    </row>
    <row r="7" spans="1:22" ht="6" customHeight="1">
      <c r="A7" s="1153"/>
      <c r="R7" s="67"/>
      <c r="S7" s="1154"/>
    </row>
    <row r="8" spans="1:22" ht="20.100000000000001" customHeight="1">
      <c r="A8" s="1152" t="s">
        <v>1019</v>
      </c>
      <c r="B8" s="2927" t="s">
        <v>2219</v>
      </c>
      <c r="C8" s="2927"/>
      <c r="D8" s="2927"/>
      <c r="E8" s="2927"/>
      <c r="F8" s="2927"/>
      <c r="G8" s="2927"/>
      <c r="H8" s="2927"/>
      <c r="K8" s="3872" t="str">
        <f>IF(I4="Pressure", ('Pres. Dist. (Other)'!L69), " ")</f>
        <v xml:space="preserve"> </v>
      </c>
      <c r="L8" s="3873"/>
      <c r="M8" s="8" t="s">
        <v>1034</v>
      </c>
      <c r="S8" s="1155"/>
    </row>
    <row r="9" spans="1:22" ht="6" customHeight="1">
      <c r="A9" s="861"/>
      <c r="S9" s="863"/>
    </row>
    <row r="10" spans="1:22" ht="20.100000000000001" customHeight="1">
      <c r="A10" s="1152" t="s">
        <v>1168</v>
      </c>
      <c r="B10" s="8" t="s">
        <v>1797</v>
      </c>
      <c r="K10" s="3568"/>
      <c r="L10" s="3569"/>
      <c r="M10" s="3569"/>
      <c r="N10" s="3569"/>
      <c r="O10" s="3569"/>
      <c r="P10" s="3570"/>
      <c r="R10" s="67"/>
      <c r="S10" s="863"/>
    </row>
    <row r="11" spans="1:22" ht="6" customHeight="1">
      <c r="A11" s="861"/>
      <c r="S11" s="863"/>
    </row>
    <row r="12" spans="1:22" ht="16.350000000000001" customHeight="1">
      <c r="A12" s="3558" t="s">
        <v>1798</v>
      </c>
      <c r="B12" s="3559"/>
      <c r="C12" s="3559"/>
      <c r="D12" s="3559"/>
      <c r="E12" s="3559"/>
      <c r="F12" s="3559"/>
      <c r="G12" s="3559"/>
      <c r="H12" s="3559"/>
      <c r="I12" s="3559"/>
      <c r="J12" s="3559"/>
      <c r="K12" s="3559"/>
      <c r="L12" s="3559"/>
      <c r="M12" s="3559"/>
      <c r="N12" s="3559"/>
      <c r="O12" s="3559"/>
      <c r="P12" s="3559"/>
      <c r="Q12" s="3559"/>
      <c r="R12" s="3559"/>
      <c r="S12" s="3560"/>
      <c r="T12" s="52"/>
      <c r="U12" s="52"/>
      <c r="V12" s="52"/>
    </row>
    <row r="13" spans="1:22" ht="6" customHeight="1">
      <c r="A13" s="858"/>
      <c r="B13" s="308"/>
      <c r="C13" s="308"/>
      <c r="D13" s="308"/>
      <c r="E13" s="308"/>
      <c r="F13" s="308"/>
      <c r="G13" s="308"/>
      <c r="H13" s="308"/>
      <c r="I13" s="308"/>
      <c r="J13" s="308"/>
      <c r="K13" s="308"/>
      <c r="L13" s="308"/>
      <c r="M13" s="308"/>
      <c r="N13" s="308"/>
      <c r="O13" s="308"/>
      <c r="P13" s="308"/>
      <c r="Q13" s="308"/>
      <c r="R13" s="308"/>
      <c r="S13" s="1148"/>
      <c r="T13" s="52"/>
    </row>
    <row r="14" spans="1:22" ht="20.100000000000001" customHeight="1">
      <c r="A14" s="1152" t="s">
        <v>1011</v>
      </c>
      <c r="B14" s="2946" t="s">
        <v>1799</v>
      </c>
      <c r="C14" s="2946"/>
      <c r="D14" s="2946"/>
      <c r="E14" s="2946"/>
      <c r="F14" s="2872"/>
      <c r="G14" s="2874"/>
      <c r="H14" s="8" t="s">
        <v>609</v>
      </c>
      <c r="K14" s="52"/>
      <c r="L14" s="52"/>
      <c r="M14" s="52"/>
      <c r="N14" s="52"/>
      <c r="O14" s="52"/>
      <c r="P14" s="52"/>
      <c r="Q14" s="52"/>
      <c r="R14" s="52"/>
      <c r="S14" s="1156"/>
      <c r="T14" s="52"/>
    </row>
    <row r="15" spans="1:22" ht="18" customHeight="1">
      <c r="A15" s="1153"/>
      <c r="B15" s="2946" t="s">
        <v>1800</v>
      </c>
      <c r="C15" s="2946"/>
      <c r="D15" s="2946"/>
      <c r="E15" s="2946"/>
      <c r="F15" s="2946"/>
      <c r="G15" s="2946"/>
      <c r="H15" s="2946"/>
      <c r="K15" s="52"/>
      <c r="L15" s="52"/>
      <c r="M15" s="52"/>
      <c r="N15" s="52"/>
      <c r="O15" s="52"/>
      <c r="P15" s="52"/>
      <c r="Q15" s="52"/>
      <c r="R15" s="52"/>
      <c r="S15" s="1156"/>
      <c r="T15" s="52"/>
    </row>
    <row r="16" spans="1:22" ht="6" customHeight="1">
      <c r="A16" s="861"/>
      <c r="B16" s="59"/>
      <c r="C16" s="59"/>
      <c r="D16" s="59"/>
      <c r="E16" s="59"/>
      <c r="F16" s="346"/>
      <c r="G16" s="346"/>
      <c r="H16" s="59"/>
      <c r="I16" s="59"/>
      <c r="J16" s="59"/>
      <c r="K16" s="10"/>
      <c r="L16" s="10"/>
      <c r="M16" s="10"/>
      <c r="N16" s="10"/>
      <c r="O16" s="10"/>
      <c r="P16" s="10"/>
      <c r="Q16" s="28"/>
      <c r="S16" s="1157"/>
    </row>
    <row r="17" spans="1:19" ht="20.100000000000001" customHeight="1">
      <c r="A17" s="1152" t="s">
        <v>1019</v>
      </c>
      <c r="B17" s="2927" t="s">
        <v>1801</v>
      </c>
      <c r="C17" s="2927"/>
      <c r="D17" s="2927"/>
      <c r="E17" s="2927"/>
      <c r="F17" s="3868"/>
      <c r="G17" s="3869"/>
      <c r="H17" s="8" t="s">
        <v>609</v>
      </c>
      <c r="I17" s="10"/>
      <c r="J17" s="10"/>
      <c r="K17" s="10"/>
      <c r="L17" s="10"/>
      <c r="M17" s="10"/>
      <c r="N17" s="10"/>
      <c r="O17" s="10"/>
      <c r="P17" s="10"/>
      <c r="Q17" s="28"/>
      <c r="S17" s="1157"/>
    </row>
    <row r="18" spans="1:19" ht="6" customHeight="1">
      <c r="A18" s="861"/>
      <c r="K18" s="10"/>
      <c r="L18" s="10"/>
      <c r="M18" s="10"/>
      <c r="N18" s="10"/>
      <c r="O18" s="10"/>
      <c r="P18" s="10"/>
      <c r="Q18" s="28"/>
      <c r="S18" s="1157"/>
    </row>
    <row r="19" spans="1:19" ht="20.100000000000001" customHeight="1">
      <c r="A19" s="1152" t="s">
        <v>1168</v>
      </c>
      <c r="B19" s="2946" t="s">
        <v>2220</v>
      </c>
      <c r="C19" s="2946"/>
      <c r="D19" s="2946"/>
      <c r="E19" s="2947"/>
      <c r="F19" s="2872"/>
      <c r="G19" s="2874"/>
      <c r="H19" s="2926" t="s">
        <v>1803</v>
      </c>
      <c r="I19" s="3554"/>
      <c r="J19" s="3554"/>
      <c r="K19" s="3554"/>
      <c r="L19" s="3554"/>
      <c r="M19" s="3554"/>
      <c r="N19" s="3554"/>
      <c r="O19" s="10"/>
      <c r="P19" s="10"/>
      <c r="Q19" s="28"/>
      <c r="S19" s="1157"/>
    </row>
    <row r="20" spans="1:19" ht="6" customHeight="1">
      <c r="A20" s="861"/>
      <c r="B20" s="1613"/>
      <c r="I20" s="10"/>
      <c r="J20" s="10"/>
      <c r="K20" s="10"/>
      <c r="L20" s="10"/>
      <c r="M20" s="10"/>
      <c r="N20" s="10"/>
      <c r="O20" s="10"/>
      <c r="P20" s="10"/>
      <c r="Q20" s="28"/>
      <c r="S20" s="1157"/>
    </row>
    <row r="21" spans="1:19" ht="20.100000000000001" customHeight="1">
      <c r="A21" s="1152" t="s">
        <v>1172</v>
      </c>
      <c r="B21" s="2927" t="s">
        <v>1805</v>
      </c>
      <c r="C21" s="2927"/>
      <c r="D21" s="2927"/>
      <c r="E21" s="2928"/>
      <c r="F21" s="3172"/>
      <c r="G21" s="3173"/>
      <c r="H21" s="8" t="s">
        <v>629</v>
      </c>
      <c r="I21" s="475"/>
      <c r="J21" s="1584"/>
      <c r="K21" s="10"/>
      <c r="L21" s="10"/>
      <c r="M21" s="10"/>
      <c r="N21" s="10"/>
      <c r="O21" s="10"/>
      <c r="P21" s="10"/>
      <c r="Q21" s="28"/>
      <c r="S21" s="1157"/>
    </row>
    <row r="22" spans="1:19" ht="6" customHeight="1">
      <c r="A22" s="1152"/>
      <c r="F22" s="307"/>
      <c r="G22" s="307"/>
      <c r="H22" s="79"/>
      <c r="I22" s="1584"/>
      <c r="J22" s="1584"/>
      <c r="K22" s="10"/>
      <c r="L22" s="10"/>
      <c r="M22" s="10"/>
      <c r="N22" s="10"/>
      <c r="O22" s="10"/>
      <c r="P22" s="10"/>
      <c r="Q22" s="28"/>
      <c r="S22" s="1157"/>
    </row>
    <row r="23" spans="1:19" ht="20.100000000000001" customHeight="1">
      <c r="A23" s="1152"/>
      <c r="B23" s="2927" t="s">
        <v>1806</v>
      </c>
      <c r="C23" s="2927"/>
      <c r="D23" s="2927"/>
      <c r="E23" s="2928"/>
      <c r="F23" s="2940"/>
      <c r="G23" s="2941"/>
      <c r="H23" s="8" t="s">
        <v>609</v>
      </c>
      <c r="I23" s="1584"/>
      <c r="J23" s="1584"/>
      <c r="K23" s="10"/>
      <c r="L23" s="10"/>
      <c r="M23" s="10"/>
      <c r="N23" s="10"/>
      <c r="O23" s="10"/>
      <c r="P23" s="10"/>
      <c r="Q23" s="28"/>
      <c r="S23" s="1157"/>
    </row>
    <row r="24" spans="1:19" ht="6" customHeight="1">
      <c r="A24" s="1152"/>
      <c r="F24" s="307"/>
      <c r="G24" s="307"/>
      <c r="H24" s="79"/>
      <c r="K24" s="10"/>
      <c r="L24" s="10"/>
      <c r="M24" s="10"/>
      <c r="N24" s="10"/>
      <c r="O24" s="10"/>
      <c r="P24" s="10"/>
      <c r="Q24" s="28"/>
      <c r="S24" s="1157"/>
    </row>
    <row r="25" spans="1:19" ht="23.45" customHeight="1">
      <c r="A25" s="1152" t="s">
        <v>1177</v>
      </c>
      <c r="B25" s="2993" t="s">
        <v>2221</v>
      </c>
      <c r="C25" s="2993"/>
      <c r="D25" s="2993"/>
      <c r="E25" s="2993"/>
      <c r="F25" s="2993"/>
      <c r="G25" s="2993"/>
      <c r="H25" s="2993"/>
      <c r="I25" s="2993"/>
      <c r="J25" s="2993"/>
      <c r="K25" s="10"/>
      <c r="L25" s="10"/>
      <c r="M25" s="10"/>
      <c r="N25" s="10"/>
      <c r="O25" s="10"/>
      <c r="P25" s="10"/>
      <c r="Q25" s="28"/>
      <c r="S25" s="1157"/>
    </row>
    <row r="26" spans="1:19" ht="6" customHeight="1">
      <c r="A26" s="1152"/>
      <c r="K26" s="10"/>
      <c r="L26" s="10"/>
      <c r="M26" s="10"/>
      <c r="N26" s="10"/>
      <c r="O26" s="10"/>
      <c r="P26" s="10"/>
      <c r="Q26" s="28"/>
      <c r="S26" s="1157"/>
    </row>
    <row r="27" spans="1:19" ht="20.100000000000001" customHeight="1">
      <c r="A27" s="1153"/>
      <c r="B27" s="8" t="s">
        <v>1808</v>
      </c>
      <c r="E27" s="3169" t="str">
        <f>IF(ISBLANK(F21),"",(1042*((MAX(K8,K6)/(130*F21^2.63))^1.85)))</f>
        <v/>
      </c>
      <c r="F27" s="3170"/>
      <c r="G27" s="2926" t="s">
        <v>1809</v>
      </c>
      <c r="H27" s="2927"/>
      <c r="I27" s="2927"/>
      <c r="J27" s="2927"/>
      <c r="K27" s="2868"/>
      <c r="L27" s="2868"/>
      <c r="M27" s="3"/>
      <c r="N27" s="3"/>
      <c r="O27" s="3"/>
      <c r="P27" s="3"/>
      <c r="Q27" s="28"/>
      <c r="R27" s="51"/>
      <c r="S27" s="1157"/>
    </row>
    <row r="28" spans="1:19" ht="6" customHeight="1">
      <c r="A28" s="861"/>
      <c r="M28" s="3"/>
      <c r="N28" s="3"/>
      <c r="O28" s="1585"/>
      <c r="P28" s="1585"/>
      <c r="Q28" s="51"/>
      <c r="R28" s="51"/>
      <c r="S28" s="1157"/>
    </row>
    <row r="29" spans="1:19" ht="19.5" customHeight="1">
      <c r="A29" s="1152" t="s">
        <v>1179</v>
      </c>
      <c r="B29" s="3167" t="s">
        <v>2222</v>
      </c>
      <c r="C29" s="3167"/>
      <c r="D29" s="3167"/>
      <c r="E29" s="3167"/>
      <c r="F29" s="3167"/>
      <c r="G29" s="3167"/>
      <c r="H29" s="3167"/>
      <c r="I29" s="3167"/>
      <c r="J29" s="3167"/>
      <c r="K29" s="3167"/>
      <c r="L29" s="3167"/>
      <c r="M29" s="4"/>
      <c r="N29" s="4"/>
      <c r="O29" s="17"/>
      <c r="P29" s="17"/>
      <c r="Q29" s="51"/>
      <c r="R29" s="51"/>
      <c r="S29" s="1157"/>
    </row>
    <row r="30" spans="1:19" ht="19.5" customHeight="1">
      <c r="A30" s="1152"/>
      <c r="B30" s="3167"/>
      <c r="C30" s="3167"/>
      <c r="D30" s="3167"/>
      <c r="E30" s="3167"/>
      <c r="F30" s="3167"/>
      <c r="G30" s="3167"/>
      <c r="H30" s="3167"/>
      <c r="I30" s="3167"/>
      <c r="J30" s="3167"/>
      <c r="K30" s="3167"/>
      <c r="L30" s="3167"/>
      <c r="M30" s="4"/>
      <c r="N30" s="4"/>
      <c r="O30" s="17"/>
      <c r="P30" s="17"/>
      <c r="Q30" s="51"/>
      <c r="R30" s="51"/>
      <c r="S30" s="1157"/>
    </row>
    <row r="31" spans="1:19" ht="12" customHeight="1">
      <c r="A31" s="1152"/>
      <c r="B31" s="3167"/>
      <c r="C31" s="3167"/>
      <c r="D31" s="3167"/>
      <c r="E31" s="3167"/>
      <c r="F31" s="3167"/>
      <c r="G31" s="3167"/>
      <c r="H31" s="3167"/>
      <c r="I31" s="3167"/>
      <c r="J31" s="3167"/>
      <c r="K31" s="3167"/>
      <c r="L31" s="3167"/>
      <c r="M31" s="4"/>
      <c r="N31" s="4"/>
      <c r="O31" s="17"/>
      <c r="P31" s="17"/>
      <c r="Q31" s="51"/>
      <c r="R31" s="51"/>
      <c r="S31" s="1157"/>
    </row>
    <row r="32" spans="1:19" ht="20.100000000000001" customHeight="1">
      <c r="A32" s="1153"/>
      <c r="B32" s="3165" t="str">
        <f>IF(ISBLANK(F23),"",F23)</f>
        <v/>
      </c>
      <c r="C32" s="3166"/>
      <c r="D32" s="4" t="s">
        <v>609</v>
      </c>
      <c r="E32" s="4" t="s">
        <v>1343</v>
      </c>
      <c r="F32" s="4">
        <v>1.25</v>
      </c>
      <c r="G32" s="4" t="s">
        <v>1240</v>
      </c>
      <c r="H32" s="3174" t="str">
        <f>IF(ISBLANK(F23),"",(B32*1.25))</f>
        <v/>
      </c>
      <c r="I32" s="3175"/>
      <c r="J32" s="8" t="s">
        <v>609</v>
      </c>
      <c r="K32" s="301"/>
      <c r="L32" s="301"/>
      <c r="M32" s="3"/>
      <c r="N32" s="3"/>
      <c r="O32" s="1585"/>
      <c r="P32" s="1585"/>
      <c r="Q32" s="51"/>
      <c r="R32" s="51"/>
      <c r="S32" s="1157"/>
    </row>
    <row r="33" spans="1:20" ht="10.5" customHeight="1">
      <c r="A33" s="861"/>
      <c r="M33" s="4"/>
      <c r="N33" s="4"/>
      <c r="O33" s="17"/>
      <c r="P33" s="17"/>
      <c r="Q33" s="51"/>
      <c r="R33" s="51"/>
      <c r="S33" s="1157"/>
    </row>
    <row r="34" spans="1:20" ht="20.100000000000001" customHeight="1">
      <c r="A34" s="1152" t="s">
        <v>1181</v>
      </c>
      <c r="B34" s="2946" t="s">
        <v>2223</v>
      </c>
      <c r="C34" s="2946"/>
      <c r="D34" s="2946"/>
      <c r="E34" s="2946"/>
      <c r="F34" s="2946"/>
      <c r="G34" s="2946"/>
      <c r="H34" s="2946"/>
      <c r="I34" s="2946"/>
      <c r="J34" s="2946"/>
      <c r="K34" s="2946"/>
      <c r="L34" s="2946"/>
      <c r="M34" s="473"/>
      <c r="N34" s="473"/>
      <c r="O34" s="473"/>
      <c r="P34" s="473"/>
      <c r="Q34" s="473"/>
      <c r="R34" s="473"/>
      <c r="S34" s="1425"/>
    </row>
    <row r="35" spans="1:20" ht="14.45" customHeight="1">
      <c r="A35" s="861"/>
      <c r="B35" s="2946"/>
      <c r="C35" s="2946"/>
      <c r="D35" s="2946"/>
      <c r="E35" s="2946"/>
      <c r="F35" s="2946"/>
      <c r="G35" s="2946"/>
      <c r="H35" s="2946"/>
      <c r="I35" s="2946"/>
      <c r="J35" s="2946"/>
      <c r="K35" s="2946"/>
      <c r="L35" s="2946"/>
      <c r="M35" s="473"/>
      <c r="N35" s="473"/>
      <c r="O35" s="473"/>
      <c r="P35" s="473"/>
      <c r="Q35" s="473"/>
      <c r="R35" s="473"/>
      <c r="S35" s="1425"/>
    </row>
    <row r="36" spans="1:20" ht="18" customHeight="1">
      <c r="A36" s="1153"/>
      <c r="B36" s="2927" t="s">
        <v>1812</v>
      </c>
      <c r="C36" s="2927"/>
      <c r="D36" s="2927"/>
      <c r="E36" s="2927"/>
      <c r="S36" s="1157"/>
    </row>
    <row r="37" spans="1:20" ht="20.100000000000001" customHeight="1">
      <c r="A37" s="861"/>
      <c r="B37" s="3169" t="str">
        <f>IF(ISBLANK(E27)," ",E27)</f>
        <v/>
      </c>
      <c r="C37" s="3170"/>
      <c r="D37" s="8" t="s">
        <v>2224</v>
      </c>
      <c r="F37" s="3174" t="str">
        <f>H32</f>
        <v/>
      </c>
      <c r="G37" s="3175"/>
      <c r="H37" s="4" t="s">
        <v>2225</v>
      </c>
      <c r="I37" s="4" t="s">
        <v>2226</v>
      </c>
      <c r="J37" s="3174" t="str">
        <f>IF(ISBLANK(F23),"",((B37*F37)/100))</f>
        <v/>
      </c>
      <c r="K37" s="3175"/>
      <c r="L37" s="8" t="s">
        <v>609</v>
      </c>
      <c r="Q37" s="51"/>
      <c r="S37" s="1157"/>
    </row>
    <row r="38" spans="1:20" ht="8.4499999999999993" customHeight="1">
      <c r="A38" s="861"/>
      <c r="M38" s="10"/>
      <c r="N38" s="10"/>
      <c r="O38" s="27"/>
      <c r="P38" s="51"/>
      <c r="Q38" s="51"/>
      <c r="S38" s="1157"/>
    </row>
    <row r="39" spans="1:20" ht="20.100000000000001" customHeight="1">
      <c r="A39" s="861"/>
      <c r="E39" s="4"/>
      <c r="F39" s="10"/>
      <c r="G39" s="10"/>
      <c r="H39" s="10"/>
      <c r="I39" s="10"/>
      <c r="J39" s="10"/>
      <c r="K39" s="10"/>
      <c r="L39" s="10"/>
      <c r="M39" s="10"/>
      <c r="S39" s="1157"/>
    </row>
    <row r="40" spans="1:20" ht="6" customHeight="1">
      <c r="A40" s="1153"/>
      <c r="S40" s="1157"/>
    </row>
    <row r="41" spans="1:20" ht="6" customHeight="1">
      <c r="A41" s="861"/>
      <c r="S41" s="863"/>
    </row>
    <row r="42" spans="1:20" ht="6" customHeight="1">
      <c r="A42" s="1158"/>
      <c r="B42" s="61"/>
      <c r="C42" s="309"/>
      <c r="D42" s="309"/>
      <c r="E42" s="310"/>
      <c r="F42" s="61"/>
      <c r="G42" s="105"/>
      <c r="H42" s="309"/>
      <c r="I42" s="309"/>
      <c r="J42" s="310"/>
      <c r="K42" s="311"/>
      <c r="L42" s="319"/>
      <c r="M42" s="319"/>
      <c r="N42" s="319"/>
      <c r="O42" s="319"/>
      <c r="P42" s="319"/>
      <c r="Q42" s="319"/>
      <c r="R42" s="319"/>
      <c r="S42" s="1159"/>
    </row>
    <row r="43" spans="1:20" ht="6" customHeight="1">
      <c r="A43" s="1160"/>
      <c r="B43" s="41"/>
      <c r="C43" s="313"/>
      <c r="D43" s="313"/>
      <c r="E43" s="314"/>
      <c r="F43" s="41"/>
      <c r="G43" s="315"/>
      <c r="H43" s="313"/>
      <c r="I43" s="313"/>
      <c r="J43" s="314"/>
      <c r="K43" s="316"/>
      <c r="L43" s="315"/>
      <c r="M43" s="348"/>
      <c r="N43" s="314"/>
      <c r="O43" s="317"/>
      <c r="P43" s="317"/>
      <c r="Q43" s="317"/>
      <c r="R43" s="317"/>
      <c r="S43" s="1161"/>
    </row>
    <row r="44" spans="1:20" ht="18" customHeight="1">
      <c r="A44" s="1152" t="s">
        <v>1184</v>
      </c>
      <c r="B44" s="5" t="s">
        <v>2227</v>
      </c>
      <c r="C44" s="5"/>
      <c r="D44" s="5"/>
      <c r="E44" s="5"/>
      <c r="F44" s="5"/>
      <c r="G44" s="5"/>
      <c r="H44" s="5"/>
      <c r="I44" s="5"/>
      <c r="J44" s="5"/>
      <c r="K44" s="5"/>
      <c r="L44" s="5"/>
      <c r="M44" s="5"/>
      <c r="N44" s="5"/>
      <c r="O44" s="5"/>
      <c r="P44" s="5"/>
      <c r="Q44" s="5"/>
      <c r="R44" s="5"/>
      <c r="S44" s="1123"/>
    </row>
    <row r="45" spans="1:20" ht="6" customHeight="1">
      <c r="A45" s="861"/>
      <c r="B45" s="26"/>
      <c r="C45" s="26"/>
      <c r="D45" s="26"/>
      <c r="E45" s="26"/>
      <c r="F45" s="26"/>
      <c r="G45" s="26"/>
      <c r="H45" s="26"/>
      <c r="I45" s="26"/>
      <c r="J45" s="26"/>
      <c r="K45" s="26"/>
      <c r="L45" s="26"/>
      <c r="M45" s="26"/>
      <c r="N45" s="26"/>
      <c r="P45" s="26"/>
      <c r="Q45" s="26"/>
      <c r="R45" s="4"/>
      <c r="S45" s="1157"/>
    </row>
    <row r="46" spans="1:20" ht="20.100000000000001" customHeight="1">
      <c r="A46" s="1153"/>
      <c r="B46" s="3174" t="str">
        <f>IF(ISBLANK(F14)," ",(F14))</f>
        <v xml:space="preserve"> </v>
      </c>
      <c r="C46" s="3175"/>
      <c r="D46" s="8" t="s">
        <v>1815</v>
      </c>
      <c r="E46" s="4" t="s">
        <v>987</v>
      </c>
      <c r="F46" s="3174" t="str">
        <f>IF(ISBLANK(F17)," ",(F17))</f>
        <v xml:space="preserve"> </v>
      </c>
      <c r="G46" s="3175"/>
      <c r="H46" s="8" t="s">
        <v>609</v>
      </c>
      <c r="I46" s="4" t="s">
        <v>987</v>
      </c>
      <c r="J46" s="3174" t="str">
        <f>IF(ISBLANK(F19)," ",F19)</f>
        <v xml:space="preserve"> </v>
      </c>
      <c r="K46" s="3175"/>
      <c r="L46" s="8" t="s">
        <v>1356</v>
      </c>
      <c r="M46" s="3174" t="str">
        <f>IF(ISBLANK(J37)," ",J37)</f>
        <v/>
      </c>
      <c r="N46" s="3175"/>
      <c r="O46" s="8" t="s">
        <v>1816</v>
      </c>
      <c r="P46" s="3174" t="str">
        <f>IF(ISBLANK(F21),"",SUM(B46,J46,F46+M46,))</f>
        <v/>
      </c>
      <c r="Q46" s="3175"/>
      <c r="R46" s="8" t="s">
        <v>609</v>
      </c>
      <c r="S46" s="863"/>
    </row>
    <row r="47" spans="1:20" ht="6" customHeight="1">
      <c r="A47" s="1162"/>
      <c r="B47" s="61"/>
      <c r="C47" s="61"/>
      <c r="D47" s="61"/>
      <c r="E47" s="61"/>
      <c r="F47" s="61"/>
      <c r="G47" s="61"/>
      <c r="H47" s="61"/>
      <c r="I47" s="61"/>
      <c r="J47" s="61"/>
      <c r="K47" s="61"/>
      <c r="L47" s="61"/>
      <c r="M47" s="61"/>
      <c r="N47" s="61"/>
      <c r="O47" s="61"/>
      <c r="P47" s="39"/>
      <c r="Q47" s="61"/>
      <c r="R47" s="38"/>
      <c r="S47" s="1163"/>
    </row>
    <row r="48" spans="1:20" ht="16.350000000000001" customHeight="1">
      <c r="A48" s="3541" t="s">
        <v>1817</v>
      </c>
      <c r="B48" s="3542"/>
      <c r="C48" s="3542"/>
      <c r="D48" s="3542"/>
      <c r="E48" s="3542"/>
      <c r="F48" s="3542"/>
      <c r="G48" s="3542"/>
      <c r="H48" s="3542"/>
      <c r="I48" s="3542"/>
      <c r="J48" s="3542"/>
      <c r="K48" s="3542"/>
      <c r="L48" s="3542"/>
      <c r="M48" s="3542"/>
      <c r="N48" s="3542"/>
      <c r="O48" s="3542"/>
      <c r="P48" s="3542"/>
      <c r="Q48" s="3542"/>
      <c r="R48" s="3542"/>
      <c r="S48" s="3543"/>
      <c r="T48" s="52"/>
    </row>
    <row r="49" spans="1:47" ht="20.45" customHeight="1">
      <c r="A49" s="3544" t="s">
        <v>1818</v>
      </c>
      <c r="B49" s="3545"/>
      <c r="C49" s="3545"/>
      <c r="D49" s="3545"/>
      <c r="E49" s="3545"/>
      <c r="F49" s="3545"/>
      <c r="G49" s="3545"/>
      <c r="H49" s="3546" t="str">
        <f>IF(ISBLANK(F14),"",MAX(K6,K8))</f>
        <v/>
      </c>
      <c r="I49" s="3546"/>
      <c r="J49" s="374" t="s">
        <v>2228</v>
      </c>
      <c r="K49" s="374"/>
      <c r="L49" s="374"/>
      <c r="M49" s="374"/>
      <c r="N49" s="374"/>
      <c r="O49" s="3546" t="str">
        <f>IF(ISBLANK(F14),"  ",P46)</f>
        <v xml:space="preserve">  </v>
      </c>
      <c r="P49" s="3546"/>
      <c r="Q49" s="374" t="s">
        <v>1820</v>
      </c>
      <c r="S49" s="1164"/>
    </row>
    <row r="50" spans="1:47" ht="6" customHeight="1">
      <c r="A50" s="1160"/>
      <c r="B50" s="41"/>
      <c r="C50" s="313"/>
      <c r="D50" s="313"/>
      <c r="E50" s="314"/>
      <c r="F50" s="41"/>
      <c r="G50" s="315"/>
      <c r="H50" s="313"/>
      <c r="I50" s="313"/>
      <c r="J50" s="314"/>
      <c r="K50" s="316"/>
      <c r="L50" s="315"/>
      <c r="M50" s="348"/>
      <c r="N50" s="314"/>
      <c r="O50" s="317"/>
      <c r="P50" s="317"/>
      <c r="Q50" s="317"/>
      <c r="R50" s="317"/>
      <c r="S50" s="1161"/>
    </row>
    <row r="51" spans="1:47" ht="20.100000000000001" customHeight="1">
      <c r="A51" s="3550" t="s">
        <v>719</v>
      </c>
      <c r="B51" s="3551"/>
      <c r="C51" s="3551"/>
      <c r="D51" s="3552"/>
      <c r="E51" s="3552"/>
      <c r="F51" s="3552"/>
      <c r="G51" s="3552"/>
      <c r="H51" s="3552"/>
      <c r="I51" s="3552"/>
      <c r="J51" s="3552"/>
      <c r="K51" s="3552"/>
      <c r="L51" s="3552"/>
      <c r="M51" s="3552"/>
      <c r="N51" s="3552"/>
      <c r="O51" s="3552"/>
      <c r="P51" s="3552"/>
      <c r="Q51" s="3552"/>
      <c r="R51" s="3552"/>
      <c r="S51" s="3553"/>
    </row>
    <row r="52" spans="1:47" ht="93.6" customHeight="1" thickBot="1">
      <c r="A52" s="3865"/>
      <c r="B52" s="3866"/>
      <c r="C52" s="3866"/>
      <c r="D52" s="3866"/>
      <c r="E52" s="3866"/>
      <c r="F52" s="3866"/>
      <c r="G52" s="3866"/>
      <c r="H52" s="3866"/>
      <c r="I52" s="3866"/>
      <c r="J52" s="3866"/>
      <c r="K52" s="3866"/>
      <c r="L52" s="3866"/>
      <c r="M52" s="3866"/>
      <c r="N52" s="3866"/>
      <c r="O52" s="3866"/>
      <c r="P52" s="3866"/>
      <c r="Q52" s="3866"/>
      <c r="R52" s="3866"/>
      <c r="S52" s="3867"/>
    </row>
    <row r="53" spans="1:47" ht="24.75" customHeight="1">
      <c r="AU53" s="17"/>
    </row>
    <row r="54" spans="1:47" ht="24.75" customHeight="1">
      <c r="AU54" s="17"/>
    </row>
    <row r="55" spans="1:47" ht="24.75" customHeight="1">
      <c r="AU55" s="17"/>
    </row>
    <row r="56" spans="1:47" ht="24.75" customHeight="1">
      <c r="AU56" s="17"/>
    </row>
    <row r="57" spans="1:47" ht="24.75" customHeight="1">
      <c r="AU57" s="17"/>
    </row>
    <row r="58" spans="1:47" ht="24.75" customHeight="1">
      <c r="AU58" s="17"/>
    </row>
    <row r="59" spans="1:47" ht="24.75" customHeight="1">
      <c r="AU59" s="17"/>
    </row>
    <row r="60" spans="1:47" ht="24.75" customHeight="1">
      <c r="AU60" s="17"/>
    </row>
    <row r="61" spans="1:47" ht="24.75" customHeight="1">
      <c r="AU61" s="17"/>
    </row>
    <row r="62" spans="1:47" ht="24.75" customHeight="1">
      <c r="AU62" s="17"/>
    </row>
    <row r="63" spans="1:47" ht="24.75" customHeight="1">
      <c r="AU63" s="17"/>
    </row>
    <row r="64" spans="1:47" ht="24.75" customHeight="1">
      <c r="AU64" s="17"/>
    </row>
    <row r="65" spans="26:47" ht="24.75" customHeight="1">
      <c r="AU65" s="17"/>
    </row>
    <row r="66" spans="26:47" ht="24.75" customHeight="1">
      <c r="AU66" s="17"/>
    </row>
    <row r="67" spans="26:47" ht="24.75" customHeight="1">
      <c r="AU67" s="17"/>
    </row>
    <row r="68" spans="26:47" ht="24.75" customHeight="1">
      <c r="AU68" s="17"/>
    </row>
    <row r="69" spans="26:47" ht="24.75" customHeight="1">
      <c r="AU69" s="17"/>
    </row>
    <row r="70" spans="26:47" ht="24.75" customHeight="1">
      <c r="AU70" s="17"/>
    </row>
    <row r="71" spans="26:47" ht="24.75" customHeight="1">
      <c r="AU71" s="17"/>
    </row>
    <row r="72" spans="26:47" ht="24.75" customHeight="1">
      <c r="AU72" s="17"/>
    </row>
    <row r="73" spans="26:47" ht="24.75" customHeight="1">
      <c r="AU73" s="17"/>
    </row>
    <row r="74" spans="26:47" ht="24.75" customHeight="1">
      <c r="AU74" s="17"/>
    </row>
    <row r="75" spans="26:47" ht="24.75" customHeight="1">
      <c r="Z75" s="19"/>
      <c r="AA75" s="17"/>
      <c r="AB75" s="3539" t="s">
        <v>1821</v>
      </c>
      <c r="AC75" s="3540"/>
      <c r="AD75" s="302">
        <v>1.5</v>
      </c>
      <c r="AE75" s="302">
        <v>2</v>
      </c>
      <c r="AF75" s="303">
        <v>3</v>
      </c>
      <c r="AU75" s="17"/>
    </row>
    <row r="76" spans="26:47" ht="24.75" customHeight="1">
      <c r="Z76" s="17"/>
      <c r="AA76" s="17"/>
      <c r="AB76" s="3539" t="s">
        <v>1822</v>
      </c>
      <c r="AC76" s="3540"/>
      <c r="AD76" s="304">
        <v>1.07</v>
      </c>
      <c r="AE76" s="302">
        <v>1.38</v>
      </c>
      <c r="AF76" s="303">
        <v>2.04</v>
      </c>
    </row>
    <row r="77" spans="26:47" ht="24.75" customHeight="1">
      <c r="Z77" s="19"/>
      <c r="AA77" s="17"/>
      <c r="AB77" s="3539" t="s">
        <v>1823</v>
      </c>
      <c r="AC77" s="3540"/>
      <c r="AD77" s="302">
        <v>4.03</v>
      </c>
      <c r="AE77" s="302">
        <v>5.17</v>
      </c>
      <c r="AF77" s="303">
        <v>7.67</v>
      </c>
    </row>
    <row r="78" spans="26:47" ht="24.75" customHeight="1">
      <c r="Z78" s="19"/>
      <c r="AA78" s="17"/>
      <c r="AB78" s="3539" t="s">
        <v>1824</v>
      </c>
      <c r="AC78" s="3540"/>
      <c r="AD78" s="302">
        <v>2.15</v>
      </c>
      <c r="AE78" s="302">
        <v>2.76</v>
      </c>
      <c r="AF78" s="303">
        <v>4.09</v>
      </c>
    </row>
    <row r="79" spans="26:47" ht="24.75" customHeight="1">
      <c r="Z79" s="32"/>
      <c r="AA79" s="17"/>
      <c r="AB79" s="3539" t="s">
        <v>1825</v>
      </c>
      <c r="AC79" s="3540"/>
      <c r="AD79" s="302">
        <v>2.68</v>
      </c>
      <c r="AE79" s="302">
        <v>3.45</v>
      </c>
      <c r="AF79" s="303">
        <v>5.1100000000000003</v>
      </c>
    </row>
    <row r="80" spans="26:47" ht="24.75" customHeight="1">
      <c r="AA80" s="17"/>
      <c r="AB80" s="3539" t="s">
        <v>1826</v>
      </c>
      <c r="AC80" s="3540"/>
      <c r="AD80" s="302">
        <v>8.0500000000000007</v>
      </c>
      <c r="AE80" s="304">
        <v>10.3</v>
      </c>
      <c r="AF80" s="305">
        <v>15.3</v>
      </c>
    </row>
    <row r="81" spans="27:32" ht="24.75" customHeight="1">
      <c r="AA81" s="17"/>
      <c r="AB81" s="3537" t="s">
        <v>1827</v>
      </c>
      <c r="AC81" s="3538"/>
      <c r="AD81" s="304">
        <v>13.4</v>
      </c>
      <c r="AE81" s="304">
        <v>17.2</v>
      </c>
      <c r="AF81" s="305">
        <v>25.5</v>
      </c>
    </row>
    <row r="82" spans="27:32" ht="24.75" customHeight="1">
      <c r="AA82" s="17"/>
      <c r="AB82" s="3537" t="s">
        <v>1828</v>
      </c>
      <c r="AC82" s="3538"/>
      <c r="AD82" s="304">
        <v>20.100000000000001</v>
      </c>
      <c r="AE82" s="304">
        <v>25.8</v>
      </c>
      <c r="AF82" s="305">
        <v>38.4</v>
      </c>
    </row>
    <row r="83" spans="27:32" ht="24.75" customHeight="1">
      <c r="AA83" s="17"/>
      <c r="AB83" s="3537" t="s">
        <v>1829</v>
      </c>
      <c r="AC83" s="3538"/>
      <c r="AD83" s="304">
        <v>45.6</v>
      </c>
      <c r="AE83" s="304">
        <v>58.6</v>
      </c>
      <c r="AF83" s="305">
        <v>86.9</v>
      </c>
    </row>
    <row r="84" spans="27:32" ht="24.75" customHeight="1">
      <c r="AA84" s="17"/>
      <c r="AB84" s="3537" t="s">
        <v>1830</v>
      </c>
      <c r="AC84" s="3538"/>
      <c r="AD84" s="302" t="s">
        <v>1282</v>
      </c>
      <c r="AE84" s="302">
        <v>7.75</v>
      </c>
      <c r="AF84" s="305">
        <v>11.5</v>
      </c>
    </row>
    <row r="85" spans="27:32" ht="24.75" customHeight="1">
      <c r="AA85" s="17"/>
    </row>
    <row r="86" spans="27:32" ht="24.75" customHeight="1">
      <c r="AA86" s="17"/>
    </row>
    <row r="87" spans="27:32" ht="24.75" customHeight="1">
      <c r="AA87" s="17"/>
    </row>
    <row r="88" spans="27:32" ht="24.75" customHeight="1">
      <c r="AA88" s="17"/>
    </row>
    <row r="89" spans="27:32" ht="24.75" customHeight="1">
      <c r="AA89" s="17"/>
    </row>
    <row r="90" spans="27:32" ht="24.75" customHeight="1">
      <c r="AA90" s="17"/>
    </row>
    <row r="91" spans="27:32" ht="24.75" customHeight="1">
      <c r="AA91" s="17"/>
    </row>
    <row r="92" spans="27:32" ht="24.75" customHeight="1">
      <c r="AA92" s="17"/>
    </row>
    <row r="93" spans="27:32" ht="24.75" customHeight="1">
      <c r="AA93" s="17"/>
    </row>
    <row r="94" spans="27:32" ht="24.75" customHeight="1">
      <c r="AA94" s="17"/>
    </row>
    <row r="95" spans="27:32" ht="24.75" customHeight="1">
      <c r="AA95" s="17"/>
    </row>
    <row r="96" spans="27:32" ht="24.75" customHeight="1">
      <c r="AA96" s="17"/>
    </row>
    <row r="97" spans="27:27" ht="24.75" customHeight="1">
      <c r="AA97" s="17"/>
    </row>
    <row r="98" spans="27:27" ht="24.75" customHeight="1">
      <c r="AA98" s="17"/>
    </row>
    <row r="99" spans="27:27" ht="24.75" customHeight="1">
      <c r="AA99" s="17"/>
    </row>
    <row r="100" spans="27:27" ht="24.75" customHeight="1">
      <c r="AA100" s="17"/>
    </row>
    <row r="101" spans="27:27" ht="24.75" customHeight="1">
      <c r="AA101" s="17"/>
    </row>
    <row r="102" spans="27:27" ht="24.75" customHeight="1">
      <c r="AA102" s="17"/>
    </row>
    <row r="103" spans="27:27" ht="24.75" customHeight="1">
      <c r="AA103" s="17"/>
    </row>
    <row r="104" spans="27:27" ht="24.75" customHeight="1">
      <c r="AA104" s="17"/>
    </row>
    <row r="105" spans="27:27" ht="24.75" customHeight="1">
      <c r="AA105" s="17"/>
    </row>
    <row r="106" spans="27:27" ht="24.75" customHeight="1">
      <c r="AA106" s="17"/>
    </row>
    <row r="107" spans="27:27" ht="24.75" customHeight="1">
      <c r="AA107" s="17"/>
    </row>
    <row r="108" spans="27:27" ht="24.75" customHeight="1">
      <c r="AA108" s="17"/>
    </row>
    <row r="109" spans="27:27" ht="24.75" customHeight="1">
      <c r="AA109" s="17"/>
    </row>
    <row r="110" spans="27:27" ht="24.75" customHeight="1">
      <c r="AA110" s="17"/>
    </row>
    <row r="111" spans="27:27" ht="24.75" customHeight="1">
      <c r="AA111" s="17"/>
    </row>
    <row r="112" spans="27:27" ht="24.75" customHeight="1">
      <c r="AA112" s="17"/>
    </row>
    <row r="113" spans="27:27" ht="24.75" customHeight="1">
      <c r="AA113" s="17"/>
    </row>
    <row r="114" spans="27:27" ht="24.75" customHeight="1">
      <c r="AA114" s="17"/>
    </row>
    <row r="115" spans="27:27" ht="24.75" customHeight="1">
      <c r="AA115" s="17"/>
    </row>
    <row r="116" spans="27:27" ht="24.75" customHeight="1">
      <c r="AA116" s="17"/>
    </row>
    <row r="117" spans="27:27" ht="24.75" customHeight="1">
      <c r="AA117" s="17"/>
    </row>
    <row r="118" spans="27:27" ht="24.75" customHeight="1">
      <c r="AA118" s="17"/>
    </row>
    <row r="119" spans="27:27" ht="24.75" customHeight="1">
      <c r="AA119" s="17"/>
    </row>
    <row r="120" spans="27:27" ht="24.75" customHeight="1">
      <c r="AA120" s="17"/>
    </row>
    <row r="121" spans="27:27" ht="24.75" customHeight="1">
      <c r="AA121" s="17"/>
    </row>
    <row r="122" spans="27:27" ht="24.75" customHeight="1">
      <c r="AA122" s="17"/>
    </row>
    <row r="123" spans="27:27" ht="24.75" customHeight="1">
      <c r="AA123" s="17"/>
    </row>
    <row r="124" spans="27:27" ht="24.75" customHeight="1">
      <c r="AA124" s="17"/>
    </row>
    <row r="125" spans="27:27" ht="24.75" customHeight="1">
      <c r="AA125" s="17"/>
    </row>
    <row r="126" spans="27:27" ht="24.75" customHeight="1">
      <c r="AA126" s="17"/>
    </row>
  </sheetData>
  <sheetProtection sheet="1" objects="1" scenarios="1"/>
  <customSheetViews>
    <customSheetView guid="{D1431318-1DB8-4C45-813B-5A8065DFC797}" showPageBreaks="1" zeroValues="0" printArea="1" view="pageBreakPreview">
      <selection activeCell="X57" sqref="X57"/>
      <pageMargins left="0" right="0" top="0" bottom="0" header="0" footer="0"/>
      <printOptions horizontalCentered="1"/>
      <pageSetup scale="75" orientation="portrait" blackAndWhite="1" r:id="rId1"/>
    </customSheetView>
  </customSheetViews>
  <mergeCells count="55">
    <mergeCell ref="E1:O1"/>
    <mergeCell ref="K10:P10"/>
    <mergeCell ref="B4:H4"/>
    <mergeCell ref="K6:L6"/>
    <mergeCell ref="B8:H8"/>
    <mergeCell ref="K8:L8"/>
    <mergeCell ref="I2:J2"/>
    <mergeCell ref="K2:L2"/>
    <mergeCell ref="I4:L4"/>
    <mergeCell ref="H19:N19"/>
    <mergeCell ref="B25:J25"/>
    <mergeCell ref="A12:S12"/>
    <mergeCell ref="B14:E14"/>
    <mergeCell ref="F14:G14"/>
    <mergeCell ref="B15:H15"/>
    <mergeCell ref="B17:E17"/>
    <mergeCell ref="F17:G17"/>
    <mergeCell ref="B21:E21"/>
    <mergeCell ref="F21:G21"/>
    <mergeCell ref="B23:E23"/>
    <mergeCell ref="F23:G23"/>
    <mergeCell ref="B19:E19"/>
    <mergeCell ref="F19:G19"/>
    <mergeCell ref="J37:K37"/>
    <mergeCell ref="B34:L35"/>
    <mergeCell ref="E27:F27"/>
    <mergeCell ref="G27:J27"/>
    <mergeCell ref="B29:L31"/>
    <mergeCell ref="K27:L27"/>
    <mergeCell ref="B32:C32"/>
    <mergeCell ref="H32:I32"/>
    <mergeCell ref="B36:E36"/>
    <mergeCell ref="B37:C37"/>
    <mergeCell ref="F37:G37"/>
    <mergeCell ref="B46:C46"/>
    <mergeCell ref="F46:G46"/>
    <mergeCell ref="J46:K46"/>
    <mergeCell ref="M46:N46"/>
    <mergeCell ref="P46:Q46"/>
    <mergeCell ref="A48:S48"/>
    <mergeCell ref="A49:G49"/>
    <mergeCell ref="H49:I49"/>
    <mergeCell ref="O49:P49"/>
    <mergeCell ref="A51:S51"/>
    <mergeCell ref="A52:S52"/>
    <mergeCell ref="AB81:AC81"/>
    <mergeCell ref="AB82:AC82"/>
    <mergeCell ref="AB83:AC83"/>
    <mergeCell ref="AB84:AC84"/>
    <mergeCell ref="AB75:AC75"/>
    <mergeCell ref="AB76:AC76"/>
    <mergeCell ref="AB77:AC77"/>
    <mergeCell ref="AB78:AC78"/>
    <mergeCell ref="AB79:AC79"/>
    <mergeCell ref="AB80:AC80"/>
  </mergeCells>
  <dataValidations count="4">
    <dataValidation type="decimal" allowBlank="1" showInputMessage="1" showErrorMessage="1" sqref="K6" xr:uid="{00000000-0002-0000-1C00-000000000000}">
      <formula1>10</formula1>
      <formula2>45</formula2>
    </dataValidation>
    <dataValidation type="list" allowBlank="1" showInputMessage="1" showErrorMessage="1" sqref="F21:G21" xr:uid="{00000000-0002-0000-1C00-000001000000}">
      <formula1>PipeDia</formula1>
    </dataValidation>
    <dataValidation type="list" allowBlank="1" showInputMessage="1" showErrorMessage="1" sqref="F17:G17" xr:uid="{00000000-0002-0000-1C00-000002000000}">
      <formula1>DistHeadLoss</formula1>
    </dataValidation>
    <dataValidation type="list" allowBlank="1" showInputMessage="1" sqref="K10:P10" xr:uid="{00000000-0002-0000-1C00-000003000000}">
      <formula1>PumpTankType</formula1>
    </dataValidation>
  </dataValidations>
  <printOptions horizontalCentered="1"/>
  <pageMargins left="0.45" right="0.45" top="0.5" bottom="0.5" header="0.3" footer="0.3"/>
  <pageSetup scale="75" orientation="portrait" blackAndWhite="1"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4000000}">
          <x14:formula1>
            <xm:f>'Drop-Down Lists'!$BT$2:$BT$3</xm:f>
          </x14:formula1>
          <xm:sqref>I4:L4</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tabColor rgb="FF00B0F0"/>
    <pageSetUpPr fitToPage="1"/>
  </sheetPr>
  <dimension ref="A1:AU90"/>
  <sheetViews>
    <sheetView showGridLines="0" view="pageBreakPreview" zoomScaleNormal="100" zoomScaleSheetLayoutView="100" workbookViewId="0">
      <selection activeCell="I4" sqref="I4:J4"/>
    </sheetView>
  </sheetViews>
  <sheetFormatPr defaultColWidth="6.42578125" defaultRowHeight="35.1" customHeight="1"/>
  <cols>
    <col min="1" max="1" width="3.42578125" style="8" customWidth="1"/>
    <col min="2" max="16" width="7.42578125" style="8" customWidth="1"/>
    <col min="17" max="20" width="7.42578125" style="4" customWidth="1"/>
    <col min="21" max="34" width="6.42578125" style="8" customWidth="1"/>
    <col min="35" max="16384" width="6.42578125" style="8"/>
  </cols>
  <sheetData>
    <row r="1" spans="1:47" ht="54.95" customHeight="1" thickBot="1">
      <c r="B1" s="323"/>
      <c r="C1" s="323"/>
      <c r="D1" s="323"/>
      <c r="E1" s="3176" t="s">
        <v>2229</v>
      </c>
      <c r="F1" s="3176"/>
      <c r="G1" s="3176"/>
      <c r="H1" s="3176"/>
      <c r="I1" s="3176"/>
      <c r="J1" s="3176"/>
      <c r="K1" s="3176"/>
      <c r="L1" s="3176"/>
      <c r="M1" s="3176"/>
      <c r="N1" s="3176"/>
      <c r="O1" s="3176"/>
      <c r="P1" s="3176"/>
      <c r="Q1" s="712"/>
      <c r="R1" s="712"/>
      <c r="S1" s="712"/>
      <c r="T1" s="712"/>
      <c r="V1" s="16"/>
      <c r="X1" s="16"/>
      <c r="Y1" s="16"/>
      <c r="Z1" s="16"/>
      <c r="AA1" s="16"/>
      <c r="AB1" s="16"/>
      <c r="AC1" s="16"/>
      <c r="AD1" s="721"/>
      <c r="AE1" s="721"/>
      <c r="AF1" s="18"/>
      <c r="AG1" s="18"/>
      <c r="AH1" s="16"/>
      <c r="AI1" s="16"/>
      <c r="AJ1" s="16"/>
      <c r="AK1" s="16"/>
      <c r="AL1" s="16"/>
      <c r="AM1" s="16"/>
      <c r="AN1" s="16"/>
      <c r="AO1" s="24"/>
    </row>
    <row r="2" spans="1:47" ht="24" customHeight="1">
      <c r="A2" s="856"/>
      <c r="B2" s="3589" t="s">
        <v>1833</v>
      </c>
      <c r="C2" s="3589"/>
      <c r="D2" s="3589"/>
      <c r="E2" s="3589"/>
      <c r="F2" s="3589"/>
      <c r="G2" s="3589"/>
      <c r="H2" s="3589"/>
      <c r="I2" s="3589"/>
      <c r="J2" s="3589"/>
      <c r="K2" s="3589"/>
      <c r="L2" s="3588" t="s">
        <v>1164</v>
      </c>
      <c r="M2" s="3588"/>
      <c r="N2" s="3590" t="str">
        <f>IF(ISBLANK('Design Details &amp; Summary'!S3)," ",'Design Details &amp; Summary'!S3)</f>
        <v xml:space="preserve"> </v>
      </c>
      <c r="O2" s="3590"/>
      <c r="P2" s="1127"/>
      <c r="Q2" s="1127"/>
      <c r="R2" s="1127"/>
      <c r="S2" s="1127"/>
      <c r="T2" s="857" t="str">
        <f>'Drop-Down Lists'!A2</f>
        <v>v 05.01.2026</v>
      </c>
      <c r="V2" s="722"/>
      <c r="W2" s="16" t="s">
        <v>1834</v>
      </c>
      <c r="AH2" s="16"/>
      <c r="AI2" s="16"/>
      <c r="AJ2" s="16"/>
      <c r="AK2" s="16"/>
      <c r="AL2" s="16"/>
      <c r="AM2" s="16"/>
      <c r="AN2" s="16"/>
      <c r="AO2" s="16"/>
      <c r="AT2" s="17"/>
      <c r="AU2" s="17"/>
    </row>
    <row r="3" spans="1:47" ht="6" customHeight="1">
      <c r="A3" s="858"/>
      <c r="B3" s="91"/>
      <c r="C3" s="91"/>
      <c r="D3" s="91"/>
      <c r="E3" s="91"/>
      <c r="F3" s="91"/>
      <c r="G3" s="91"/>
      <c r="H3" s="91"/>
      <c r="I3" s="91" t="s">
        <v>1835</v>
      </c>
      <c r="J3" s="91"/>
      <c r="K3" s="91"/>
      <c r="L3" s="91"/>
      <c r="M3" s="91"/>
      <c r="N3" s="91"/>
      <c r="O3" s="91"/>
      <c r="P3" s="91"/>
      <c r="Q3" s="91"/>
      <c r="R3" s="91"/>
      <c r="S3" s="91"/>
      <c r="T3" s="859"/>
      <c r="AL3" s="4"/>
      <c r="AM3" s="4"/>
      <c r="AN3" s="4"/>
      <c r="AO3" s="4"/>
      <c r="AT3" s="17"/>
      <c r="AU3" s="17"/>
    </row>
    <row r="4" spans="1:47" ht="24" customHeight="1">
      <c r="A4" s="860" t="s">
        <v>475</v>
      </c>
      <c r="B4" s="527" t="s">
        <v>1011</v>
      </c>
      <c r="C4" s="534" t="s">
        <v>2230</v>
      </c>
      <c r="D4" s="520"/>
      <c r="E4" s="520"/>
      <c r="F4" s="520"/>
      <c r="G4" s="520"/>
      <c r="I4" s="2940" t="str">
        <f>IF(ISBLANK('Design Details &amp; Summary'!I11),"",'Design Details &amp; Summary'!I11)</f>
        <v/>
      </c>
      <c r="J4" s="2941"/>
      <c r="K4" s="520" t="s">
        <v>583</v>
      </c>
      <c r="L4" s="8" t="s">
        <v>1836</v>
      </c>
      <c r="M4" s="16"/>
      <c r="N4" s="3591"/>
      <c r="O4" s="3592"/>
      <c r="P4" s="3592"/>
      <c r="Q4" s="3592"/>
      <c r="R4" s="3593"/>
      <c r="S4" s="16"/>
      <c r="T4" s="862"/>
      <c r="V4" s="4" t="s">
        <v>1011</v>
      </c>
      <c r="W4" s="8" t="s">
        <v>1837</v>
      </c>
      <c r="AL4" s="4"/>
      <c r="AM4" s="4"/>
      <c r="AN4" s="4"/>
      <c r="AO4" s="4"/>
      <c r="AT4" s="17"/>
      <c r="AU4" s="17"/>
    </row>
    <row r="5" spans="1:47" ht="6" customHeight="1">
      <c r="A5" s="861"/>
      <c r="B5" s="16"/>
      <c r="C5" s="16"/>
      <c r="D5" s="16"/>
      <c r="E5" s="16"/>
      <c r="F5" s="16"/>
      <c r="G5" s="16"/>
      <c r="H5" s="16"/>
      <c r="L5" s="16"/>
      <c r="M5" s="16"/>
      <c r="N5" s="16"/>
      <c r="O5" s="16"/>
      <c r="P5" s="16"/>
      <c r="Q5" s="16"/>
      <c r="R5" s="16"/>
      <c r="S5" s="16"/>
      <c r="T5" s="862"/>
      <c r="AL5" s="4"/>
      <c r="AM5" s="4"/>
      <c r="AN5" s="4"/>
      <c r="AO5" s="4"/>
      <c r="AT5" s="17"/>
      <c r="AU5" s="17"/>
    </row>
    <row r="6" spans="1:47" ht="24" customHeight="1">
      <c r="A6" s="861"/>
      <c r="B6" s="4" t="s">
        <v>1019</v>
      </c>
      <c r="C6" s="8" t="s">
        <v>2231</v>
      </c>
      <c r="I6" s="2940"/>
      <c r="J6" s="2941"/>
      <c r="K6" s="8" t="s">
        <v>1031</v>
      </c>
      <c r="L6" s="8" t="s">
        <v>2232</v>
      </c>
      <c r="Q6" s="8"/>
      <c r="R6" s="2940"/>
      <c r="S6" s="2941"/>
      <c r="T6" s="1014" t="s">
        <v>1031</v>
      </c>
      <c r="W6" s="3579"/>
      <c r="X6" s="3580"/>
      <c r="Y6" s="8" t="s">
        <v>609</v>
      </c>
      <c r="Z6" s="58" t="s">
        <v>1343</v>
      </c>
      <c r="AA6" s="3579"/>
      <c r="AB6" s="3580"/>
      <c r="AC6" s="4" t="s">
        <v>609</v>
      </c>
      <c r="AD6" s="58" t="s">
        <v>1240</v>
      </c>
      <c r="AE6" s="3174" t="str">
        <f>IF(ISBLANK(W6), " ", (W6*AA6))</f>
        <v xml:space="preserve"> </v>
      </c>
      <c r="AF6" s="3175"/>
      <c r="AG6" s="8" t="s">
        <v>801</v>
      </c>
      <c r="AL6" s="4"/>
      <c r="AM6" s="4"/>
      <c r="AN6" s="4"/>
      <c r="AO6" s="4"/>
      <c r="AT6" s="17"/>
      <c r="AU6" s="17"/>
    </row>
    <row r="7" spans="1:47" ht="6" customHeight="1">
      <c r="A7" s="861"/>
      <c r="B7" s="4"/>
      <c r="I7" s="60"/>
      <c r="J7" s="60"/>
      <c r="Q7" s="8"/>
      <c r="R7" s="60"/>
      <c r="S7" s="60"/>
      <c r="T7" s="518"/>
      <c r="AL7" s="4"/>
      <c r="AM7" s="4"/>
      <c r="AN7" s="4"/>
      <c r="AO7" s="4"/>
      <c r="AT7" s="17"/>
      <c r="AU7" s="17"/>
    </row>
    <row r="8" spans="1:47" ht="6" customHeight="1">
      <c r="A8" s="858"/>
      <c r="B8" s="91"/>
      <c r="C8" s="91"/>
      <c r="D8" s="91"/>
      <c r="E8" s="91"/>
      <c r="F8" s="91"/>
      <c r="G8" s="91"/>
      <c r="H8" s="91"/>
      <c r="I8" s="41"/>
      <c r="J8" s="41"/>
      <c r="K8" s="41"/>
      <c r="L8" s="91"/>
      <c r="M8" s="91"/>
      <c r="N8" s="91"/>
      <c r="O8" s="91"/>
      <c r="P8" s="91"/>
      <c r="Q8" s="91"/>
      <c r="R8" s="91"/>
      <c r="S8" s="91"/>
      <c r="T8" s="859"/>
      <c r="AL8" s="4"/>
      <c r="AM8" s="4"/>
      <c r="AN8" s="4"/>
      <c r="AO8" s="4"/>
      <c r="AT8" s="17"/>
      <c r="AU8" s="17"/>
    </row>
    <row r="9" spans="1:47" ht="24" customHeight="1">
      <c r="A9" s="860" t="s">
        <v>481</v>
      </c>
      <c r="B9" s="4" t="s">
        <v>1011</v>
      </c>
      <c r="C9" s="8" t="s">
        <v>1840</v>
      </c>
      <c r="D9" s="27"/>
      <c r="E9" s="4"/>
      <c r="F9" s="2940"/>
      <c r="G9" s="3597"/>
      <c r="H9" s="3597"/>
      <c r="I9" s="3597"/>
      <c r="J9" s="2941"/>
      <c r="K9" s="4" t="s">
        <v>1019</v>
      </c>
      <c r="L9" s="8" t="s">
        <v>1841</v>
      </c>
      <c r="M9" s="27"/>
      <c r="N9" s="2872"/>
      <c r="O9" s="2873"/>
      <c r="P9" s="2873"/>
      <c r="Q9" s="2873"/>
      <c r="R9" s="2874"/>
      <c r="T9" s="863"/>
      <c r="V9" s="4" t="s">
        <v>1019</v>
      </c>
      <c r="W9" s="8" t="s">
        <v>1842</v>
      </c>
      <c r="AK9" s="473"/>
      <c r="AL9" s="473"/>
      <c r="AM9" s="473"/>
      <c r="AN9" s="473"/>
      <c r="AO9" s="4"/>
      <c r="AT9" s="17"/>
      <c r="AU9" s="17"/>
    </row>
    <row r="10" spans="1:47" ht="6" customHeight="1">
      <c r="A10" s="864"/>
      <c r="B10" s="4"/>
      <c r="D10" s="27"/>
      <c r="E10" s="4"/>
      <c r="F10" s="32"/>
      <c r="G10" s="32"/>
      <c r="H10" s="54"/>
      <c r="J10" s="4"/>
      <c r="K10" s="32"/>
      <c r="L10" s="32"/>
      <c r="M10" s="4"/>
      <c r="N10" s="552"/>
      <c r="O10" s="552"/>
      <c r="P10" s="353"/>
      <c r="Q10" s="353"/>
      <c r="R10" s="353"/>
      <c r="S10" s="353"/>
      <c r="T10" s="865"/>
      <c r="AK10" s="473"/>
      <c r="AL10" s="473"/>
      <c r="AM10" s="473"/>
      <c r="AN10" s="473"/>
      <c r="AO10" s="4"/>
      <c r="AT10" s="17"/>
      <c r="AU10" s="17"/>
    </row>
    <row r="11" spans="1:47" ht="24" customHeight="1">
      <c r="A11" s="864"/>
      <c r="B11" s="4" t="s">
        <v>1168</v>
      </c>
      <c r="C11" s="8" t="s">
        <v>1843</v>
      </c>
      <c r="I11" s="2940"/>
      <c r="J11" s="3461"/>
      <c r="K11" s="8" t="s">
        <v>1002</v>
      </c>
      <c r="N11" s="3860" t="s">
        <v>1844</v>
      </c>
      <c r="O11" s="3860"/>
      <c r="P11" s="3860"/>
      <c r="Q11" s="3860"/>
      <c r="R11" s="3860"/>
      <c r="S11" s="3860"/>
      <c r="T11" s="3874"/>
      <c r="X11" s="58" t="s">
        <v>1845</v>
      </c>
      <c r="Z11" s="3579"/>
      <c r="AA11" s="3580"/>
      <c r="AB11" s="335">
        <v>2</v>
      </c>
      <c r="AC11" s="8" t="s">
        <v>609</v>
      </c>
      <c r="AD11" s="58" t="s">
        <v>1240</v>
      </c>
      <c r="AE11" s="3174" t="str">
        <f>IF(ISBLANK(Z11)," ",PI()*Z11*Z11)</f>
        <v xml:space="preserve"> </v>
      </c>
      <c r="AF11" s="3175"/>
      <c r="AG11" s="8" t="s">
        <v>801</v>
      </c>
      <c r="AT11" s="17"/>
      <c r="AU11" s="17"/>
    </row>
    <row r="12" spans="1:47" ht="6" customHeight="1">
      <c r="A12" s="864"/>
      <c r="B12" s="4"/>
      <c r="I12" s="94"/>
      <c r="J12" s="94"/>
      <c r="K12" s="94"/>
      <c r="N12" s="3860"/>
      <c r="O12" s="3860"/>
      <c r="P12" s="3860"/>
      <c r="Q12" s="3860"/>
      <c r="R12" s="3860"/>
      <c r="S12" s="3860"/>
      <c r="T12" s="3874"/>
      <c r="V12" s="722"/>
      <c r="AK12" s="4"/>
      <c r="AL12" s="4"/>
      <c r="AM12" s="4"/>
      <c r="AN12" s="4"/>
      <c r="AO12" s="4"/>
      <c r="AT12" s="17"/>
    </row>
    <row r="13" spans="1:47" ht="24" customHeight="1">
      <c r="A13" s="864"/>
      <c r="B13" s="4" t="s">
        <v>1172</v>
      </c>
      <c r="C13" s="8" t="s">
        <v>1848</v>
      </c>
      <c r="H13" s="94"/>
      <c r="I13" s="3172"/>
      <c r="J13" s="3563"/>
      <c r="K13" s="8" t="s">
        <v>1849</v>
      </c>
      <c r="N13" s="3860"/>
      <c r="O13" s="3860"/>
      <c r="P13" s="3860"/>
      <c r="Q13" s="3860"/>
      <c r="R13" s="3860"/>
      <c r="S13" s="3860"/>
      <c r="T13" s="3874"/>
      <c r="V13" s="4" t="s">
        <v>1168</v>
      </c>
      <c r="W13" s="2946" t="s">
        <v>1847</v>
      </c>
      <c r="X13" s="2946"/>
      <c r="Y13" s="2946"/>
      <c r="Z13" s="2946"/>
      <c r="AA13" s="2946"/>
      <c r="AB13" s="2946"/>
      <c r="AC13" s="2946"/>
      <c r="AD13" s="2946"/>
      <c r="AE13" s="2946"/>
      <c r="AF13" s="2946"/>
      <c r="AG13" s="2946"/>
      <c r="AH13" s="2946"/>
      <c r="AI13" s="2946"/>
      <c r="AJ13" s="2946"/>
      <c r="AK13" s="2946"/>
      <c r="AN13" s="24"/>
      <c r="AT13" s="17"/>
    </row>
    <row r="14" spans="1:47" ht="6" customHeight="1">
      <c r="A14" s="517"/>
      <c r="N14" s="3860"/>
      <c r="O14" s="3860"/>
      <c r="P14" s="3860"/>
      <c r="Q14" s="3860"/>
      <c r="R14" s="3860"/>
      <c r="S14" s="3860"/>
      <c r="T14" s="3874"/>
      <c r="V14" s="4"/>
      <c r="W14" s="2946"/>
      <c r="X14" s="2946"/>
      <c r="Y14" s="2946"/>
      <c r="Z14" s="2946"/>
      <c r="AA14" s="2946"/>
      <c r="AB14" s="2946"/>
      <c r="AC14" s="2946"/>
      <c r="AD14" s="2946"/>
      <c r="AE14" s="2946"/>
      <c r="AF14" s="2946"/>
      <c r="AG14" s="2946"/>
      <c r="AH14" s="2946"/>
      <c r="AI14" s="2946"/>
      <c r="AJ14" s="2946"/>
      <c r="AK14" s="2946"/>
      <c r="AL14" s="4"/>
      <c r="AM14" s="4"/>
      <c r="AN14" s="4"/>
      <c r="AO14" s="4"/>
      <c r="AT14" s="17"/>
    </row>
    <row r="15" spans="1:47" ht="24" customHeight="1">
      <c r="A15" s="864"/>
      <c r="B15" s="4" t="s">
        <v>1177</v>
      </c>
      <c r="C15" s="8" t="s">
        <v>1846</v>
      </c>
      <c r="H15" s="94"/>
      <c r="I15" s="3172"/>
      <c r="J15" s="3563"/>
      <c r="K15" s="8" t="s">
        <v>762</v>
      </c>
      <c r="N15" s="3860"/>
      <c r="O15" s="3860"/>
      <c r="P15" s="3860"/>
      <c r="Q15" s="3860"/>
      <c r="R15" s="3860"/>
      <c r="S15" s="3860"/>
      <c r="T15" s="3874"/>
      <c r="V15" s="4"/>
      <c r="W15" s="3579"/>
      <c r="X15" s="3580"/>
      <c r="Y15" s="4" t="s">
        <v>801</v>
      </c>
      <c r="Z15" s="58" t="s">
        <v>1850</v>
      </c>
      <c r="AA15" s="3" t="s">
        <v>1851</v>
      </c>
      <c r="AB15" s="57"/>
      <c r="AC15" s="43"/>
      <c r="AD15" s="43"/>
      <c r="AE15" s="58" t="s">
        <v>1240</v>
      </c>
      <c r="AF15" s="3174" t="str">
        <f>IF(ISBLANK(W15)," ",W15*7.5/12)</f>
        <v xml:space="preserve"> </v>
      </c>
      <c r="AG15" s="3175"/>
      <c r="AH15" s="8" t="s">
        <v>1849</v>
      </c>
      <c r="AK15" s="4"/>
      <c r="AL15" s="4"/>
      <c r="AM15" s="4"/>
      <c r="AN15" s="4"/>
      <c r="AO15" s="4"/>
      <c r="AT15" s="17"/>
    </row>
    <row r="16" spans="1:47" ht="6" customHeight="1">
      <c r="A16" s="866"/>
      <c r="B16" s="61"/>
      <c r="C16" s="61"/>
      <c r="D16" s="61"/>
      <c r="E16" s="61"/>
      <c r="F16" s="61"/>
      <c r="G16" s="61"/>
      <c r="H16" s="61"/>
      <c r="I16" s="61"/>
      <c r="J16" s="61"/>
      <c r="K16" s="61"/>
      <c r="L16" s="61"/>
      <c r="M16" s="61"/>
      <c r="N16" s="61"/>
      <c r="O16" s="61"/>
      <c r="P16" s="61"/>
      <c r="Q16" s="38"/>
      <c r="R16" s="38"/>
      <c r="S16" s="38"/>
      <c r="T16" s="867"/>
      <c r="V16" s="4"/>
      <c r="W16" s="4"/>
      <c r="AT16" s="17"/>
    </row>
    <row r="17" spans="1:46" ht="24" customHeight="1">
      <c r="A17" s="3594" t="s">
        <v>1852</v>
      </c>
      <c r="B17" s="3595"/>
      <c r="C17" s="3595"/>
      <c r="D17" s="3595"/>
      <c r="E17" s="3595"/>
      <c r="F17" s="3595"/>
      <c r="G17" s="3595"/>
      <c r="H17" s="3595"/>
      <c r="I17" s="3595"/>
      <c r="J17" s="3595"/>
      <c r="K17" s="3595"/>
      <c r="L17" s="3595"/>
      <c r="M17" s="3595"/>
      <c r="N17" s="3595"/>
      <c r="O17" s="3595"/>
      <c r="P17" s="3595"/>
      <c r="Q17" s="3595"/>
      <c r="R17" s="3595"/>
      <c r="S17" s="3595"/>
      <c r="T17" s="3596"/>
      <c r="V17" s="4" t="s">
        <v>1172</v>
      </c>
      <c r="W17" s="8" t="s">
        <v>1853</v>
      </c>
      <c r="AA17" s="32"/>
      <c r="AB17" s="32"/>
      <c r="AC17" s="54"/>
      <c r="AE17" s="4"/>
      <c r="AF17" s="32"/>
      <c r="AG17" s="32"/>
      <c r="AH17" s="4"/>
      <c r="AL17" s="4"/>
      <c r="AM17" s="4"/>
      <c r="AN17" s="4"/>
      <c r="AO17" s="4"/>
      <c r="AT17" s="17"/>
    </row>
    <row r="18" spans="1:46" ht="18" customHeight="1">
      <c r="A18" s="868">
        <v>3</v>
      </c>
      <c r="B18" s="2946" t="s">
        <v>1854</v>
      </c>
      <c r="C18" s="2946"/>
      <c r="D18" s="2946"/>
      <c r="E18" s="2946"/>
      <c r="F18" s="2946"/>
      <c r="G18" s="2946"/>
      <c r="H18" s="2946"/>
      <c r="I18" s="2946"/>
      <c r="J18" s="2946"/>
      <c r="K18" s="2946"/>
      <c r="L18" s="2946"/>
      <c r="M18" s="2946"/>
      <c r="N18" s="2946"/>
      <c r="O18" s="2946"/>
      <c r="P18" s="2946"/>
      <c r="Q18" s="2946"/>
      <c r="R18" s="2946"/>
      <c r="S18" s="2946"/>
      <c r="T18" s="518"/>
      <c r="V18" s="9"/>
      <c r="W18" s="7" t="s">
        <v>1855</v>
      </c>
      <c r="AF18" s="3573"/>
      <c r="AG18" s="3574"/>
      <c r="AH18" s="8" t="s">
        <v>629</v>
      </c>
      <c r="AT18" s="17"/>
    </row>
    <row r="19" spans="1:46" ht="18" customHeight="1">
      <c r="A19" s="864"/>
      <c r="B19" s="2946"/>
      <c r="C19" s="2946"/>
      <c r="D19" s="2946"/>
      <c r="E19" s="2946"/>
      <c r="F19" s="2946"/>
      <c r="G19" s="2946"/>
      <c r="H19" s="2946"/>
      <c r="I19" s="2946"/>
      <c r="J19" s="2946"/>
      <c r="K19" s="2946"/>
      <c r="L19" s="2946"/>
      <c r="M19" s="2946"/>
      <c r="N19" s="2946"/>
      <c r="O19" s="2946"/>
      <c r="P19" s="2946"/>
      <c r="Q19" s="2946"/>
      <c r="R19" s="2946"/>
      <c r="S19" s="2946"/>
      <c r="T19" s="518"/>
      <c r="W19" s="7" t="s">
        <v>1856</v>
      </c>
      <c r="AD19" s="4"/>
      <c r="AE19" s="4"/>
      <c r="AH19" s="3"/>
      <c r="AI19" s="3"/>
      <c r="AJ19" s="3"/>
      <c r="AT19" s="17"/>
    </row>
    <row r="20" spans="1:46" ht="18" customHeight="1">
      <c r="A20" s="864"/>
      <c r="B20" s="8" t="s">
        <v>2233</v>
      </c>
      <c r="Q20" s="8"/>
      <c r="R20" s="8"/>
      <c r="S20" s="8"/>
      <c r="T20" s="518"/>
      <c r="W20" s="3480" t="str">
        <f>IF(ISBLANK(AF18)," ",(AF18))</f>
        <v xml:space="preserve"> </v>
      </c>
      <c r="X20" s="3481"/>
      <c r="Y20" s="4" t="s">
        <v>629</v>
      </c>
      <c r="Z20" s="58" t="s">
        <v>1343</v>
      </c>
      <c r="AA20" s="3174">
        <f>IF(ISBLANK(AF15),"",MAX(I13,AF15))</f>
        <v>0</v>
      </c>
      <c r="AB20" s="3175"/>
      <c r="AC20" s="8" t="s">
        <v>1858</v>
      </c>
      <c r="AF20" s="3174" t="str">
        <f>IF(ISBLANK(AF18)," ",(W20*AA20))</f>
        <v xml:space="preserve"> </v>
      </c>
      <c r="AG20" s="3175"/>
      <c r="AH20" s="8" t="s">
        <v>1002</v>
      </c>
      <c r="AT20" s="17"/>
    </row>
    <row r="21" spans="1:46" ht="24" customHeight="1">
      <c r="A21" s="517"/>
      <c r="B21" s="24" t="s">
        <v>1237</v>
      </c>
      <c r="C21" s="2872"/>
      <c r="D21" s="2874"/>
      <c r="E21" s="58" t="s">
        <v>1859</v>
      </c>
      <c r="F21" s="8" t="s">
        <v>1860</v>
      </c>
      <c r="H21" s="3174" t="str">
        <f>IF(ISBLANK(C21), " ", MAX(I13,AF15))</f>
        <v xml:space="preserve"> </v>
      </c>
      <c r="I21" s="3175"/>
      <c r="J21" s="8" t="s">
        <v>1861</v>
      </c>
      <c r="M21" s="58" t="s">
        <v>1240</v>
      </c>
      <c r="N21" s="3165" t="str">
        <f>IF(ISBLANK(C21)," ",((C21+2)*H21))</f>
        <v xml:space="preserve"> </v>
      </c>
      <c r="O21" s="3166"/>
      <c r="P21" s="8" t="s">
        <v>1002</v>
      </c>
      <c r="Q21" s="8"/>
      <c r="R21" s="8"/>
      <c r="S21" s="8"/>
      <c r="T21" s="518"/>
      <c r="V21" s="9"/>
      <c r="AT21" s="17"/>
    </row>
    <row r="22" spans="1:46" ht="18" customHeight="1">
      <c r="A22" s="868">
        <v>4</v>
      </c>
      <c r="B22" s="2946" t="s">
        <v>2234</v>
      </c>
      <c r="C22" s="2946"/>
      <c r="D22" s="2946"/>
      <c r="E22" s="2946"/>
      <c r="F22" s="2946"/>
      <c r="G22" s="2946"/>
      <c r="H22" s="2946"/>
      <c r="I22" s="2946"/>
      <c r="J22" s="2946"/>
      <c r="K22" s="2946"/>
      <c r="L22" s="2946"/>
      <c r="M22" s="2946"/>
      <c r="T22" s="863"/>
      <c r="V22" s="9"/>
      <c r="AT22" s="17"/>
    </row>
    <row r="23" spans="1:46" ht="24" customHeight="1">
      <c r="A23" s="864"/>
      <c r="B23" s="7"/>
      <c r="C23" s="2272"/>
      <c r="D23" s="2272"/>
      <c r="E23" s="2272"/>
      <c r="F23" s="2272"/>
      <c r="G23" s="2272"/>
      <c r="H23" s="2272"/>
      <c r="I23" s="2272"/>
      <c r="J23" s="2272"/>
      <c r="K23" s="2872"/>
      <c r="L23" s="2874"/>
      <c r="M23" s="16" t="s">
        <v>1923</v>
      </c>
      <c r="Q23" s="2870" t="str">
        <f>IF(ISBLANK(C21)," ",(K23/H21))</f>
        <v xml:space="preserve"> </v>
      </c>
      <c r="R23" s="2871"/>
      <c r="S23" s="8" t="s">
        <v>1865</v>
      </c>
      <c r="T23" s="518"/>
      <c r="V23" s="9"/>
      <c r="W23" s="4"/>
      <c r="AT23" s="17"/>
    </row>
    <row r="24" spans="1:46" ht="18" customHeight="1">
      <c r="A24" s="868">
        <v>5</v>
      </c>
      <c r="B24" s="8" t="s">
        <v>2235</v>
      </c>
      <c r="Q24" s="8"/>
      <c r="R24" s="8"/>
      <c r="S24" s="8"/>
      <c r="T24" s="518"/>
      <c r="V24" s="9"/>
      <c r="W24" s="4"/>
      <c r="AT24" s="17"/>
    </row>
    <row r="25" spans="1:46" ht="24" customHeight="1">
      <c r="A25" s="868"/>
      <c r="E25" s="2868"/>
      <c r="F25" s="2868"/>
      <c r="G25" s="4"/>
      <c r="H25" s="359"/>
      <c r="J25" s="359"/>
      <c r="K25" s="2934"/>
      <c r="L25" s="2934"/>
      <c r="M25" s="16" t="s">
        <v>1926</v>
      </c>
      <c r="Q25" s="2870" t="str">
        <f>IF(ISBLANK(C21)," ",(K25/H21))</f>
        <v xml:space="preserve"> </v>
      </c>
      <c r="R25" s="2871"/>
      <c r="S25" s="8" t="s">
        <v>1865</v>
      </c>
      <c r="T25" s="863"/>
      <c r="V25" s="4"/>
      <c r="W25" s="4"/>
      <c r="AT25" s="17"/>
    </row>
    <row r="26" spans="1:46" ht="6" customHeight="1">
      <c r="A26" s="868"/>
      <c r="B26" s="26"/>
      <c r="C26" s="26"/>
      <c r="D26" s="26"/>
      <c r="E26" s="26"/>
      <c r="F26" s="26"/>
      <c r="G26" s="26"/>
      <c r="H26" s="26"/>
      <c r="I26" s="26"/>
      <c r="J26" s="26"/>
      <c r="K26" s="26"/>
      <c r="L26" s="26"/>
      <c r="M26" s="26"/>
      <c r="N26" s="26"/>
      <c r="O26" s="26"/>
      <c r="P26" s="26"/>
      <c r="Q26" s="8"/>
      <c r="R26" s="8"/>
      <c r="S26" s="8"/>
      <c r="T26" s="518"/>
      <c r="V26" s="4"/>
      <c r="W26" s="4"/>
      <c r="X26" s="10"/>
      <c r="Y26" s="10"/>
      <c r="Z26" s="10"/>
      <c r="AA26" s="10"/>
      <c r="AB26" s="10"/>
      <c r="AC26" s="10"/>
      <c r="AD26" s="10"/>
      <c r="AE26" s="10"/>
      <c r="AF26" s="10"/>
      <c r="AT26" s="17"/>
    </row>
    <row r="27" spans="1:46" ht="6" customHeight="1">
      <c r="A27" s="1015"/>
      <c r="B27" s="41"/>
      <c r="C27" s="41"/>
      <c r="D27" s="41"/>
      <c r="E27" s="713"/>
      <c r="F27" s="41"/>
      <c r="G27" s="41"/>
      <c r="H27" s="41"/>
      <c r="I27" s="41"/>
      <c r="J27" s="41"/>
      <c r="K27" s="41"/>
      <c r="L27" s="41"/>
      <c r="M27" s="41"/>
      <c r="N27" s="41"/>
      <c r="O27" s="714"/>
      <c r="P27" s="41"/>
      <c r="Q27" s="41"/>
      <c r="R27" s="41"/>
      <c r="S27" s="41"/>
      <c r="T27" s="871"/>
      <c r="AT27" s="17"/>
    </row>
    <row r="28" spans="1:46" ht="24" customHeight="1">
      <c r="A28" s="868">
        <v>6</v>
      </c>
      <c r="B28" s="3443" t="s">
        <v>1868</v>
      </c>
      <c r="C28" s="3443"/>
      <c r="D28" s="3443"/>
      <c r="E28" s="3443"/>
      <c r="F28" s="3443"/>
      <c r="G28" s="3443"/>
      <c r="H28" s="3443"/>
      <c r="I28" s="3443"/>
      <c r="J28" s="3443"/>
      <c r="K28" s="2872"/>
      <c r="L28" s="2874"/>
      <c r="M28" s="8" t="s">
        <v>1002</v>
      </c>
      <c r="Q28" s="8"/>
      <c r="R28" s="8"/>
      <c r="S28" s="8"/>
      <c r="T28" s="518"/>
      <c r="AT28" s="17"/>
    </row>
    <row r="29" spans="1:46" ht="18" customHeight="1">
      <c r="A29" s="868">
        <v>7</v>
      </c>
      <c r="B29" s="8" t="s">
        <v>2236</v>
      </c>
      <c r="Q29" s="8"/>
      <c r="R29" s="8"/>
      <c r="S29" s="8"/>
      <c r="T29" s="863"/>
      <c r="AT29" s="17"/>
    </row>
    <row r="30" spans="1:46" ht="24" customHeight="1">
      <c r="A30" s="868"/>
      <c r="C30" s="3480" t="str">
        <f>IF(ISBLANK(E25)," ",E25)</f>
        <v xml:space="preserve"> </v>
      </c>
      <c r="D30" s="3481"/>
      <c r="E30" s="3584" t="s">
        <v>1210</v>
      </c>
      <c r="F30" s="3585"/>
      <c r="G30" s="3480" t="str">
        <f>IF(ISBLANK(K28)," ",K28)</f>
        <v xml:space="preserve"> </v>
      </c>
      <c r="H30" s="3481"/>
      <c r="I30" s="3584" t="s">
        <v>1870</v>
      </c>
      <c r="J30" s="3603"/>
      <c r="K30" s="3875" t="str">
        <f>IF(ISBLANK(C21)," ",C30/G30)</f>
        <v xml:space="preserve"> </v>
      </c>
      <c r="L30" s="3876"/>
      <c r="M30" s="7" t="s">
        <v>1931</v>
      </c>
      <c r="O30" s="30"/>
      <c r="P30" s="30"/>
      <c r="Q30" s="33"/>
      <c r="R30" s="33"/>
      <c r="S30" s="93"/>
      <c r="T30" s="863"/>
      <c r="AT30" s="17"/>
    </row>
    <row r="31" spans="1:46" ht="20.100000000000001" customHeight="1">
      <c r="A31" s="868">
        <v>8</v>
      </c>
      <c r="B31" s="8" t="s">
        <v>1873</v>
      </c>
      <c r="I31" s="30"/>
      <c r="J31" s="9"/>
      <c r="K31" s="30"/>
      <c r="L31" s="4"/>
      <c r="M31" s="33"/>
      <c r="N31" s="7"/>
      <c r="Q31" s="8"/>
      <c r="R31" s="8"/>
      <c r="S31" s="8"/>
      <c r="T31" s="518"/>
      <c r="AT31" s="17"/>
    </row>
    <row r="32" spans="1:46" ht="24" customHeight="1">
      <c r="A32" s="868"/>
      <c r="B32" s="8" t="s">
        <v>1011</v>
      </c>
      <c r="C32" s="7" t="s">
        <v>1874</v>
      </c>
      <c r="J32" s="3480" t="str">
        <f>IF(ISBLANK(K28),"",('Pump-Basic (Other)'!F21))</f>
        <v/>
      </c>
      <c r="K32" s="3481"/>
      <c r="L32" s="8" t="s">
        <v>762</v>
      </c>
      <c r="Q32" s="8"/>
      <c r="R32" s="8"/>
      <c r="S32" s="8"/>
      <c r="T32" s="518"/>
      <c r="AT32" s="17"/>
    </row>
    <row r="33" spans="1:46" ht="6" customHeight="1">
      <c r="A33" s="868"/>
      <c r="C33" s="7"/>
      <c r="H33" s="30"/>
      <c r="I33" s="30"/>
      <c r="J33" s="16"/>
      <c r="Q33" s="30"/>
      <c r="R33" s="30"/>
      <c r="S33" s="16"/>
      <c r="T33" s="518"/>
      <c r="AT33" s="17"/>
    </row>
    <row r="34" spans="1:46" ht="24" customHeight="1">
      <c r="A34" s="868"/>
      <c r="B34" s="8" t="s">
        <v>1019</v>
      </c>
      <c r="C34" s="8" t="s">
        <v>1875</v>
      </c>
      <c r="J34" s="3165" t="str">
        <f>IF(ISBLANK(K28),"",'Pump-Basic (Other)'!F23)</f>
        <v/>
      </c>
      <c r="K34" s="3481"/>
      <c r="L34" s="8" t="s">
        <v>903</v>
      </c>
      <c r="Q34" s="30"/>
      <c r="R34" s="30"/>
      <c r="S34" s="16"/>
      <c r="T34" s="518"/>
      <c r="AT34" s="17"/>
    </row>
    <row r="35" spans="1:46" ht="6" customHeight="1">
      <c r="A35" s="868"/>
      <c r="C35" s="345"/>
      <c r="D35" s="345"/>
      <c r="E35" s="58"/>
      <c r="F35" s="345"/>
      <c r="G35" s="345"/>
      <c r="H35" s="359"/>
      <c r="J35" s="368"/>
      <c r="K35" s="2266"/>
      <c r="N35" s="7"/>
      <c r="Q35" s="8"/>
      <c r="R35" s="8"/>
      <c r="S35" s="8"/>
      <c r="T35" s="518"/>
      <c r="AT35" s="17"/>
    </row>
    <row r="36" spans="1:46" ht="24" customHeight="1">
      <c r="A36" s="868"/>
      <c r="B36" s="8" t="s">
        <v>1168</v>
      </c>
      <c r="C36" s="7" t="s">
        <v>1876</v>
      </c>
      <c r="H36" s="359"/>
      <c r="I36" s="345"/>
      <c r="J36" s="3877" t="str">
        <f>IF(ISBLANK(C21)," ",IF(J32=1,"0.045",IF(J32=1.25,"0.078",IF(J32=1.5,"0.110",IF(J32=2,"0.170",IF(J32=3,"0.380"))))))</f>
        <v xml:space="preserve"> </v>
      </c>
      <c r="K36" s="3878"/>
      <c r="L36" s="8" t="s">
        <v>1696</v>
      </c>
      <c r="M36" s="33"/>
      <c r="N36" s="7"/>
      <c r="Q36" s="8"/>
      <c r="R36" s="8"/>
      <c r="S36" s="8"/>
      <c r="T36" s="518"/>
      <c r="AT36" s="17"/>
    </row>
    <row r="37" spans="1:46" ht="18" customHeight="1">
      <c r="A37" s="868"/>
      <c r="B37" s="8" t="s">
        <v>1172</v>
      </c>
      <c r="C37" s="7" t="s">
        <v>2237</v>
      </c>
      <c r="I37" s="30"/>
      <c r="J37" s="9"/>
      <c r="K37" s="9"/>
      <c r="L37" s="4"/>
      <c r="M37" s="33"/>
      <c r="N37" s="7"/>
      <c r="Q37" s="8"/>
      <c r="R37" s="8"/>
      <c r="S37" s="8"/>
      <c r="T37" s="518"/>
      <c r="AH37" s="14"/>
      <c r="AI37" s="14"/>
      <c r="AK37" s="6"/>
      <c r="AL37" s="6"/>
      <c r="AT37" s="17"/>
    </row>
    <row r="38" spans="1:46" ht="24" customHeight="1">
      <c r="A38" s="868"/>
      <c r="C38" s="3480" t="str">
        <f>IF(ISBLANK(J32),"",J34)</f>
        <v/>
      </c>
      <c r="D38" s="3481"/>
      <c r="E38" s="58" t="s">
        <v>1389</v>
      </c>
      <c r="F38" s="3480" t="str">
        <f>J36</f>
        <v xml:space="preserve"> </v>
      </c>
      <c r="G38" s="3481"/>
      <c r="H38" s="359" t="s">
        <v>1933</v>
      </c>
      <c r="J38" s="3174" t="str">
        <f>IF(ISBLANK(C21),"",C38*F38)</f>
        <v/>
      </c>
      <c r="K38" s="3600"/>
      <c r="L38" s="8" t="s">
        <v>1002</v>
      </c>
      <c r="N38" s="7"/>
      <c r="Q38" s="8"/>
      <c r="R38" s="8"/>
      <c r="S38" s="8"/>
      <c r="T38" s="518"/>
      <c r="AT38" s="17"/>
    </row>
    <row r="39" spans="1:46" ht="18" customHeight="1">
      <c r="A39" s="868" t="s">
        <v>519</v>
      </c>
      <c r="B39" s="7" t="s">
        <v>2238</v>
      </c>
      <c r="I39" s="30"/>
      <c r="J39" s="9"/>
      <c r="K39" s="30"/>
      <c r="L39" s="4"/>
      <c r="M39" s="33"/>
      <c r="N39" s="7"/>
      <c r="Q39" s="8"/>
      <c r="R39" s="8"/>
      <c r="S39" s="8"/>
      <c r="T39" s="518"/>
      <c r="AT39" s="17"/>
    </row>
    <row r="40" spans="1:46" ht="24" customHeight="1">
      <c r="A40" s="868"/>
      <c r="C40" s="3480" t="str">
        <f>IF(ISBLANK(K28), " ", K28)</f>
        <v xml:space="preserve"> </v>
      </c>
      <c r="D40" s="3481"/>
      <c r="E40" s="58" t="s">
        <v>1578</v>
      </c>
      <c r="F40" s="3174" t="str">
        <f>J38</f>
        <v/>
      </c>
      <c r="G40" s="3481"/>
      <c r="H40" s="58" t="s">
        <v>1880</v>
      </c>
      <c r="I40" s="3165" t="str">
        <f>IF(ISBLANK(C21),"",C40+F40)</f>
        <v/>
      </c>
      <c r="J40" s="3166"/>
      <c r="K40" s="8" t="s">
        <v>1002</v>
      </c>
      <c r="L40" s="4"/>
      <c r="M40" s="33"/>
      <c r="N40" s="7"/>
      <c r="Q40" s="8"/>
      <c r="R40" s="8"/>
      <c r="S40" s="8"/>
      <c r="T40" s="518"/>
      <c r="AT40" s="17"/>
    </row>
    <row r="41" spans="1:46" ht="18" customHeight="1">
      <c r="A41" s="868" t="s">
        <v>524</v>
      </c>
      <c r="B41" s="8" t="s">
        <v>2239</v>
      </c>
      <c r="C41" s="301"/>
      <c r="D41" s="301"/>
      <c r="E41" s="58"/>
      <c r="F41" s="94"/>
      <c r="G41" s="301"/>
      <c r="H41" s="58"/>
      <c r="I41" s="94"/>
      <c r="J41" s="94"/>
      <c r="L41" s="4"/>
      <c r="M41" s="33"/>
      <c r="N41" s="7"/>
      <c r="Q41" s="8"/>
      <c r="R41" s="8"/>
      <c r="S41" s="8"/>
      <c r="T41" s="518"/>
      <c r="AH41" s="14"/>
      <c r="AI41" s="14"/>
      <c r="AK41" s="6"/>
      <c r="AL41" s="6"/>
      <c r="AT41" s="17"/>
    </row>
    <row r="42" spans="1:46" ht="24" customHeight="1">
      <c r="A42" s="868"/>
      <c r="C42" s="2872"/>
      <c r="D42" s="2874"/>
      <c r="E42" s="359" t="s">
        <v>1882</v>
      </c>
      <c r="F42" s="3174" t="str">
        <f>IF(ISBLANK(C21), " ", MAX(I13,AF15))</f>
        <v xml:space="preserve"> </v>
      </c>
      <c r="G42" s="3437"/>
      <c r="H42" s="359" t="s">
        <v>2240</v>
      </c>
      <c r="J42" s="3174" t="str">
        <f>IF(ISBLANK(C42), "",C42*F42)</f>
        <v/>
      </c>
      <c r="K42" s="3437"/>
      <c r="L42" s="8" t="s">
        <v>1002</v>
      </c>
      <c r="Q42" s="8"/>
      <c r="R42" s="8"/>
      <c r="S42" s="8"/>
      <c r="T42" s="518"/>
      <c r="AH42" s="14"/>
      <c r="AI42" s="14"/>
      <c r="AK42" s="6"/>
      <c r="AL42" s="6"/>
      <c r="AT42" s="17"/>
    </row>
    <row r="43" spans="1:46" ht="6" customHeight="1">
      <c r="A43" s="869"/>
      <c r="B43" s="61"/>
      <c r="C43" s="309"/>
      <c r="D43" s="309"/>
      <c r="E43" s="715"/>
      <c r="F43" s="716"/>
      <c r="G43" s="309"/>
      <c r="H43" s="715"/>
      <c r="I43" s="716"/>
      <c r="J43" s="716"/>
      <c r="K43" s="61"/>
      <c r="L43" s="38"/>
      <c r="M43" s="717"/>
      <c r="N43" s="718"/>
      <c r="O43" s="61"/>
      <c r="P43" s="61"/>
      <c r="Q43" s="61"/>
      <c r="R43" s="61"/>
      <c r="S43" s="61"/>
      <c r="T43" s="870"/>
      <c r="AH43" s="14"/>
      <c r="AI43" s="14"/>
      <c r="AK43" s="6"/>
      <c r="AL43" s="6"/>
      <c r="AT43" s="17"/>
    </row>
    <row r="44" spans="1:46" ht="24" customHeight="1">
      <c r="A44" s="1125" t="s">
        <v>1884</v>
      </c>
      <c r="B44" s="1124"/>
      <c r="C44" s="1124"/>
      <c r="D44" s="1124"/>
      <c r="E44" s="1124"/>
      <c r="F44" s="1394" t="s">
        <v>1885</v>
      </c>
      <c r="G44" s="1124"/>
      <c r="H44" s="1124"/>
      <c r="I44" s="1124"/>
      <c r="J44" s="1124"/>
      <c r="K44" s="1124"/>
      <c r="L44" s="1124"/>
      <c r="M44" s="1124"/>
      <c r="N44" s="1124"/>
      <c r="O44" s="1124"/>
      <c r="P44" s="1124"/>
      <c r="Q44" s="1124"/>
      <c r="R44" s="1124"/>
      <c r="S44" s="1124"/>
      <c r="T44" s="1126"/>
      <c r="AH44" s="14"/>
      <c r="AI44" s="14"/>
      <c r="AK44" s="6"/>
      <c r="AL44" s="6"/>
      <c r="AT44" s="17"/>
    </row>
    <row r="45" spans="1:46" ht="20.100000000000001" customHeight="1">
      <c r="A45" s="1016" t="s">
        <v>477</v>
      </c>
      <c r="B45" s="41" t="s">
        <v>1886</v>
      </c>
      <c r="C45" s="41"/>
      <c r="D45" s="41"/>
      <c r="E45" s="41"/>
      <c r="F45" s="41"/>
      <c r="G45" s="41"/>
      <c r="H45" s="41"/>
      <c r="I45" s="41"/>
      <c r="J45" s="41"/>
      <c r="K45" s="41"/>
      <c r="L45" s="41"/>
      <c r="M45" s="41"/>
      <c r="N45" s="41"/>
      <c r="O45" s="41"/>
      <c r="P45" s="41"/>
      <c r="Q45" s="713"/>
      <c r="R45" s="713"/>
      <c r="S45" s="713"/>
      <c r="T45" s="1017"/>
      <c r="AH45" s="14"/>
      <c r="AI45" s="14"/>
      <c r="AK45" s="6"/>
      <c r="AL45" s="6"/>
      <c r="AT45" s="17"/>
    </row>
    <row r="46" spans="1:46" ht="18" customHeight="1">
      <c r="A46" s="864"/>
      <c r="B46" s="7" t="s">
        <v>2241</v>
      </c>
      <c r="T46" s="863"/>
    </row>
    <row r="47" spans="1:46" ht="24" customHeight="1">
      <c r="A47" s="864"/>
      <c r="C47" s="3165" t="str">
        <f>I40</f>
        <v/>
      </c>
      <c r="D47" s="3166"/>
      <c r="E47" s="3584" t="s">
        <v>1890</v>
      </c>
      <c r="F47" s="3585"/>
      <c r="G47" s="3174" t="str">
        <f>IF(ISBLANK(C42), " ",I13)</f>
        <v xml:space="preserve"> </v>
      </c>
      <c r="H47" s="3175"/>
      <c r="I47" s="2868" t="s">
        <v>1891</v>
      </c>
      <c r="J47" s="2868"/>
      <c r="K47" s="3174" t="str">
        <f>IF(ISBLANK(C21),"",C47/G47)</f>
        <v/>
      </c>
      <c r="L47" s="3175"/>
      <c r="M47" s="8" t="s">
        <v>2151</v>
      </c>
      <c r="T47" s="518"/>
    </row>
    <row r="48" spans="1:46" ht="20.100000000000001" customHeight="1">
      <c r="A48" s="868" t="s">
        <v>483</v>
      </c>
      <c r="B48" s="2273" t="s">
        <v>1892</v>
      </c>
      <c r="C48" s="30"/>
      <c r="D48" s="30"/>
      <c r="E48" s="9"/>
      <c r="F48" s="32"/>
      <c r="G48" s="30"/>
      <c r="H48" s="4"/>
      <c r="I48" s="27"/>
      <c r="R48" s="8"/>
      <c r="S48" s="8"/>
      <c r="T48" s="518"/>
      <c r="AL48" s="6"/>
      <c r="AT48" s="17"/>
    </row>
    <row r="49" spans="1:46" ht="18" customHeight="1" thickBot="1">
      <c r="A49" s="864" t="s">
        <v>1011</v>
      </c>
      <c r="B49" s="7" t="s">
        <v>1893</v>
      </c>
      <c r="C49" s="26"/>
      <c r="D49" s="26"/>
      <c r="E49" s="26"/>
      <c r="F49" s="26"/>
      <c r="G49" s="26"/>
      <c r="H49" s="26"/>
      <c r="I49" s="26"/>
      <c r="J49" s="26"/>
      <c r="K49" s="26"/>
      <c r="N49" s="8" t="s">
        <v>1894</v>
      </c>
      <c r="P49" s="1283" t="str">
        <f>K47</f>
        <v/>
      </c>
      <c r="Q49" s="8" t="s">
        <v>629</v>
      </c>
      <c r="S49" s="8"/>
      <c r="T49" s="518"/>
      <c r="AG49" s="6"/>
      <c r="AH49" s="14"/>
      <c r="AI49" s="14"/>
    </row>
    <row r="50" spans="1:46" ht="24" customHeight="1" thickBot="1">
      <c r="A50" s="864"/>
      <c r="C50" s="3480" t="str">
        <f>IF(ISBLANK(C21),"", C21)</f>
        <v/>
      </c>
      <c r="D50" s="3481"/>
      <c r="E50" s="3584" t="s">
        <v>1895</v>
      </c>
      <c r="F50" s="3585"/>
      <c r="G50" s="3165" t="str">
        <f>IF(ISBLANK(C42), "",C50+2)</f>
        <v/>
      </c>
      <c r="H50" s="3166"/>
      <c r="I50" s="8" t="s">
        <v>2151</v>
      </c>
      <c r="M50" s="4"/>
      <c r="N50" s="1" t="s">
        <v>1896</v>
      </c>
      <c r="O50" s="1"/>
      <c r="P50" s="1284" t="str">
        <f>J54</f>
        <v/>
      </c>
      <c r="Q50" s="640" t="s">
        <v>629</v>
      </c>
      <c r="R50" s="2274" t="str">
        <f>M57</f>
        <v xml:space="preserve"> </v>
      </c>
      <c r="S50" s="2275" t="str">
        <f>"Gal"</f>
        <v>Gal</v>
      </c>
      <c r="T50" s="518"/>
      <c r="AG50" s="6"/>
      <c r="AH50" s="14"/>
      <c r="AI50" s="14"/>
    </row>
    <row r="51" spans="1:46" ht="18" customHeight="1" thickBot="1">
      <c r="A51" s="864" t="s">
        <v>1019</v>
      </c>
      <c r="B51" s="5" t="s">
        <v>2242</v>
      </c>
      <c r="C51" s="475"/>
      <c r="D51" s="475"/>
      <c r="E51" s="475"/>
      <c r="F51" s="475"/>
      <c r="G51" s="475"/>
      <c r="H51" s="475"/>
      <c r="I51" s="475"/>
      <c r="J51" s="475"/>
      <c r="K51" s="475"/>
      <c r="L51" s="57"/>
      <c r="M51" s="57"/>
      <c r="N51" s="8" t="s">
        <v>1898</v>
      </c>
      <c r="P51" s="1285" t="str">
        <f>J52</f>
        <v/>
      </c>
      <c r="Q51" s="8" t="s">
        <v>629</v>
      </c>
      <c r="R51" s="2274" t="str">
        <f>J42</f>
        <v/>
      </c>
      <c r="S51" s="2275" t="str">
        <f>"Gal"</f>
        <v>Gal</v>
      </c>
      <c r="T51" s="1123"/>
    </row>
    <row r="52" spans="1:46" ht="24" customHeight="1" thickBot="1">
      <c r="A52" s="872"/>
      <c r="C52" s="3165" t="str">
        <f>G50</f>
        <v/>
      </c>
      <c r="D52" s="3481"/>
      <c r="E52" s="58" t="s">
        <v>1899</v>
      </c>
      <c r="G52" s="3174" t="str">
        <f>K47</f>
        <v/>
      </c>
      <c r="H52" s="3481"/>
      <c r="I52" s="58" t="s">
        <v>1900</v>
      </c>
      <c r="J52" s="3165" t="str">
        <f>IF(ISBLANK(C21),"",C52+G52)</f>
        <v/>
      </c>
      <c r="K52" s="3166"/>
      <c r="L52" s="8" t="s">
        <v>2151</v>
      </c>
      <c r="N52" s="8" t="s">
        <v>1901</v>
      </c>
      <c r="P52" s="1285" t="str">
        <f>G50</f>
        <v/>
      </c>
      <c r="Q52" s="8" t="s">
        <v>629</v>
      </c>
      <c r="R52" s="2276" t="str">
        <f>C47</f>
        <v/>
      </c>
      <c r="S52" s="2275" t="str">
        <f>"Gal"</f>
        <v>Gal</v>
      </c>
      <c r="T52" s="518"/>
    </row>
    <row r="53" spans="1:46" ht="18" customHeight="1">
      <c r="A53" s="864" t="s">
        <v>1168</v>
      </c>
      <c r="B53" s="7" t="s">
        <v>2243</v>
      </c>
      <c r="C53" s="26"/>
      <c r="D53" s="26"/>
      <c r="E53" s="26"/>
      <c r="F53" s="26"/>
      <c r="G53" s="26"/>
      <c r="H53" s="26"/>
      <c r="I53" s="26"/>
      <c r="J53" s="26"/>
      <c r="K53" s="26"/>
      <c r="Q53" s="2275"/>
      <c r="R53" s="2276" t="str">
        <f>N21</f>
        <v xml:space="preserve"> </v>
      </c>
      <c r="S53" s="2275" t="str">
        <f>"Gal"</f>
        <v>Gal</v>
      </c>
      <c r="T53" s="518"/>
    </row>
    <row r="54" spans="1:46" ht="24" customHeight="1">
      <c r="A54" s="864"/>
      <c r="C54" s="3165" t="str">
        <f>J52</f>
        <v/>
      </c>
      <c r="D54" s="3166"/>
      <c r="E54" s="58" t="s">
        <v>1899</v>
      </c>
      <c r="G54" s="3174" t="str">
        <f>IF(ISBLANK(C42)," ",C42)</f>
        <v xml:space="preserve"> </v>
      </c>
      <c r="H54" s="3175"/>
      <c r="I54" s="2271" t="s">
        <v>1903</v>
      </c>
      <c r="J54" s="3165" t="str">
        <f>IF(ISBLANK(C21),"",C54+G54)</f>
        <v/>
      </c>
      <c r="K54" s="3166"/>
      <c r="L54" s="8" t="s">
        <v>2151</v>
      </c>
      <c r="Q54" s="8"/>
      <c r="R54" s="8"/>
      <c r="S54" s="8"/>
      <c r="T54" s="518"/>
    </row>
    <row r="55" spans="1:46" ht="6" customHeight="1">
      <c r="A55" s="864"/>
      <c r="B55" s="2270"/>
      <c r="C55" s="2270"/>
      <c r="D55" s="58"/>
      <c r="E55" s="94"/>
      <c r="F55" s="94"/>
      <c r="G55" s="2271"/>
      <c r="H55" s="2270"/>
      <c r="Q55" s="8"/>
      <c r="R55" s="8"/>
      <c r="S55" s="8"/>
      <c r="T55" s="518"/>
    </row>
    <row r="56" spans="1:46" ht="19.5" customHeight="1">
      <c r="A56" s="868" t="s">
        <v>489</v>
      </c>
      <c r="B56" s="8" t="s">
        <v>2244</v>
      </c>
      <c r="C56" s="301"/>
      <c r="D56" s="301"/>
      <c r="E56" s="58"/>
      <c r="F56" s="94"/>
      <c r="G56" s="301"/>
      <c r="H56" s="58"/>
      <c r="I56" s="94"/>
      <c r="J56" s="94"/>
      <c r="L56" s="4"/>
      <c r="M56" s="33"/>
      <c r="N56" s="7"/>
      <c r="Q56" s="8"/>
      <c r="R56" s="8"/>
      <c r="S56" s="8"/>
      <c r="T56" s="518"/>
      <c r="AH56" s="14"/>
      <c r="AI56" s="14"/>
      <c r="AK56" s="4"/>
      <c r="AL56" s="4"/>
      <c r="AT56" s="17"/>
    </row>
    <row r="57" spans="1:46" ht="24" customHeight="1">
      <c r="A57" s="868"/>
      <c r="C57" s="3439" t="str">
        <f>IF(ISBLANK(C42)," ",(I15))</f>
        <v xml:space="preserve"> </v>
      </c>
      <c r="D57" s="3440"/>
      <c r="E57" s="359" t="s">
        <v>1905</v>
      </c>
      <c r="F57" s="3439" t="str">
        <f>J54</f>
        <v/>
      </c>
      <c r="G57" s="3440"/>
      <c r="H57" s="359" t="s">
        <v>1882</v>
      </c>
      <c r="I57" s="3439" t="str">
        <f>IF(ISBLANK(C42)," ",(I13))</f>
        <v xml:space="preserve"> </v>
      </c>
      <c r="J57" s="3440"/>
      <c r="K57" s="3879" t="s">
        <v>2240</v>
      </c>
      <c r="L57" s="3880"/>
      <c r="M57" s="3439" t="str">
        <f>IF(ISBLANK(C42)," ",(C57-F57)*I57)</f>
        <v xml:space="preserve"> </v>
      </c>
      <c r="N57" s="3440"/>
      <c r="O57" s="8" t="s">
        <v>1002</v>
      </c>
      <c r="Q57" s="8"/>
      <c r="R57" s="8"/>
      <c r="S57" s="8"/>
      <c r="T57" s="518"/>
      <c r="AH57" s="14"/>
      <c r="AI57" s="14"/>
      <c r="AK57" s="6"/>
      <c r="AL57" s="6"/>
      <c r="AT57" s="17"/>
    </row>
    <row r="58" spans="1:46" ht="6" customHeight="1" thickBot="1">
      <c r="A58" s="560"/>
      <c r="B58" s="754"/>
      <c r="C58" s="754"/>
      <c r="D58" s="754"/>
      <c r="E58" s="754"/>
      <c r="F58" s="754"/>
      <c r="G58" s="754"/>
      <c r="H58" s="754"/>
      <c r="I58" s="754"/>
      <c r="J58" s="754"/>
      <c r="K58" s="1186"/>
      <c r="L58" s="1186"/>
      <c r="M58" s="1186"/>
      <c r="N58" s="1186"/>
      <c r="O58" s="2380"/>
      <c r="P58" s="754"/>
      <c r="Q58" s="1186"/>
      <c r="R58" s="756"/>
      <c r="S58" s="756"/>
      <c r="T58" s="1587"/>
    </row>
    <row r="59" spans="1:46" ht="18" customHeight="1"/>
    <row r="60" spans="1:46" ht="20.100000000000001" customHeight="1"/>
    <row r="61" spans="1:46" ht="18" customHeight="1">
      <c r="A61" s="556"/>
      <c r="B61" s="556"/>
      <c r="C61" s="590"/>
      <c r="D61" s="556"/>
      <c r="E61" s="1"/>
      <c r="F61" s="556"/>
      <c r="G61" s="556"/>
      <c r="H61" s="1"/>
      <c r="I61" s="556"/>
      <c r="J61" s="556"/>
      <c r="R61" s="1"/>
      <c r="S61" s="1"/>
      <c r="T61" s="1"/>
    </row>
    <row r="62" spans="1:46" ht="18" customHeight="1">
      <c r="A62" s="1"/>
      <c r="B62" s="1"/>
      <c r="D62" s="4"/>
      <c r="E62" s="4"/>
      <c r="F62" s="4"/>
      <c r="G62" s="4"/>
      <c r="H62" s="4"/>
      <c r="I62" s="3"/>
      <c r="R62" s="347"/>
      <c r="S62" s="347"/>
      <c r="T62" s="347"/>
    </row>
    <row r="63" spans="1:46" ht="20.100000000000001" customHeight="1"/>
    <row r="64" spans="1:46" ht="18" customHeight="1"/>
    <row r="65" ht="20.100000000000001" customHeight="1"/>
    <row r="66" ht="18" customHeight="1"/>
    <row r="67" ht="20.100000000000001" customHeight="1"/>
    <row r="68" ht="6" customHeight="1"/>
    <row r="69" ht="18" customHeight="1"/>
    <row r="70" ht="19.5" customHeight="1"/>
    <row r="71" ht="19.5" customHeight="1"/>
    <row r="72" ht="19.5" customHeight="1"/>
    <row r="73" ht="19.5" customHeight="1"/>
    <row r="74" ht="17.25" customHeight="1"/>
    <row r="75" ht="24" customHeight="1"/>
    <row r="76" ht="19.5" customHeight="1"/>
    <row r="77" ht="19.5" customHeight="1"/>
    <row r="78" ht="19.5" customHeight="1"/>
    <row r="79" ht="18" customHeight="1"/>
    <row r="80" ht="18" customHeight="1"/>
    <row r="81" spans="21:22" ht="18" customHeight="1"/>
    <row r="82" spans="21:22" ht="18" customHeight="1"/>
    <row r="83" spans="21:22" ht="18" customHeight="1"/>
    <row r="84" spans="21:22" ht="18" customHeight="1">
      <c r="U84" s="347"/>
      <c r="V84" s="347"/>
    </row>
    <row r="85" spans="21:22" ht="35.1" customHeight="1">
      <c r="U85" s="347"/>
      <c r="V85" s="347"/>
    </row>
    <row r="86" spans="21:22" ht="35.1" customHeight="1">
      <c r="U86" s="347"/>
      <c r="V86" s="347"/>
    </row>
    <row r="87" spans="21:22" ht="35.1" customHeight="1">
      <c r="U87" s="347"/>
      <c r="V87" s="347"/>
    </row>
    <row r="88" spans="21:22" ht="35.1" customHeight="1">
      <c r="U88" s="53"/>
      <c r="V88" s="1"/>
    </row>
    <row r="89" spans="21:22" ht="35.1" customHeight="1">
      <c r="U89" s="53"/>
      <c r="V89" s="1"/>
    </row>
    <row r="90" spans="21:22" ht="35.1" customHeight="1">
      <c r="U90" s="347"/>
      <c r="V90" s="1"/>
    </row>
  </sheetData>
  <sheetProtection sheet="1" objects="1" scenarios="1"/>
  <mergeCells count="75">
    <mergeCell ref="I47:J47"/>
    <mergeCell ref="K47:L47"/>
    <mergeCell ref="I57:J57"/>
    <mergeCell ref="K57:L57"/>
    <mergeCell ref="M57:N57"/>
    <mergeCell ref="C52:D52"/>
    <mergeCell ref="G52:H52"/>
    <mergeCell ref="J52:K52"/>
    <mergeCell ref="C57:D57"/>
    <mergeCell ref="F57:G57"/>
    <mergeCell ref="C54:D54"/>
    <mergeCell ref="G54:H54"/>
    <mergeCell ref="J54:K54"/>
    <mergeCell ref="C50:D50"/>
    <mergeCell ref="G50:H50"/>
    <mergeCell ref="E50:F50"/>
    <mergeCell ref="C40:D40"/>
    <mergeCell ref="F40:G40"/>
    <mergeCell ref="C47:D47"/>
    <mergeCell ref="E47:F47"/>
    <mergeCell ref="G47:H47"/>
    <mergeCell ref="I40:J40"/>
    <mergeCell ref="C42:D42"/>
    <mergeCell ref="F42:G42"/>
    <mergeCell ref="J42:K42"/>
    <mergeCell ref="J32:K32"/>
    <mergeCell ref="J34:K34"/>
    <mergeCell ref="J36:K36"/>
    <mergeCell ref="C38:D38"/>
    <mergeCell ref="F38:G38"/>
    <mergeCell ref="J38:K38"/>
    <mergeCell ref="B28:J28"/>
    <mergeCell ref="K28:L28"/>
    <mergeCell ref="C30:D30"/>
    <mergeCell ref="E30:F30"/>
    <mergeCell ref="G30:H30"/>
    <mergeCell ref="I30:J30"/>
    <mergeCell ref="K30:L30"/>
    <mergeCell ref="E25:F25"/>
    <mergeCell ref="K25:L25"/>
    <mergeCell ref="A17:T17"/>
    <mergeCell ref="B18:S19"/>
    <mergeCell ref="C21:D21"/>
    <mergeCell ref="H21:I21"/>
    <mergeCell ref="N21:O21"/>
    <mergeCell ref="B22:M22"/>
    <mergeCell ref="K23:L23"/>
    <mergeCell ref="Q23:R23"/>
    <mergeCell ref="Q25:R25"/>
    <mergeCell ref="AF18:AG18"/>
    <mergeCell ref="W20:X20"/>
    <mergeCell ref="AA20:AB20"/>
    <mergeCell ref="AF20:AG20"/>
    <mergeCell ref="I11:J11"/>
    <mergeCell ref="N11:T15"/>
    <mergeCell ref="Z11:AA11"/>
    <mergeCell ref="AE11:AF11"/>
    <mergeCell ref="I13:J13"/>
    <mergeCell ref="W13:AK14"/>
    <mergeCell ref="I15:J15"/>
    <mergeCell ref="W15:X15"/>
    <mergeCell ref="AF15:AG15"/>
    <mergeCell ref="R6:S6"/>
    <mergeCell ref="W6:X6"/>
    <mergeCell ref="AA6:AB6"/>
    <mergeCell ref="AE6:AF6"/>
    <mergeCell ref="F9:J9"/>
    <mergeCell ref="N9:R9"/>
    <mergeCell ref="I6:J6"/>
    <mergeCell ref="B2:K2"/>
    <mergeCell ref="L2:M2"/>
    <mergeCell ref="N2:O2"/>
    <mergeCell ref="I4:J4"/>
    <mergeCell ref="E1:P1"/>
    <mergeCell ref="N4:R4"/>
  </mergeCells>
  <dataValidations disablePrompts="1" count="3">
    <dataValidation type="list" allowBlank="1" showInputMessage="1" sqref="C42:D42" xr:uid="{00000000-0002-0000-1D00-000001000000}">
      <formula1>DepthAlarm</formula1>
    </dataValidation>
    <dataValidation type="whole" allowBlank="1" showInputMessage="1" showErrorMessage="1" error="Must be between Min and Max" sqref="K28:L28" xr:uid="{00000000-0002-0000-1D00-000002000000}">
      <formula1>K23-1</formula1>
      <formula2>K25</formula2>
    </dataValidation>
    <dataValidation type="list" allowBlank="1" showInputMessage="1" showErrorMessage="1" sqref="H33" xr:uid="{00000000-0002-0000-1D00-000000000000}">
      <formula1>$AK$41:$AK$45</formula1>
    </dataValidation>
  </dataValidations>
  <pageMargins left="0.7" right="0.2" top="0.5" bottom="0.5" header="0" footer="0"/>
  <pageSetup scale="68" orientation="portrait" blackAndWhite="1" r:id="rId1"/>
  <ignoredErrors>
    <ignoredError sqref="I4" unlockedFormula="1"/>
  </ignoredError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Tank Use" prompt="What will the pump tank be used for?" xr:uid="{00000000-0002-0000-1D00-000003000000}">
          <x14:formula1>
            <xm:f>'Drop-Down Lists'!#REF!</xm:f>
          </x14:formula1>
          <xm:sqref>N4</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tabColor rgb="FF00B0F0"/>
    <pageSetUpPr fitToPage="1"/>
  </sheetPr>
  <dimension ref="A1:AU89"/>
  <sheetViews>
    <sheetView showGridLines="0" view="pageBreakPreview" zoomScaleNormal="100" zoomScaleSheetLayoutView="100" workbookViewId="0">
      <selection activeCell="I6" sqref="I6:J6"/>
    </sheetView>
  </sheetViews>
  <sheetFormatPr defaultColWidth="6.42578125" defaultRowHeight="35.1" customHeight="1"/>
  <cols>
    <col min="1" max="1" width="2.7109375" style="4" customWidth="1"/>
    <col min="2" max="4" width="5.7109375" style="8" customWidth="1"/>
    <col min="5" max="5" width="6.28515625" style="8" customWidth="1"/>
    <col min="6" max="14" width="5.7109375" style="8" customWidth="1"/>
    <col min="15" max="15" width="7.140625" style="8" customWidth="1"/>
    <col min="16" max="16" width="5.7109375" style="8" customWidth="1"/>
    <col min="17" max="19" width="5.7109375" style="4" customWidth="1"/>
    <col min="20" max="20" width="9.42578125" style="4" customWidth="1"/>
    <col min="21" max="34" width="6.42578125" style="8" customWidth="1"/>
    <col min="35" max="16384" width="6.42578125" style="8"/>
  </cols>
  <sheetData>
    <row r="1" spans="1:47" ht="54.95" customHeight="1" thickBot="1">
      <c r="A1" s="3614" t="s">
        <v>2245</v>
      </c>
      <c r="B1" s="3614"/>
      <c r="C1" s="3614"/>
      <c r="D1" s="3614"/>
      <c r="E1" s="3614"/>
      <c r="F1" s="3614"/>
      <c r="G1" s="3614"/>
      <c r="H1" s="3614"/>
      <c r="I1" s="3614"/>
      <c r="J1" s="3614"/>
      <c r="K1" s="3614"/>
      <c r="L1" s="3614"/>
      <c r="M1" s="3614"/>
      <c r="N1" s="3614"/>
      <c r="O1" s="3614"/>
      <c r="P1" s="3614"/>
      <c r="Q1" s="3614"/>
      <c r="R1" s="3614"/>
      <c r="S1" s="3614"/>
      <c r="T1" s="3614"/>
      <c r="V1" s="16"/>
      <c r="W1" s="1383" t="s">
        <v>1909</v>
      </c>
      <c r="X1" s="16"/>
      <c r="Y1" s="16"/>
      <c r="Z1" s="16"/>
      <c r="AA1" s="16"/>
      <c r="AB1" s="16"/>
      <c r="AC1" s="16"/>
      <c r="AD1" s="721"/>
      <c r="AE1" s="721"/>
      <c r="AF1" s="18"/>
      <c r="AG1" s="18"/>
      <c r="AH1" s="16"/>
      <c r="AI1" s="16"/>
      <c r="AJ1" s="16"/>
      <c r="AK1" s="16"/>
      <c r="AL1" s="16"/>
      <c r="AM1" s="16"/>
      <c r="AN1" s="16"/>
      <c r="AO1" s="24"/>
    </row>
    <row r="2" spans="1:47" ht="24" customHeight="1">
      <c r="A2" s="1269"/>
      <c r="B2" s="3589"/>
      <c r="C2" s="3589"/>
      <c r="D2" s="3589"/>
      <c r="E2" s="3589"/>
      <c r="F2" s="3589"/>
      <c r="G2" s="3589"/>
      <c r="H2" s="3589"/>
      <c r="I2" s="3589"/>
      <c r="J2" s="3589"/>
      <c r="K2" s="3589"/>
      <c r="L2" s="3588" t="s">
        <v>1164</v>
      </c>
      <c r="M2" s="3588"/>
      <c r="N2" s="3590" t="str">
        <f>IF(ISBLANK('Design Details &amp; Summary'!S3)," ",'Design Details &amp; Summary'!S3)</f>
        <v xml:space="preserve"> </v>
      </c>
      <c r="O2" s="3590"/>
      <c r="P2" s="1127"/>
      <c r="Q2" s="1127"/>
      <c r="R2" s="1127"/>
      <c r="S2" s="1127"/>
      <c r="T2" s="857" t="str">
        <f>'Drop-Down Lists'!$A2</f>
        <v>v 05.01.2026</v>
      </c>
      <c r="V2" s="722"/>
      <c r="W2" s="16" t="s">
        <v>1834</v>
      </c>
      <c r="AH2" s="16"/>
      <c r="AI2" s="16"/>
      <c r="AJ2" s="16"/>
      <c r="AK2" s="16"/>
      <c r="AL2" s="16"/>
      <c r="AM2" s="16"/>
      <c r="AN2" s="16"/>
      <c r="AO2" s="16"/>
      <c r="AT2" s="17"/>
      <c r="AU2" s="17"/>
    </row>
    <row r="3" spans="1:47" ht="6" customHeight="1">
      <c r="A3" s="1160"/>
      <c r="B3" s="91"/>
      <c r="C3" s="91"/>
      <c r="D3" s="91"/>
      <c r="E3" s="91"/>
      <c r="F3" s="91"/>
      <c r="G3" s="91"/>
      <c r="H3" s="91"/>
      <c r="I3" s="91" t="s">
        <v>1835</v>
      </c>
      <c r="J3" s="91"/>
      <c r="K3" s="91"/>
      <c r="L3" s="91"/>
      <c r="M3" s="91"/>
      <c r="N3" s="91"/>
      <c r="O3" s="91"/>
      <c r="P3" s="91"/>
      <c r="Q3" s="91"/>
      <c r="R3" s="91"/>
      <c r="S3" s="91"/>
      <c r="T3" s="859"/>
      <c r="AL3" s="4"/>
      <c r="AM3" s="4"/>
      <c r="AN3" s="4"/>
      <c r="AO3" s="4"/>
      <c r="AT3" s="17"/>
      <c r="AU3" s="17"/>
    </row>
    <row r="4" spans="1:47" ht="18" customHeight="1">
      <c r="A4" s="3883" t="s">
        <v>1833</v>
      </c>
      <c r="B4" s="2997"/>
      <c r="C4" s="2997"/>
      <c r="D4" s="2997"/>
      <c r="E4" s="2997"/>
      <c r="F4" s="2997"/>
      <c r="G4" s="2997"/>
      <c r="H4" s="2997"/>
      <c r="I4" s="2997"/>
      <c r="J4" s="2997"/>
      <c r="K4" s="2997"/>
      <c r="L4" s="2997"/>
      <c r="M4" s="2997"/>
      <c r="N4" s="2997"/>
      <c r="O4" s="2997"/>
      <c r="P4" s="2997"/>
      <c r="Q4" s="2997"/>
      <c r="R4" s="2997"/>
      <c r="S4" s="2997"/>
      <c r="T4" s="3884"/>
      <c r="AL4" s="4"/>
      <c r="AM4" s="4"/>
      <c r="AN4" s="4"/>
      <c r="AO4" s="4"/>
      <c r="AT4" s="17"/>
      <c r="AU4" s="17"/>
    </row>
    <row r="5" spans="1:47" ht="6" customHeight="1">
      <c r="A5" s="861"/>
      <c r="C5" s="16"/>
      <c r="D5" s="16"/>
      <c r="E5" s="16"/>
      <c r="F5" s="16"/>
      <c r="G5" s="16"/>
      <c r="H5" s="16"/>
      <c r="I5" s="16"/>
      <c r="J5" s="16"/>
      <c r="K5" s="16"/>
      <c r="L5" s="16"/>
      <c r="M5" s="16"/>
      <c r="N5" s="16"/>
      <c r="O5" s="16"/>
      <c r="P5" s="16"/>
      <c r="Q5" s="16"/>
      <c r="R5" s="16"/>
      <c r="S5" s="16"/>
      <c r="T5" s="862"/>
      <c r="AL5" s="4"/>
      <c r="AM5" s="4"/>
      <c r="AN5" s="4"/>
      <c r="AO5" s="4"/>
      <c r="AT5" s="17"/>
      <c r="AU5" s="17"/>
    </row>
    <row r="6" spans="1:47" ht="19.350000000000001" customHeight="1">
      <c r="A6" s="868" t="s">
        <v>1910</v>
      </c>
      <c r="B6" s="527" t="s">
        <v>1011</v>
      </c>
      <c r="C6" s="534" t="s">
        <v>2246</v>
      </c>
      <c r="D6" s="520"/>
      <c r="E6" s="520"/>
      <c r="F6" s="520"/>
      <c r="G6" s="520"/>
      <c r="I6" s="3851" t="str">
        <f>IF(ISBLANK('Design Details &amp; Summary'!I11),"",'Design Details &amp; Summary'!I11)</f>
        <v/>
      </c>
      <c r="J6" s="3851"/>
      <c r="K6" s="520" t="s">
        <v>583</v>
      </c>
      <c r="L6" s="4" t="s">
        <v>1019</v>
      </c>
      <c r="M6" s="8" t="s">
        <v>1911</v>
      </c>
      <c r="O6" s="3623"/>
      <c r="P6" s="3623"/>
      <c r="Q6" s="3623"/>
      <c r="R6" s="3623"/>
      <c r="S6" s="3623"/>
      <c r="T6" s="518"/>
      <c r="V6" s="4" t="s">
        <v>1011</v>
      </c>
      <c r="W6" s="8" t="s">
        <v>1837</v>
      </c>
      <c r="AL6" s="4"/>
      <c r="AM6" s="4"/>
      <c r="AN6" s="4"/>
      <c r="AO6" s="4"/>
      <c r="AT6" s="17"/>
      <c r="AU6" s="17"/>
    </row>
    <row r="7" spans="1:47" ht="6" customHeight="1">
      <c r="A7" s="868"/>
      <c r="B7" s="527"/>
      <c r="C7" s="534"/>
      <c r="D7" s="520"/>
      <c r="E7" s="520"/>
      <c r="F7" s="520"/>
      <c r="G7" s="520"/>
      <c r="I7" s="1093"/>
      <c r="J7" s="746"/>
      <c r="K7" s="520"/>
      <c r="L7" s="4"/>
      <c r="Q7" s="60"/>
      <c r="R7" s="60"/>
      <c r="S7" s="8"/>
      <c r="T7" s="518"/>
      <c r="AL7" s="4"/>
      <c r="AM7" s="4"/>
      <c r="AN7" s="4"/>
      <c r="AO7" s="4"/>
      <c r="AT7" s="17"/>
      <c r="AU7" s="17"/>
    </row>
    <row r="8" spans="1:47" ht="19.350000000000001" customHeight="1">
      <c r="A8" s="868"/>
      <c r="B8" s="4" t="s">
        <v>1168</v>
      </c>
      <c r="C8" s="1203" t="s">
        <v>1912</v>
      </c>
      <c r="G8" s="1220">
        <v>70</v>
      </c>
      <c r="H8" s="1203" t="s">
        <v>624</v>
      </c>
      <c r="I8" s="3615" t="str">
        <f>IFERROR(I6*G8/100,"")</f>
        <v/>
      </c>
      <c r="J8" s="3616"/>
      <c r="K8" s="8" t="s">
        <v>1031</v>
      </c>
      <c r="L8" s="1588" t="s">
        <v>1913</v>
      </c>
      <c r="Q8" s="60"/>
      <c r="R8" s="60"/>
      <c r="S8" s="8"/>
      <c r="T8" s="518"/>
      <c r="X8" s="4" t="s">
        <v>1845</v>
      </c>
      <c r="Z8" s="3579"/>
      <c r="AA8" s="3580"/>
      <c r="AB8" s="335">
        <v>2</v>
      </c>
      <c r="AC8" s="8" t="s">
        <v>609</v>
      </c>
      <c r="AD8" s="4" t="s">
        <v>1240</v>
      </c>
      <c r="AE8" s="3174" t="str">
        <f>IF(ISBLANK(Z8)," ",PI()*Z8*Z8)</f>
        <v xml:space="preserve"> </v>
      </c>
      <c r="AF8" s="3175"/>
      <c r="AG8" s="8" t="s">
        <v>801</v>
      </c>
      <c r="AN8" s="4"/>
      <c r="AO8" s="4"/>
      <c r="AT8" s="17"/>
      <c r="AU8" s="17"/>
    </row>
    <row r="9" spans="1:47" ht="6" customHeight="1">
      <c r="A9" s="1153"/>
      <c r="B9" s="16"/>
      <c r="C9" s="16"/>
      <c r="D9" s="16"/>
      <c r="E9" s="16"/>
      <c r="F9" s="16"/>
      <c r="G9" s="16"/>
      <c r="H9" s="16"/>
      <c r="L9" s="16"/>
      <c r="M9" s="16"/>
      <c r="N9" s="16"/>
      <c r="O9" s="16"/>
      <c r="P9" s="16"/>
      <c r="Q9" s="16"/>
      <c r="R9" s="16"/>
      <c r="S9" s="16"/>
      <c r="T9" s="862"/>
      <c r="V9" s="722"/>
      <c r="AK9" s="4"/>
      <c r="AL9" s="4"/>
      <c r="AM9" s="4"/>
      <c r="AN9" s="473"/>
      <c r="AO9" s="4"/>
      <c r="AT9" s="17"/>
      <c r="AU9" s="17"/>
    </row>
    <row r="10" spans="1:47" ht="19.350000000000001" customHeight="1">
      <c r="A10" s="1153"/>
      <c r="B10" s="4" t="s">
        <v>1172</v>
      </c>
      <c r="C10" s="8" t="s">
        <v>2231</v>
      </c>
      <c r="I10" s="2940"/>
      <c r="J10" s="2941"/>
      <c r="K10" s="8" t="s">
        <v>1031</v>
      </c>
      <c r="L10" s="4" t="s">
        <v>1177</v>
      </c>
      <c r="M10" s="3" t="s">
        <v>1914</v>
      </c>
      <c r="N10" s="3"/>
      <c r="O10" s="3"/>
      <c r="Q10" s="3881"/>
      <c r="R10" s="3882"/>
      <c r="S10" s="3" t="s">
        <v>1031</v>
      </c>
      <c r="T10" s="518"/>
      <c r="V10" s="4" t="s">
        <v>1168</v>
      </c>
      <c r="W10" s="2946" t="s">
        <v>1847</v>
      </c>
      <c r="X10" s="2946"/>
      <c r="Y10" s="2946"/>
      <c r="Z10" s="2946"/>
      <c r="AA10" s="2946"/>
      <c r="AB10" s="2946"/>
      <c r="AC10" s="2946"/>
      <c r="AD10" s="2946"/>
      <c r="AE10" s="2946"/>
      <c r="AF10" s="2946"/>
      <c r="AG10" s="2946"/>
      <c r="AH10" s="2946"/>
      <c r="AI10" s="2946"/>
      <c r="AJ10" s="2946"/>
      <c r="AK10" s="2946"/>
      <c r="AN10" s="473"/>
      <c r="AO10" s="4"/>
      <c r="AT10" s="17"/>
      <c r="AU10" s="17"/>
    </row>
    <row r="11" spans="1:47" ht="7.5" customHeight="1">
      <c r="A11" s="1153"/>
      <c r="B11" s="16"/>
      <c r="C11" s="16"/>
      <c r="D11" s="16"/>
      <c r="E11" s="16"/>
      <c r="F11" s="16"/>
      <c r="G11" s="16"/>
      <c r="H11" s="16"/>
      <c r="L11" s="855"/>
      <c r="M11" s="16"/>
      <c r="N11" s="16"/>
      <c r="O11" s="16"/>
      <c r="P11" s="16"/>
      <c r="Q11" s="16"/>
      <c r="R11" s="16"/>
      <c r="S11" s="16"/>
      <c r="T11" s="862"/>
      <c r="V11" s="4"/>
      <c r="W11" s="2946"/>
      <c r="X11" s="2946"/>
      <c r="Y11" s="2946"/>
      <c r="Z11" s="2946"/>
      <c r="AA11" s="2946"/>
      <c r="AB11" s="2946"/>
      <c r="AC11" s="2946"/>
      <c r="AD11" s="2946"/>
      <c r="AE11" s="2946"/>
      <c r="AF11" s="2946"/>
      <c r="AG11" s="2946"/>
      <c r="AH11" s="2946"/>
      <c r="AI11" s="2946"/>
      <c r="AJ11" s="2946"/>
      <c r="AK11" s="2946"/>
      <c r="AL11" s="4"/>
      <c r="AM11" s="4"/>
      <c r="AT11" s="17"/>
      <c r="AU11" s="17"/>
    </row>
    <row r="12" spans="1:47" ht="6" customHeight="1">
      <c r="A12" s="1160"/>
      <c r="B12" s="91"/>
      <c r="C12" s="91"/>
      <c r="D12" s="91"/>
      <c r="E12" s="91"/>
      <c r="F12" s="91"/>
      <c r="G12" s="91"/>
      <c r="H12" s="91"/>
      <c r="I12" s="41"/>
      <c r="J12" s="41"/>
      <c r="K12" s="41"/>
      <c r="L12" s="16"/>
      <c r="M12" s="91"/>
      <c r="N12" s="91"/>
      <c r="O12" s="91"/>
      <c r="P12" s="91"/>
      <c r="Q12" s="91"/>
      <c r="R12" s="91"/>
      <c r="S12" s="91"/>
      <c r="T12" s="859"/>
      <c r="V12" s="4"/>
      <c r="AK12" s="4"/>
      <c r="AL12" s="4"/>
      <c r="AM12" s="4"/>
      <c r="AN12" s="4"/>
      <c r="AO12" s="4"/>
      <c r="AT12" s="17"/>
    </row>
    <row r="13" spans="1:47" ht="19.350000000000001" customHeight="1">
      <c r="A13" s="868" t="s">
        <v>1915</v>
      </c>
      <c r="B13" s="4" t="s">
        <v>1011</v>
      </c>
      <c r="C13" s="8" t="s">
        <v>1840</v>
      </c>
      <c r="D13" s="27"/>
      <c r="E13" s="4"/>
      <c r="F13" s="2940"/>
      <c r="G13" s="3597"/>
      <c r="H13" s="3597"/>
      <c r="I13" s="3597"/>
      <c r="J13" s="2941"/>
      <c r="L13" s="4" t="s">
        <v>1019</v>
      </c>
      <c r="M13" s="8" t="s">
        <v>1841</v>
      </c>
      <c r="N13" s="27"/>
      <c r="O13" s="2872"/>
      <c r="P13" s="2873"/>
      <c r="Q13" s="2873"/>
      <c r="R13" s="2873"/>
      <c r="S13" s="2874"/>
      <c r="T13" s="1014"/>
      <c r="V13" s="4"/>
      <c r="W13" s="3579"/>
      <c r="X13" s="3580"/>
      <c r="Y13" s="4" t="s">
        <v>801</v>
      </c>
      <c r="Z13" s="4" t="s">
        <v>1850</v>
      </c>
      <c r="AA13" s="3" t="s">
        <v>1851</v>
      </c>
      <c r="AB13" s="674"/>
      <c r="AC13" s="43"/>
      <c r="AD13" s="43"/>
      <c r="AE13" s="4" t="s">
        <v>1240</v>
      </c>
      <c r="AF13" s="3174" t="str">
        <f>IF(ISBLANK(W13)," ",W13*7.5/12)</f>
        <v xml:space="preserve"> </v>
      </c>
      <c r="AG13" s="3175"/>
      <c r="AH13" s="8" t="s">
        <v>1849</v>
      </c>
      <c r="AN13" s="24"/>
      <c r="AT13" s="17"/>
    </row>
    <row r="14" spans="1:47" ht="6" customHeight="1">
      <c r="A14" s="864"/>
      <c r="B14" s="4"/>
      <c r="D14" s="27"/>
      <c r="E14" s="4"/>
      <c r="F14" s="32"/>
      <c r="G14" s="32"/>
      <c r="H14" s="54"/>
      <c r="J14" s="4"/>
      <c r="K14" s="32"/>
      <c r="L14" s="32"/>
      <c r="M14" s="4"/>
      <c r="N14" s="552"/>
      <c r="O14" s="552"/>
      <c r="P14" s="353"/>
      <c r="Q14" s="353"/>
      <c r="R14" s="353"/>
      <c r="S14" s="353"/>
      <c r="T14" s="865"/>
      <c r="AL14" s="4"/>
      <c r="AM14" s="4"/>
      <c r="AN14" s="4"/>
      <c r="AO14" s="4"/>
      <c r="AT14" s="17"/>
    </row>
    <row r="15" spans="1:47" ht="19.350000000000001" customHeight="1">
      <c r="A15" s="864"/>
      <c r="B15" s="4" t="s">
        <v>1168</v>
      </c>
      <c r="C15" s="8" t="s">
        <v>1843</v>
      </c>
      <c r="I15" s="2940"/>
      <c r="J15" s="3461"/>
      <c r="K15" s="8" t="s">
        <v>1002</v>
      </c>
      <c r="N15" s="3618" t="s">
        <v>1844</v>
      </c>
      <c r="O15" s="3618"/>
      <c r="P15" s="3618"/>
      <c r="Q15" s="3618"/>
      <c r="R15" s="3618"/>
      <c r="S15" s="3618"/>
      <c r="T15" s="3619"/>
      <c r="V15" s="4" t="s">
        <v>1172</v>
      </c>
      <c r="W15" s="8" t="s">
        <v>1853</v>
      </c>
      <c r="AA15" s="32"/>
      <c r="AB15" s="32"/>
      <c r="AC15" s="54"/>
      <c r="AE15" s="4"/>
      <c r="AF15" s="32"/>
      <c r="AG15" s="32"/>
      <c r="AH15" s="4"/>
      <c r="AN15" s="4"/>
      <c r="AO15" s="4"/>
      <c r="AT15" s="17"/>
    </row>
    <row r="16" spans="1:47" ht="6" customHeight="1">
      <c r="A16" s="864"/>
      <c r="B16" s="4"/>
      <c r="H16" s="32"/>
      <c r="I16" s="19"/>
      <c r="J16" s="1175"/>
      <c r="N16" s="3618"/>
      <c r="O16" s="3618"/>
      <c r="P16" s="3618"/>
      <c r="Q16" s="3618"/>
      <c r="R16" s="3618"/>
      <c r="S16" s="3618"/>
      <c r="T16" s="3619"/>
      <c r="V16" s="9"/>
      <c r="W16" s="7"/>
      <c r="AF16" s="875"/>
      <c r="AG16" s="875"/>
      <c r="AT16" s="17"/>
    </row>
    <row r="17" spans="1:46" ht="19.350000000000001" customHeight="1">
      <c r="A17" s="864"/>
      <c r="B17" s="4" t="s">
        <v>1172</v>
      </c>
      <c r="C17" s="8" t="s">
        <v>1916</v>
      </c>
      <c r="H17" s="32"/>
      <c r="I17" s="3172"/>
      <c r="J17" s="3563"/>
      <c r="K17" s="8" t="s">
        <v>1849</v>
      </c>
      <c r="N17" s="3618"/>
      <c r="O17" s="3618"/>
      <c r="P17" s="3618"/>
      <c r="Q17" s="3618"/>
      <c r="R17" s="3618"/>
      <c r="S17" s="3618"/>
      <c r="T17" s="3619"/>
      <c r="W17" s="7" t="s">
        <v>1855</v>
      </c>
      <c r="AF17" s="3573"/>
      <c r="AG17" s="3574"/>
      <c r="AH17" s="8" t="s">
        <v>629</v>
      </c>
      <c r="AI17" s="3"/>
      <c r="AJ17" s="3"/>
      <c r="AN17" s="4"/>
      <c r="AO17" s="4"/>
      <c r="AT17" s="17"/>
    </row>
    <row r="18" spans="1:46" ht="6" customHeight="1">
      <c r="A18" s="864"/>
      <c r="N18" s="3618"/>
      <c r="O18" s="3618"/>
      <c r="P18" s="3618"/>
      <c r="Q18" s="3618"/>
      <c r="R18" s="3618"/>
      <c r="S18" s="3618"/>
      <c r="T18" s="3619"/>
      <c r="AT18" s="17"/>
    </row>
    <row r="19" spans="1:46" ht="18" customHeight="1">
      <c r="A19" s="864"/>
      <c r="B19" s="4" t="s">
        <v>1177</v>
      </c>
      <c r="C19" s="8" t="s">
        <v>1846</v>
      </c>
      <c r="H19" s="32"/>
      <c r="I19" s="3172"/>
      <c r="J19" s="3563"/>
      <c r="K19" s="8" t="s">
        <v>762</v>
      </c>
      <c r="N19" s="3618"/>
      <c r="O19" s="3618"/>
      <c r="P19" s="3618"/>
      <c r="Q19" s="3618"/>
      <c r="R19" s="3618"/>
      <c r="S19" s="3618"/>
      <c r="T19" s="3619"/>
      <c r="V19" s="9"/>
      <c r="W19" s="7" t="s">
        <v>1856</v>
      </c>
      <c r="AD19" s="4"/>
      <c r="AE19" s="4"/>
      <c r="AH19" s="3"/>
      <c r="AT19" s="17"/>
    </row>
    <row r="20" spans="1:46" ht="6" customHeight="1">
      <c r="A20" s="1224"/>
      <c r="B20" s="61"/>
      <c r="C20" s="61"/>
      <c r="D20" s="61"/>
      <c r="E20" s="61"/>
      <c r="F20" s="61"/>
      <c r="G20" s="61"/>
      <c r="H20" s="61"/>
      <c r="I20" s="61"/>
      <c r="J20" s="61"/>
      <c r="K20" s="61"/>
      <c r="L20" s="61"/>
      <c r="M20" s="61"/>
      <c r="N20" s="61"/>
      <c r="O20" s="61"/>
      <c r="P20" s="61"/>
      <c r="Q20" s="38"/>
      <c r="R20" s="38"/>
      <c r="S20" s="38"/>
      <c r="T20" s="867"/>
      <c r="V20" s="9"/>
      <c r="AT20" s="17"/>
    </row>
    <row r="21" spans="1:46" ht="19.350000000000001" customHeight="1">
      <c r="A21" s="3883" t="s">
        <v>1852</v>
      </c>
      <c r="B21" s="2997"/>
      <c r="C21" s="2997"/>
      <c r="D21" s="2997"/>
      <c r="E21" s="2997"/>
      <c r="F21" s="2997"/>
      <c r="G21" s="2997"/>
      <c r="H21" s="2997"/>
      <c r="I21" s="2997"/>
      <c r="J21" s="2997"/>
      <c r="K21" s="2997"/>
      <c r="L21" s="2997"/>
      <c r="M21" s="2997"/>
      <c r="N21" s="2997"/>
      <c r="O21" s="2997"/>
      <c r="P21" s="2997"/>
      <c r="Q21" s="2997"/>
      <c r="R21" s="2997"/>
      <c r="S21" s="2997"/>
      <c r="T21" s="3884"/>
      <c r="V21" s="4"/>
      <c r="W21" s="1225" t="str">
        <f>IF(ISBLANK(AF17)," ",(AF17))</f>
        <v xml:space="preserve"> </v>
      </c>
      <c r="X21" s="1223"/>
      <c r="Y21" s="4" t="s">
        <v>629</v>
      </c>
      <c r="Z21" s="4" t="s">
        <v>1343</v>
      </c>
      <c r="AA21" s="3174">
        <f>IF(ISBLANK(AF13),"",MAX(I18,AF13))</f>
        <v>0</v>
      </c>
      <c r="AB21" s="3175"/>
      <c r="AC21" s="8" t="s">
        <v>1858</v>
      </c>
      <c r="AF21" s="1222" t="str">
        <f>IF(ISBLANK(AF17)," ",(W21*AA21))</f>
        <v xml:space="preserve"> </v>
      </c>
      <c r="AG21" s="1221"/>
      <c r="AH21" s="8" t="s">
        <v>1002</v>
      </c>
      <c r="AT21" s="17"/>
    </row>
    <row r="22" spans="1:46" ht="20.25" customHeight="1">
      <c r="A22" s="868" t="s">
        <v>1917</v>
      </c>
      <c r="B22" s="3479" t="s">
        <v>2247</v>
      </c>
      <c r="C22" s="3479"/>
      <c r="D22" s="3479"/>
      <c r="E22" s="3479"/>
      <c r="F22" s="3479"/>
      <c r="G22" s="3479"/>
      <c r="H22" s="3479"/>
      <c r="I22" s="3479"/>
      <c r="J22" s="3479"/>
      <c r="K22" s="3479"/>
      <c r="L22" s="3479"/>
      <c r="M22" s="3479"/>
      <c r="N22" s="3479"/>
      <c r="O22" s="3479"/>
      <c r="P22" s="3479"/>
      <c r="Q22" s="3479"/>
      <c r="R22" s="3479"/>
      <c r="S22" s="3479"/>
      <c r="T22" s="3885"/>
      <c r="V22" s="4"/>
      <c r="W22" s="4"/>
      <c r="X22" s="10"/>
      <c r="Y22" s="10"/>
      <c r="Z22" s="10"/>
      <c r="AA22" s="10"/>
      <c r="AB22" s="10"/>
      <c r="AC22" s="10"/>
      <c r="AD22" s="10"/>
      <c r="AE22" s="10"/>
      <c r="AF22" s="10"/>
      <c r="AT22" s="17"/>
    </row>
    <row r="23" spans="1:46" ht="19.350000000000001" customHeight="1">
      <c r="A23" s="864"/>
      <c r="B23" s="2868" t="s">
        <v>2233</v>
      </c>
      <c r="C23" s="2868"/>
      <c r="D23" s="2868"/>
      <c r="E23" s="2868"/>
      <c r="F23" s="2868"/>
      <c r="G23" s="2868"/>
      <c r="H23" s="2868"/>
      <c r="I23" s="2868"/>
      <c r="J23" s="2868"/>
      <c r="K23" s="2868"/>
      <c r="Q23" s="8"/>
      <c r="R23" s="8"/>
      <c r="S23" s="8"/>
      <c r="T23" s="518"/>
      <c r="AT23" s="17"/>
    </row>
    <row r="24" spans="1:46" ht="19.350000000000001" customHeight="1">
      <c r="A24" s="864"/>
      <c r="B24" s="24" t="s">
        <v>1237</v>
      </c>
      <c r="C24" s="2872"/>
      <c r="D24" s="2874"/>
      <c r="E24" s="4" t="s">
        <v>1859</v>
      </c>
      <c r="F24" s="8" t="s">
        <v>1860</v>
      </c>
      <c r="H24" s="3174" t="str">
        <f>IF(ISBLANK(C24), " ", MAX(I17,AF13))</f>
        <v xml:space="preserve"> </v>
      </c>
      <c r="I24" s="3175"/>
      <c r="J24" s="8" t="s">
        <v>1861</v>
      </c>
      <c r="L24" s="4" t="s">
        <v>1240</v>
      </c>
      <c r="M24" s="3165" t="str">
        <f>IF(ISBLANK(C24)," ",((C24+2)*H24))</f>
        <v xml:space="preserve"> </v>
      </c>
      <c r="N24" s="3166"/>
      <c r="O24" s="8" t="s">
        <v>1002</v>
      </c>
      <c r="S24" s="8"/>
      <c r="T24" s="518"/>
      <c r="AT24" s="17"/>
    </row>
    <row r="25" spans="1:46" ht="19.350000000000001" customHeight="1">
      <c r="A25" s="868" t="s">
        <v>1920</v>
      </c>
      <c r="B25" s="2946" t="s">
        <v>2248</v>
      </c>
      <c r="C25" s="2946"/>
      <c r="D25" s="2946"/>
      <c r="E25" s="2946"/>
      <c r="F25" s="2946"/>
      <c r="G25" s="2946"/>
      <c r="H25" s="2946"/>
      <c r="I25" s="2946"/>
      <c r="J25" s="2946"/>
      <c r="K25" s="2946"/>
      <c r="L25" s="2946"/>
      <c r="M25" s="2946"/>
      <c r="T25" s="863"/>
      <c r="AT25" s="17"/>
    </row>
    <row r="26" spans="1:46" ht="19.350000000000001" customHeight="1">
      <c r="A26" s="864"/>
      <c r="B26" s="7"/>
      <c r="C26" s="648"/>
      <c r="D26" s="648"/>
      <c r="E26" s="648"/>
      <c r="F26" s="648"/>
      <c r="G26" s="648"/>
      <c r="H26" s="648"/>
      <c r="I26" s="648"/>
      <c r="J26" s="648"/>
      <c r="K26" s="2872"/>
      <c r="L26" s="2874"/>
      <c r="M26" s="8" t="s">
        <v>1923</v>
      </c>
      <c r="Q26" s="2870" t="str">
        <f>IF(ISBLANK(C24)," ",K26/H24)</f>
        <v xml:space="preserve"> </v>
      </c>
      <c r="R26" s="2871"/>
      <c r="S26" s="8" t="s">
        <v>1865</v>
      </c>
      <c r="T26" s="518"/>
      <c r="AT26" s="17"/>
    </row>
    <row r="27" spans="1:46" ht="18.75" customHeight="1">
      <c r="A27" s="868" t="s">
        <v>1924</v>
      </c>
      <c r="B27" s="8" t="s">
        <v>1925</v>
      </c>
      <c r="Q27" s="8"/>
      <c r="R27" s="8"/>
      <c r="S27" s="8"/>
      <c r="T27" s="518"/>
      <c r="AT27" s="17"/>
    </row>
    <row r="28" spans="1:46" ht="19.350000000000001" customHeight="1">
      <c r="A28" s="864"/>
      <c r="B28" s="8" t="s">
        <v>582</v>
      </c>
      <c r="E28" s="3480" t="str">
        <f>IF(ISBLANK('Design Details &amp; Summary'!I11)," ",'Design Details &amp; Summary'!I11)</f>
        <v/>
      </c>
      <c r="F28" s="3481"/>
      <c r="G28" s="4" t="s">
        <v>583</v>
      </c>
      <c r="H28" s="4" t="s">
        <v>1343</v>
      </c>
      <c r="I28" s="3">
        <v>0.25</v>
      </c>
      <c r="J28" s="4" t="s">
        <v>1240</v>
      </c>
      <c r="K28" s="2872"/>
      <c r="L28" s="2874"/>
      <c r="M28" s="8" t="s">
        <v>1926</v>
      </c>
      <c r="Q28" s="2870" t="str">
        <f>IF(ISBLANK(C24)," ",K28/H24)</f>
        <v xml:space="preserve"> </v>
      </c>
      <c r="R28" s="2871"/>
      <c r="S28" s="8" t="s">
        <v>1865</v>
      </c>
      <c r="T28" s="863"/>
      <c r="AT28" s="17"/>
    </row>
    <row r="29" spans="1:46" ht="6" customHeight="1">
      <c r="A29" s="868"/>
      <c r="B29" s="26"/>
      <c r="C29" s="26"/>
      <c r="D29" s="26"/>
      <c r="E29" s="26"/>
      <c r="F29" s="26"/>
      <c r="G29" s="26"/>
      <c r="H29" s="26"/>
      <c r="I29" s="26"/>
      <c r="J29" s="26"/>
      <c r="K29" s="26"/>
      <c r="L29" s="26"/>
      <c r="M29" s="26"/>
      <c r="N29" s="26"/>
      <c r="O29" s="26"/>
      <c r="P29" s="26"/>
      <c r="Q29" s="8"/>
      <c r="R29" s="8"/>
      <c r="S29" s="8"/>
      <c r="T29" s="518"/>
      <c r="AT29" s="17"/>
    </row>
    <row r="30" spans="1:46" ht="18.75" customHeight="1">
      <c r="A30" s="868" t="s">
        <v>1927</v>
      </c>
      <c r="B30" s="3642" t="s">
        <v>1868</v>
      </c>
      <c r="C30" s="3642"/>
      <c r="D30" s="3642"/>
      <c r="E30" s="3642"/>
      <c r="F30" s="3642"/>
      <c r="G30" s="3642"/>
      <c r="H30" s="3642"/>
      <c r="I30" s="3642"/>
      <c r="J30" s="3642"/>
      <c r="K30" s="3643"/>
      <c r="L30" s="2872"/>
      <c r="M30" s="2874"/>
      <c r="N30" s="8" t="s">
        <v>1002</v>
      </c>
      <c r="Q30" s="8"/>
      <c r="R30" s="8"/>
      <c r="S30" s="8"/>
      <c r="T30" s="518"/>
      <c r="AT30" s="17"/>
    </row>
    <row r="31" spans="1:46" ht="19.350000000000001" customHeight="1">
      <c r="A31" s="868" t="s">
        <v>1928</v>
      </c>
      <c r="B31" s="1203" t="s">
        <v>2249</v>
      </c>
      <c r="Q31" s="8"/>
      <c r="R31" s="8"/>
      <c r="S31" s="8"/>
      <c r="T31" s="863"/>
      <c r="AT31" s="17"/>
    </row>
    <row r="32" spans="1:46" ht="19.350000000000001" customHeight="1">
      <c r="A32" s="868"/>
      <c r="C32" s="3480" t="str">
        <f>IF(ISBLANK(E28)," ",I8)</f>
        <v/>
      </c>
      <c r="D32" s="3481"/>
      <c r="E32" s="2926" t="s">
        <v>1930</v>
      </c>
      <c r="F32" s="2928"/>
      <c r="G32" s="3480" t="str">
        <f>IF(ISBLANK(L30)," ",L30)</f>
        <v xml:space="preserve"> </v>
      </c>
      <c r="H32" s="3481"/>
      <c r="I32" s="2926" t="s">
        <v>1870</v>
      </c>
      <c r="J32" s="2927"/>
      <c r="K32" s="3875" t="str">
        <f>IF(ISBLANK(C24)," ",C32/G32)</f>
        <v xml:space="preserve"> </v>
      </c>
      <c r="L32" s="3876"/>
      <c r="M32" s="7" t="s">
        <v>1931</v>
      </c>
      <c r="O32" s="30"/>
      <c r="P32" s="30"/>
      <c r="Q32" s="33"/>
      <c r="R32" s="33"/>
      <c r="S32" s="93"/>
      <c r="T32" s="863"/>
      <c r="AH32" s="14"/>
      <c r="AI32" s="14"/>
      <c r="AK32" s="6"/>
      <c r="AL32" s="6"/>
      <c r="AT32" s="17"/>
    </row>
    <row r="33" spans="1:46" ht="18.75" customHeight="1">
      <c r="A33" s="868" t="s">
        <v>1932</v>
      </c>
      <c r="B33" s="8" t="s">
        <v>1873</v>
      </c>
      <c r="I33" s="30"/>
      <c r="J33" s="9"/>
      <c r="K33" s="30"/>
      <c r="L33" s="4"/>
      <c r="M33" s="33"/>
      <c r="N33" s="7"/>
      <c r="Q33" s="8"/>
      <c r="R33" s="8"/>
      <c r="S33" s="8"/>
      <c r="T33" s="518"/>
      <c r="AT33" s="17"/>
    </row>
    <row r="34" spans="1:46" ht="19.350000000000001" customHeight="1">
      <c r="A34" s="868"/>
      <c r="B34" s="8" t="s">
        <v>1011</v>
      </c>
      <c r="C34" s="7" t="s">
        <v>1874</v>
      </c>
      <c r="J34" s="3480" t="str">
        <f>IF(ISBLANK(L30),"",('Pump-Basic (Other)'!F21))</f>
        <v/>
      </c>
      <c r="K34" s="3481"/>
      <c r="L34" s="8" t="s">
        <v>762</v>
      </c>
      <c r="Q34" s="8"/>
      <c r="R34" s="8"/>
      <c r="S34" s="8"/>
      <c r="T34" s="518"/>
      <c r="AT34" s="17"/>
    </row>
    <row r="35" spans="1:46" ht="6" customHeight="1">
      <c r="A35" s="868"/>
      <c r="C35" s="7"/>
      <c r="H35" s="30"/>
      <c r="I35" s="30"/>
      <c r="J35" s="16"/>
      <c r="Q35" s="30"/>
      <c r="R35" s="30"/>
      <c r="S35" s="16"/>
      <c r="T35" s="518"/>
      <c r="AT35" s="17"/>
    </row>
    <row r="36" spans="1:46" ht="19.350000000000001" customHeight="1">
      <c r="A36" s="868"/>
      <c r="B36" s="8" t="s">
        <v>1019</v>
      </c>
      <c r="C36" s="8" t="s">
        <v>1875</v>
      </c>
      <c r="J36" s="3165" t="str">
        <f>IF(ISBLANK(L30),"",'Pump-Basic (Other)'!F23)</f>
        <v/>
      </c>
      <c r="K36" s="3481"/>
      <c r="L36" s="8" t="s">
        <v>903</v>
      </c>
      <c r="Q36" s="30"/>
      <c r="R36" s="30"/>
      <c r="S36" s="16"/>
      <c r="T36" s="518"/>
      <c r="AH36" s="14"/>
      <c r="AI36" s="14"/>
      <c r="AK36" s="6"/>
      <c r="AL36" s="6"/>
      <c r="AT36" s="17"/>
    </row>
    <row r="37" spans="1:46" ht="6" customHeight="1">
      <c r="A37" s="868"/>
      <c r="C37" s="30"/>
      <c r="D37" s="30"/>
      <c r="E37" s="4"/>
      <c r="F37" s="30"/>
      <c r="G37" s="30"/>
      <c r="J37" s="32"/>
      <c r="K37" s="347"/>
      <c r="N37" s="7"/>
      <c r="Q37" s="8"/>
      <c r="R37" s="8"/>
      <c r="S37" s="8"/>
      <c r="T37" s="518"/>
      <c r="AH37" s="14"/>
      <c r="AI37" s="14"/>
      <c r="AK37" s="6"/>
      <c r="AL37" s="6"/>
      <c r="AT37" s="17"/>
    </row>
    <row r="38" spans="1:46" ht="19.350000000000001" customHeight="1">
      <c r="A38" s="868"/>
      <c r="B38" s="8" t="s">
        <v>1168</v>
      </c>
      <c r="C38" s="7" t="s">
        <v>1876</v>
      </c>
      <c r="I38" s="30"/>
      <c r="J38" s="3877" t="str">
        <f>IF(ISBLANK(C24)," ",IF(J34=1,"0.045",IF(J34=1.25,"0.078",IF(J34=1.5,"0.110",IF(J34=2,"0.170",IF(J34=3,"0.380"))))))</f>
        <v xml:space="preserve"> </v>
      </c>
      <c r="K38" s="3878"/>
      <c r="L38" s="8" t="s">
        <v>1696</v>
      </c>
      <c r="M38" s="33"/>
      <c r="N38" s="7"/>
      <c r="Q38" s="8"/>
      <c r="R38" s="8"/>
      <c r="S38" s="8"/>
      <c r="T38" s="518"/>
      <c r="AH38" s="14"/>
      <c r="AI38" s="14"/>
      <c r="AK38" s="6"/>
      <c r="AL38" s="6"/>
      <c r="AT38" s="17"/>
    </row>
    <row r="39" spans="1:46" ht="19.350000000000001" customHeight="1">
      <c r="A39" s="868"/>
      <c r="B39" s="8" t="s">
        <v>1172</v>
      </c>
      <c r="C39" s="7" t="s">
        <v>2237</v>
      </c>
      <c r="I39" s="30"/>
      <c r="J39" s="9"/>
      <c r="K39" s="9"/>
      <c r="L39" s="4"/>
      <c r="M39" s="33"/>
      <c r="N39" s="7"/>
      <c r="Q39" s="8"/>
      <c r="R39" s="8"/>
      <c r="S39" s="8"/>
      <c r="T39" s="518"/>
      <c r="AT39" s="17"/>
    </row>
    <row r="40" spans="1:46" ht="19.350000000000001" customHeight="1">
      <c r="A40" s="868"/>
      <c r="C40" s="3480" t="str">
        <f>IF(ISBLANK(J34),"",J36)</f>
        <v/>
      </c>
      <c r="D40" s="3481"/>
      <c r="E40" s="4" t="s">
        <v>1389</v>
      </c>
      <c r="F40" s="3480" t="str">
        <f>J38</f>
        <v xml:space="preserve"> </v>
      </c>
      <c r="G40" s="3481"/>
      <c r="H40" s="8" t="s">
        <v>1933</v>
      </c>
      <c r="J40" s="3174" t="str">
        <f>IF(ISBLANK(C24),"",C40*F40)</f>
        <v/>
      </c>
      <c r="K40" s="3600"/>
      <c r="L40" s="8" t="s">
        <v>1002</v>
      </c>
      <c r="N40" s="7"/>
      <c r="Q40" s="8"/>
      <c r="R40" s="8"/>
      <c r="S40" s="8"/>
      <c r="T40" s="518"/>
      <c r="AT40" s="17"/>
    </row>
    <row r="41" spans="1:46" ht="19.350000000000001" customHeight="1">
      <c r="A41" s="868" t="s">
        <v>1934</v>
      </c>
      <c r="B41" s="7" t="s">
        <v>2250</v>
      </c>
      <c r="I41" s="30"/>
      <c r="J41" s="9"/>
      <c r="K41" s="30"/>
      <c r="L41" s="4"/>
      <c r="M41" s="33"/>
      <c r="N41" s="7"/>
      <c r="Q41" s="8"/>
      <c r="R41" s="8"/>
      <c r="S41" s="8"/>
      <c r="T41" s="518"/>
      <c r="AT41" s="17"/>
    </row>
    <row r="42" spans="1:46" ht="18" customHeight="1">
      <c r="A42" s="868"/>
      <c r="C42" s="3480" t="str">
        <f>IF(ISBLANK(L30), " ", L30)</f>
        <v xml:space="preserve"> </v>
      </c>
      <c r="D42" s="3481"/>
      <c r="E42" s="4" t="s">
        <v>1578</v>
      </c>
      <c r="F42" s="3174" t="str">
        <f>J40</f>
        <v/>
      </c>
      <c r="G42" s="3481"/>
      <c r="H42" s="4" t="s">
        <v>1880</v>
      </c>
      <c r="I42" s="3165" t="str">
        <f>IF(ISBLANK(C24),"",C42+F42)</f>
        <v/>
      </c>
      <c r="J42" s="3166"/>
      <c r="K42" s="8" t="s">
        <v>1002</v>
      </c>
      <c r="L42" s="4"/>
      <c r="M42" s="33"/>
      <c r="N42" s="7"/>
      <c r="Q42" s="8"/>
      <c r="R42" s="8"/>
      <c r="S42" s="8"/>
      <c r="T42" s="518"/>
    </row>
    <row r="43" spans="1:46" ht="18" customHeight="1">
      <c r="A43" s="868" t="s">
        <v>524</v>
      </c>
      <c r="B43" s="1203" t="s">
        <v>2251</v>
      </c>
      <c r="C43" s="30"/>
      <c r="D43" s="30"/>
      <c r="E43" s="4"/>
      <c r="F43" s="32"/>
      <c r="G43" s="30"/>
      <c r="H43" s="4"/>
      <c r="I43" s="32"/>
      <c r="J43" s="32"/>
      <c r="L43" s="4"/>
      <c r="M43" s="33"/>
      <c r="N43" s="7"/>
      <c r="Q43" s="8"/>
      <c r="R43" s="8"/>
      <c r="S43" s="8"/>
      <c r="T43" s="518"/>
    </row>
    <row r="44" spans="1:46" ht="20.100000000000001" customHeight="1">
      <c r="A44" s="868"/>
      <c r="B44" s="2958" t="str">
        <f>IF(ISBLANK(I15)," ",I15)</f>
        <v xml:space="preserve"> </v>
      </c>
      <c r="C44" s="2959"/>
      <c r="D44" s="1203" t="s">
        <v>2252</v>
      </c>
      <c r="E44" s="3886" t="str">
        <f>IF(ISBLANK(M24)," ",M24)</f>
        <v xml:space="preserve"> </v>
      </c>
      <c r="F44" s="3886"/>
      <c r="G44" s="1203" t="s">
        <v>2252</v>
      </c>
      <c r="H44" s="3886" t="str">
        <f>IF(ISBLANK(M82)," ",M82)</f>
        <v/>
      </c>
      <c r="I44" s="3886"/>
      <c r="J44" s="1589" t="s">
        <v>1240</v>
      </c>
      <c r="K44" s="3886" t="str">
        <f>IF(ISBLANK(H52)," ",(B44-E44-H44))</f>
        <v xml:space="preserve"> </v>
      </c>
      <c r="L44" s="3886"/>
      <c r="M44" s="548" t="s">
        <v>1002</v>
      </c>
      <c r="Q44" s="8"/>
      <c r="R44" s="8"/>
      <c r="S44" s="8"/>
      <c r="T44" s="518"/>
    </row>
    <row r="45" spans="1:46" ht="7.5" customHeight="1">
      <c r="A45" s="869"/>
      <c r="B45" s="61"/>
      <c r="C45" s="39"/>
      <c r="D45" s="39"/>
      <c r="E45" s="38"/>
      <c r="F45" s="89"/>
      <c r="G45" s="39"/>
      <c r="H45" s="38"/>
      <c r="I45" s="89"/>
      <c r="J45" s="89"/>
      <c r="K45" s="61"/>
      <c r="L45" s="38"/>
      <c r="M45" s="717"/>
      <c r="N45" s="718"/>
      <c r="O45" s="61"/>
      <c r="P45" s="61"/>
      <c r="Q45" s="61"/>
      <c r="R45" s="61"/>
      <c r="S45" s="61"/>
      <c r="T45" s="870"/>
    </row>
    <row r="46" spans="1:46" ht="19.350000000000001" customHeight="1">
      <c r="A46" s="1016" t="s">
        <v>477</v>
      </c>
      <c r="B46" s="41" t="s">
        <v>1938</v>
      </c>
      <c r="C46" s="41"/>
      <c r="D46" s="41"/>
      <c r="E46" s="713"/>
      <c r="F46" s="41"/>
      <c r="G46" s="41"/>
      <c r="H46" s="41"/>
      <c r="I46" s="41"/>
      <c r="J46" s="41"/>
      <c r="K46" s="41"/>
      <c r="L46" s="41"/>
      <c r="M46" s="41"/>
      <c r="N46" s="41"/>
      <c r="O46" s="41"/>
      <c r="P46" s="41"/>
      <c r="Q46" s="41"/>
      <c r="R46" s="41"/>
      <c r="S46" s="41"/>
      <c r="T46" s="871"/>
    </row>
    <row r="47" spans="1:46" ht="19.350000000000001" customHeight="1">
      <c r="A47" s="864" t="s">
        <v>1011</v>
      </c>
      <c r="B47" s="8" t="s">
        <v>2253</v>
      </c>
      <c r="C47" s="10"/>
      <c r="D47" s="10"/>
      <c r="E47" s="10"/>
      <c r="F47" s="10"/>
      <c r="G47" s="90"/>
      <c r="I47" s="2938"/>
      <c r="J47" s="2874"/>
      <c r="K47" s="4" t="s">
        <v>1940</v>
      </c>
      <c r="Q47" s="2906" t="s">
        <v>1941</v>
      </c>
      <c r="R47" s="2906"/>
      <c r="S47" s="2906"/>
      <c r="T47" s="873"/>
    </row>
    <row r="48" spans="1:46" ht="18.75" customHeight="1">
      <c r="A48" s="864" t="s">
        <v>1019</v>
      </c>
      <c r="B48" s="8" t="s">
        <v>2254</v>
      </c>
      <c r="C48" s="10"/>
      <c r="D48" s="10"/>
      <c r="E48" s="10"/>
      <c r="F48" s="10"/>
      <c r="G48" s="10"/>
      <c r="H48" s="10"/>
      <c r="I48" s="10"/>
      <c r="J48" s="10"/>
      <c r="K48" s="10"/>
      <c r="O48" s="475"/>
      <c r="Q48" s="2906"/>
      <c r="R48" s="2906"/>
      <c r="S48" s="2906"/>
      <c r="T48" s="873"/>
      <c r="Y48" s="1265"/>
      <c r="Z48" s="1265"/>
    </row>
    <row r="49" spans="1:26" ht="19.350000000000001" customHeight="1">
      <c r="A49" s="1153"/>
      <c r="C49" s="2872"/>
      <c r="D49" s="2874"/>
      <c r="E49" s="2935" t="s">
        <v>1943</v>
      </c>
      <c r="F49" s="2869"/>
      <c r="G49" s="3174" t="str">
        <f>IF(ISBLANK(C24),"",I17)</f>
        <v/>
      </c>
      <c r="H49" s="3175"/>
      <c r="I49" s="2868" t="s">
        <v>1944</v>
      </c>
      <c r="J49" s="2869"/>
      <c r="K49" s="2872"/>
      <c r="L49" s="2874"/>
      <c r="M49" s="4" t="s">
        <v>1945</v>
      </c>
      <c r="N49" s="3174" t="str">
        <f>IF(ISBLANK(C49),"",(C49*(G49/K49)))</f>
        <v/>
      </c>
      <c r="O49" s="3175"/>
      <c r="P49" s="4" t="s">
        <v>1034</v>
      </c>
      <c r="Q49" s="2906"/>
      <c r="R49" s="2906"/>
      <c r="S49" s="2906"/>
      <c r="T49" s="518"/>
      <c r="Y49" s="1265"/>
      <c r="Z49" s="1265"/>
    </row>
    <row r="50" spans="1:26" ht="6" customHeight="1">
      <c r="A50" s="1153"/>
      <c r="E50" s="4"/>
      <c r="O50" s="475"/>
      <c r="Q50" s="2906"/>
      <c r="R50" s="2906"/>
      <c r="S50" s="2906"/>
      <c r="T50" s="518"/>
      <c r="Y50" s="1265"/>
      <c r="Z50" s="1265"/>
    </row>
    <row r="51" spans="1:26" ht="6" customHeight="1">
      <c r="A51" s="1153"/>
      <c r="E51" s="4"/>
      <c r="O51" s="475"/>
      <c r="Q51" s="2906"/>
      <c r="R51" s="2906"/>
      <c r="S51" s="2906"/>
      <c r="T51" s="518"/>
      <c r="Y51" s="1265"/>
      <c r="Z51" s="1265"/>
    </row>
    <row r="52" spans="1:26" ht="19.350000000000001" customHeight="1" thickBot="1">
      <c r="A52" s="1270" t="s">
        <v>483</v>
      </c>
      <c r="B52" s="754" t="s">
        <v>2255</v>
      </c>
      <c r="C52" s="754"/>
      <c r="D52" s="756"/>
      <c r="E52" s="756"/>
      <c r="F52" s="754"/>
      <c r="G52" s="754"/>
      <c r="H52" s="3888"/>
      <c r="I52" s="3889"/>
      <c r="J52" s="756" t="s">
        <v>1947</v>
      </c>
      <c r="K52" s="754"/>
      <c r="L52" s="754"/>
      <c r="M52" s="754"/>
      <c r="N52" s="754"/>
      <c r="O52" s="754"/>
      <c r="P52" s="754"/>
      <c r="Q52" s="3887"/>
      <c r="R52" s="3887"/>
      <c r="S52" s="3887"/>
      <c r="T52" s="874"/>
      <c r="Y52" s="1265"/>
      <c r="Z52" s="1265"/>
    </row>
    <row r="53" spans="1:26" ht="18" customHeight="1" thickBot="1">
      <c r="A53" s="868"/>
      <c r="D53" s="4"/>
      <c r="E53" s="4"/>
      <c r="H53" s="19"/>
      <c r="I53" s="19"/>
      <c r="J53" s="4"/>
      <c r="Q53" s="1590"/>
      <c r="R53" s="1590"/>
      <c r="S53" s="1590"/>
      <c r="T53" s="518"/>
      <c r="X53" s="1265"/>
      <c r="Y53" s="1265"/>
      <c r="Z53" s="1265"/>
    </row>
    <row r="54" spans="1:26" ht="19.350000000000001" customHeight="1">
      <c r="A54" s="1614" t="s">
        <v>1948</v>
      </c>
      <c r="B54" s="1615"/>
      <c r="C54" s="1615"/>
      <c r="D54" s="1615"/>
      <c r="E54" s="1615"/>
      <c r="F54" s="1615"/>
      <c r="G54" s="1615"/>
      <c r="H54" s="1615"/>
      <c r="I54" s="1615"/>
      <c r="J54" s="1615"/>
      <c r="K54" s="1615"/>
      <c r="L54" s="1615"/>
      <c r="M54" s="1615"/>
      <c r="N54" s="1615"/>
      <c r="O54" s="1615"/>
      <c r="P54" s="1615"/>
      <c r="Q54" s="1615"/>
      <c r="R54" s="1615"/>
      <c r="S54" s="1615"/>
      <c r="T54" s="1616"/>
    </row>
    <row r="55" spans="1:26" ht="19.350000000000001" customHeight="1">
      <c r="A55" s="868" t="s">
        <v>489</v>
      </c>
      <c r="B55" s="8" t="s">
        <v>1949</v>
      </c>
      <c r="E55" s="4"/>
      <c r="Q55" s="8"/>
      <c r="R55" s="8"/>
      <c r="S55" s="8"/>
      <c r="T55" s="518"/>
      <c r="X55" s="1265"/>
      <c r="Y55" s="1265"/>
      <c r="Z55" s="1265"/>
    </row>
    <row r="56" spans="1:26" ht="19.350000000000001" customHeight="1">
      <c r="A56" s="868"/>
      <c r="B56" s="8" t="s">
        <v>2256</v>
      </c>
      <c r="E56" s="4"/>
      <c r="N56" s="527" t="s">
        <v>1951</v>
      </c>
      <c r="O56" s="527" t="s">
        <v>1952</v>
      </c>
      <c r="P56" s="527" t="s">
        <v>1953</v>
      </c>
      <c r="Q56" s="8"/>
      <c r="R56" s="8"/>
      <c r="S56" s="8"/>
      <c r="T56" s="518"/>
    </row>
    <row r="57" spans="1:26" ht="19.350000000000001" customHeight="1">
      <c r="A57" s="1153"/>
      <c r="B57" s="3165" t="str">
        <f>I42</f>
        <v/>
      </c>
      <c r="C57" s="3166"/>
      <c r="D57" s="4" t="s">
        <v>1038</v>
      </c>
      <c r="E57" s="1591" t="s">
        <v>1558</v>
      </c>
      <c r="F57" s="3174" t="str">
        <f>IF(ISBLANK(H52)," ",H52)</f>
        <v xml:space="preserve"> </v>
      </c>
      <c r="G57" s="3175"/>
      <c r="H57" s="2926" t="s">
        <v>1954</v>
      </c>
      <c r="I57" s="2928"/>
      <c r="J57" s="3174" t="str">
        <f>IF(ISBLANK(C24),"",B57/F57)</f>
        <v/>
      </c>
      <c r="K57" s="3175"/>
      <c r="L57" s="8" t="s">
        <v>1955</v>
      </c>
      <c r="N57" s="1205" t="str">
        <f>IF(ISBLANK(H52)," ",(ROUNDDOWN(J57/60,0)))</f>
        <v xml:space="preserve"> </v>
      </c>
      <c r="O57" s="1204" t="str">
        <f>IF(ISBLANK(H52)," ",(ROUNDDOWN(J57,0)))</f>
        <v xml:space="preserve"> </v>
      </c>
      <c r="P57" s="1205" t="str">
        <f>IF(ISBLANK(H52)," ",(ROUNDDOWN((J57-O57)*60,0)))</f>
        <v xml:space="preserve"> </v>
      </c>
      <c r="Q57" s="8"/>
      <c r="R57" s="8"/>
      <c r="S57" s="8"/>
      <c r="T57" s="518"/>
    </row>
    <row r="58" spans="1:26" ht="19.350000000000001" customHeight="1">
      <c r="A58" s="868" t="s">
        <v>495</v>
      </c>
      <c r="B58" s="1203" t="s">
        <v>1957</v>
      </c>
      <c r="E58" s="4"/>
      <c r="H58" s="4"/>
      <c r="Q58" s="8"/>
      <c r="R58" s="8"/>
      <c r="S58" s="8"/>
      <c r="T58" s="518"/>
    </row>
    <row r="59" spans="1:26" ht="19.350000000000001" customHeight="1">
      <c r="A59" s="868"/>
      <c r="B59" s="1203" t="s">
        <v>2257</v>
      </c>
      <c r="E59" s="4"/>
      <c r="Q59" s="527" t="s">
        <v>1951</v>
      </c>
      <c r="R59" s="527" t="s">
        <v>1952</v>
      </c>
      <c r="S59" s="527" t="s">
        <v>1953</v>
      </c>
      <c r="T59" s="518"/>
    </row>
    <row r="60" spans="1:26" ht="19.350000000000001" customHeight="1">
      <c r="A60" s="1153"/>
      <c r="B60" s="2487" t="s">
        <v>1959</v>
      </c>
      <c r="C60" s="2487"/>
      <c r="D60" s="1207" t="str">
        <f>K32</f>
        <v xml:space="preserve"> </v>
      </c>
      <c r="E60" s="3631" t="s">
        <v>1960</v>
      </c>
      <c r="F60" s="3632"/>
      <c r="G60" s="3633"/>
      <c r="H60" s="3002" t="str">
        <f>IF(ISBLANK(H52)," ",J57)</f>
        <v xml:space="preserve"> </v>
      </c>
      <c r="I60" s="3036"/>
      <c r="J60" s="1203" t="s">
        <v>909</v>
      </c>
      <c r="K60" s="1592" t="s">
        <v>1240</v>
      </c>
      <c r="L60" s="3002" t="str">
        <f>IF(ISBLANK(C24),"",(1440/D60-J57))</f>
        <v/>
      </c>
      <c r="M60" s="3067"/>
      <c r="N60" s="1203" t="s">
        <v>1961</v>
      </c>
      <c r="O60" s="1203"/>
      <c r="Q60" s="1205" t="str">
        <f>IF(ISBLANK(H52)," ",(ROUNDDOWN(L60/60,0)))</f>
        <v xml:space="preserve"> </v>
      </c>
      <c r="R60" s="1204" t="str">
        <f>IF(ISBLANK(H52)," ",(ROUNDDOWN(L60-Q60*60,0)))</f>
        <v xml:space="preserve"> </v>
      </c>
      <c r="S60" s="1206" t="str">
        <f>IF(ISBLANK(H52)," ",(ROUNDUP(((L60)-((Q60*60)+R60))*60,1)))</f>
        <v xml:space="preserve"> </v>
      </c>
      <c r="T60" s="518"/>
    </row>
    <row r="61" spans="1:26" ht="6" customHeight="1">
      <c r="A61" s="1153"/>
      <c r="B61" s="528"/>
      <c r="C61" s="528"/>
      <c r="D61" s="528"/>
      <c r="E61" s="528"/>
      <c r="F61" s="528"/>
      <c r="G61" s="528"/>
      <c r="H61" s="528"/>
      <c r="I61" s="528"/>
      <c r="J61" s="528"/>
      <c r="K61" s="528"/>
      <c r="L61" s="528"/>
      <c r="M61" s="528"/>
      <c r="N61" s="528"/>
      <c r="O61" s="528"/>
      <c r="P61" s="528"/>
      <c r="Q61" s="528"/>
      <c r="R61" s="528"/>
      <c r="S61" s="528"/>
      <c r="T61" s="518"/>
    </row>
    <row r="62" spans="1:26" ht="19.350000000000001" customHeight="1">
      <c r="A62" s="1125" t="s">
        <v>2258</v>
      </c>
      <c r="B62" s="1124"/>
      <c r="C62" s="1271"/>
      <c r="D62" s="1271"/>
      <c r="E62" s="1271"/>
      <c r="F62" s="1271"/>
      <c r="G62" s="1271"/>
      <c r="H62" s="1271"/>
      <c r="I62" s="1124"/>
      <c r="J62" s="1124"/>
      <c r="K62" s="1124"/>
      <c r="L62" s="1124"/>
      <c r="M62" s="1124"/>
      <c r="N62" s="1124"/>
      <c r="O62" s="1124"/>
      <c r="P62" s="1124"/>
      <c r="Q62" s="1124"/>
      <c r="R62" s="1124"/>
      <c r="S62" s="1124"/>
      <c r="T62" s="1126"/>
    </row>
    <row r="63" spans="1:26" ht="6" customHeight="1">
      <c r="A63" s="1153"/>
      <c r="B63" s="16"/>
      <c r="C63" s="16"/>
      <c r="D63" s="16"/>
      <c r="E63" s="16"/>
      <c r="F63" s="16"/>
      <c r="G63" s="1261"/>
      <c r="H63" s="1261"/>
      <c r="I63" s="16"/>
      <c r="J63" s="16"/>
      <c r="K63" s="16"/>
      <c r="L63" s="16"/>
      <c r="M63" s="16"/>
      <c r="N63" s="16"/>
      <c r="O63" s="16"/>
      <c r="P63" s="16"/>
      <c r="Q63" s="16"/>
      <c r="R63" s="16"/>
      <c r="S63" s="16"/>
      <c r="T63" s="862"/>
    </row>
    <row r="64" spans="1:26" ht="18.75" customHeight="1">
      <c r="A64" s="868" t="s">
        <v>500</v>
      </c>
      <c r="B64" s="528" t="s">
        <v>1964</v>
      </c>
      <c r="C64" s="528"/>
      <c r="D64" s="528"/>
      <c r="E64" s="528"/>
      <c r="F64" s="528"/>
      <c r="G64" s="3625"/>
      <c r="H64" s="3626"/>
      <c r="I64" s="528" t="s">
        <v>624</v>
      </c>
      <c r="J64" s="528"/>
      <c r="K64" s="528"/>
      <c r="L64" s="528"/>
      <c r="M64" s="528"/>
      <c r="N64" s="528"/>
      <c r="O64" s="528"/>
      <c r="P64" s="528"/>
      <c r="Q64" s="1593"/>
      <c r="R64" s="528"/>
      <c r="S64" s="528"/>
      <c r="T64" s="518"/>
    </row>
    <row r="65" spans="1:24" ht="19.350000000000001" customHeight="1">
      <c r="A65" s="868" t="s">
        <v>506</v>
      </c>
      <c r="B65" s="528" t="s">
        <v>2259</v>
      </c>
      <c r="C65" s="528"/>
      <c r="D65" s="528"/>
      <c r="E65" s="528"/>
      <c r="F65" s="528"/>
      <c r="G65" s="528"/>
      <c r="H65" s="528"/>
      <c r="I65" s="528"/>
      <c r="J65" s="528"/>
      <c r="L65" s="3625"/>
      <c r="M65" s="3626"/>
      <c r="N65" s="1589" t="s">
        <v>1966</v>
      </c>
      <c r="O65" s="2487" t="s">
        <v>1967</v>
      </c>
      <c r="P65" s="3627"/>
      <c r="Q65" s="3065" t="str">
        <f>J40</f>
        <v/>
      </c>
      <c r="R65" s="3066"/>
      <c r="S65" s="528" t="s">
        <v>1038</v>
      </c>
      <c r="T65" s="518"/>
    </row>
    <row r="66" spans="1:24" ht="19.350000000000001" customHeight="1">
      <c r="A66" s="868" t="s">
        <v>511</v>
      </c>
      <c r="B66" s="3010" t="s">
        <v>1968</v>
      </c>
      <c r="C66" s="3010"/>
      <c r="D66" s="3010"/>
      <c r="E66" s="3062" t="str">
        <f>IF(ISBLANK(L65)," ",L65+Q65)</f>
        <v xml:space="preserve"> </v>
      </c>
      <c r="F66" s="3063"/>
      <c r="G66" s="528" t="s">
        <v>1587</v>
      </c>
      <c r="H66" s="528"/>
      <c r="I66" s="528"/>
      <c r="J66" s="528"/>
      <c r="L66" s="527"/>
      <c r="M66" s="527"/>
      <c r="P66" s="527" t="s">
        <v>1951</v>
      </c>
      <c r="Q66" s="527" t="s">
        <v>1952</v>
      </c>
      <c r="R66" s="527" t="s">
        <v>1953</v>
      </c>
      <c r="S66" s="528"/>
      <c r="T66" s="518"/>
    </row>
    <row r="67" spans="1:24" ht="19.350000000000001" customHeight="1">
      <c r="A67" s="868" t="s">
        <v>516</v>
      </c>
      <c r="B67" s="3010" t="s">
        <v>1969</v>
      </c>
      <c r="C67" s="3010"/>
      <c r="D67" s="3010"/>
      <c r="E67" s="3062" t="str">
        <f>+IF(ISBLANK(L65)," ",E66)</f>
        <v xml:space="preserve"> </v>
      </c>
      <c r="F67" s="3063"/>
      <c r="G67" s="528" t="s">
        <v>1970</v>
      </c>
      <c r="H67" s="1262" t="str">
        <f>IF(ISBLANK(L65)," ",(H52))</f>
        <v xml:space="preserve"> </v>
      </c>
      <c r="I67" s="528" t="s">
        <v>1971</v>
      </c>
      <c r="J67" s="3065" t="str">
        <f>IF(ISBLANK(G64)," ",E67/H67)</f>
        <v xml:space="preserve"> </v>
      </c>
      <c r="K67" s="3066"/>
      <c r="L67" s="8" t="s">
        <v>1972</v>
      </c>
      <c r="M67" s="528"/>
      <c r="P67" s="1205" t="str">
        <f>IF(ISBLANK(G64)," ",(ROUNDDOWN(J67/60,0)))</f>
        <v xml:space="preserve"> </v>
      </c>
      <c r="Q67" s="1204" t="str">
        <f>IF(ISBLANK(G64)," ",(ROUNDDOWN(J67,0)))</f>
        <v xml:space="preserve"> </v>
      </c>
      <c r="R67" s="1205" t="str">
        <f>IF(ISBLANK(G64)," ",(ROUNDDOWN((J67-Q67)*60,0)))</f>
        <v xml:space="preserve"> </v>
      </c>
      <c r="S67" s="528"/>
      <c r="T67" s="518"/>
    </row>
    <row r="68" spans="1:24" ht="19.350000000000001" customHeight="1">
      <c r="A68" s="868"/>
      <c r="B68" s="3634" t="s">
        <v>1941</v>
      </c>
      <c r="C68" s="3634"/>
      <c r="D68" s="3634"/>
      <c r="E68" s="3634"/>
      <c r="F68" s="3634"/>
      <c r="G68" s="3634"/>
      <c r="H68" s="3634"/>
      <c r="I68" s="3634"/>
      <c r="J68" s="3634"/>
      <c r="K68" s="3634"/>
      <c r="L68" s="3634"/>
      <c r="M68" s="3634"/>
      <c r="N68" s="3634"/>
      <c r="O68" s="1260"/>
      <c r="P68" s="527" t="s">
        <v>1951</v>
      </c>
      <c r="Q68" s="527" t="s">
        <v>1952</v>
      </c>
      <c r="R68" s="527" t="s">
        <v>1953</v>
      </c>
      <c r="S68" s="528"/>
      <c r="T68" s="518"/>
    </row>
    <row r="69" spans="1:24" ht="19.350000000000001" customHeight="1">
      <c r="A69" s="868" t="s">
        <v>520</v>
      </c>
      <c r="B69" s="3010" t="s">
        <v>1974</v>
      </c>
      <c r="C69" s="3010"/>
      <c r="D69" s="3010"/>
      <c r="E69" s="3007"/>
      <c r="F69" s="1264" t="str">
        <f>IF(ISBLANK(G64)," ",(I6)*(G64/100)/L65)</f>
        <v xml:space="preserve"> </v>
      </c>
      <c r="G69" s="2486" t="s">
        <v>1960</v>
      </c>
      <c r="H69" s="2487"/>
      <c r="I69" s="1263" t="str">
        <f>IF(ISBLANK(G64)," ",(J67))</f>
        <v xml:space="preserve"> </v>
      </c>
      <c r="J69" s="528" t="s">
        <v>1975</v>
      </c>
      <c r="L69" s="3065" t="str">
        <f>IF(ISBLANK(G64)," ",(1440/(F69)-(I69)))</f>
        <v xml:space="preserve"> </v>
      </c>
      <c r="M69" s="3066"/>
      <c r="N69" s="528" t="s">
        <v>1976</v>
      </c>
      <c r="P69" s="1205" t="str">
        <f>IF(ISBLANK(G64)," ",(ROUNDDOWN(L69/60,0)))</f>
        <v xml:space="preserve"> </v>
      </c>
      <c r="Q69" s="1204" t="str">
        <f>IF(ISBLANK(G64)," ",(ROUNDDOWN(L69-P69*60,0)))</f>
        <v xml:space="preserve"> </v>
      </c>
      <c r="R69" s="1206" t="str">
        <f>IF(ISBLANK(G64)," ",(ROUNDUP(((L69)-((P69*60)+Q69))*60,1)))</f>
        <v xml:space="preserve"> </v>
      </c>
      <c r="S69" s="528"/>
      <c r="T69" s="518"/>
    </row>
    <row r="70" spans="1:24" ht="6.75" customHeight="1">
      <c r="A70" s="868"/>
      <c r="B70" s="1203"/>
      <c r="C70" s="1203"/>
      <c r="D70" s="1203"/>
      <c r="E70" s="1203"/>
      <c r="F70" s="1268"/>
      <c r="G70" s="527"/>
      <c r="H70" s="527"/>
      <c r="I70" s="1594"/>
      <c r="J70" s="528"/>
      <c r="L70" s="1260"/>
      <c r="M70" s="1260"/>
      <c r="N70" s="528"/>
      <c r="P70" s="527"/>
      <c r="Q70" s="1260"/>
      <c r="R70" s="1093"/>
      <c r="S70" s="528"/>
      <c r="T70" s="518"/>
    </row>
    <row r="71" spans="1:24" ht="19.350000000000001" customHeight="1">
      <c r="A71" s="1398" t="s">
        <v>1978</v>
      </c>
      <c r="B71" s="1395"/>
      <c r="C71" s="1395"/>
      <c r="D71" s="1395"/>
      <c r="E71" s="1394" t="s">
        <v>1885</v>
      </c>
      <c r="F71" s="1395"/>
      <c r="G71" s="1396"/>
      <c r="H71" s="1396"/>
      <c r="I71" s="1396"/>
      <c r="J71" s="1396"/>
      <c r="K71" s="1396"/>
      <c r="L71" s="1396"/>
      <c r="M71" s="1396"/>
      <c r="N71" s="1396"/>
      <c r="O71" s="1396"/>
      <c r="P71" s="1396"/>
      <c r="Q71" s="1396"/>
      <c r="R71" s="1396"/>
      <c r="S71" s="1396"/>
      <c r="T71" s="1397"/>
    </row>
    <row r="72" spans="1:24" ht="19.350000000000001" customHeight="1">
      <c r="A72" s="1399"/>
      <c r="B72" s="921"/>
      <c r="C72" s="921"/>
      <c r="D72" s="921"/>
      <c r="E72" s="1596"/>
      <c r="F72" s="921"/>
      <c r="G72" s="528"/>
      <c r="H72" s="528"/>
      <c r="I72" s="528"/>
      <c r="J72" s="528"/>
      <c r="K72" s="528"/>
      <c r="L72" s="528"/>
      <c r="M72" s="528"/>
      <c r="N72" s="528"/>
      <c r="O72" s="528"/>
      <c r="P72" s="528"/>
      <c r="Q72" s="528"/>
      <c r="R72" s="528"/>
      <c r="S72" s="528"/>
      <c r="T72" s="518"/>
    </row>
    <row r="73" spans="1:24" ht="19.350000000000001" customHeight="1">
      <c r="A73" s="868" t="s">
        <v>525</v>
      </c>
      <c r="B73" s="8" t="s">
        <v>1979</v>
      </c>
      <c r="E73" s="4"/>
      <c r="N73" s="26"/>
      <c r="Q73" s="8"/>
      <c r="R73" s="8"/>
      <c r="S73" s="8"/>
      <c r="T73" s="518"/>
    </row>
    <row r="74" spans="1:24" ht="19.350000000000001" customHeight="1">
      <c r="A74" s="864"/>
      <c r="B74" s="7" t="s">
        <v>2260</v>
      </c>
      <c r="C74" s="26"/>
      <c r="D74" s="26"/>
      <c r="E74" s="26"/>
      <c r="F74" s="26"/>
      <c r="G74" s="26"/>
      <c r="H74" s="26"/>
      <c r="I74" s="26"/>
      <c r="J74" s="26"/>
      <c r="K74" s="26"/>
      <c r="L74" s="26"/>
      <c r="M74" s="26"/>
      <c r="Q74" s="8"/>
      <c r="R74" s="31"/>
      <c r="T74" s="518"/>
    </row>
    <row r="75" spans="1:24" ht="19.350000000000001" customHeight="1">
      <c r="A75" s="864"/>
      <c r="B75" s="3165" t="str">
        <f>M24</f>
        <v xml:space="preserve"> </v>
      </c>
      <c r="C75" s="3481"/>
      <c r="D75" s="50" t="s">
        <v>1981</v>
      </c>
      <c r="E75" s="86"/>
      <c r="F75" s="3174" t="str">
        <f>IF(ISBLANK(C24),"",I17)</f>
        <v/>
      </c>
      <c r="G75" s="3175"/>
      <c r="H75" s="3606" t="s">
        <v>1982</v>
      </c>
      <c r="I75" s="3608"/>
      <c r="J75" s="3174" t="str">
        <f>IF(ISBLANK(C24),"",B75/F75)</f>
        <v/>
      </c>
      <c r="K75" s="3175"/>
      <c r="L75" s="8" t="s">
        <v>762</v>
      </c>
      <c r="N75" s="3890" t="s">
        <v>1983</v>
      </c>
      <c r="O75" s="3890"/>
      <c r="P75" s="3890"/>
      <c r="Q75" s="1203"/>
      <c r="R75" s="1597" t="str">
        <f>M82</f>
        <v/>
      </c>
      <c r="S75" s="533" t="s">
        <v>1031</v>
      </c>
      <c r="T75" s="518"/>
    </row>
    <row r="76" spans="1:24" ht="17.100000000000001" customHeight="1">
      <c r="A76" s="864"/>
      <c r="B76" s="60"/>
      <c r="C76" s="4"/>
      <c r="D76" s="4"/>
      <c r="E76" s="4"/>
      <c r="F76" s="19"/>
      <c r="G76" s="19"/>
      <c r="H76" s="4"/>
      <c r="I76" s="4"/>
      <c r="J76" s="4"/>
      <c r="K76" s="19"/>
      <c r="M76" s="3609" t="s">
        <v>1896</v>
      </c>
      <c r="N76" s="3609"/>
      <c r="O76" s="1208" t="str">
        <f>IF(ISBLANK(F79), "", J79)</f>
        <v/>
      </c>
      <c r="P76" s="8" t="s">
        <v>629</v>
      </c>
      <c r="Q76" s="1203"/>
      <c r="R76" s="1203"/>
      <c r="S76" s="1203"/>
      <c r="T76" s="518"/>
      <c r="X76" s="528"/>
    </row>
    <row r="77" spans="1:24" ht="19.350000000000001" customHeight="1">
      <c r="A77" s="868" t="s">
        <v>479</v>
      </c>
      <c r="B77" s="8" t="s">
        <v>1984</v>
      </c>
      <c r="D77" s="4"/>
      <c r="E77" s="32"/>
      <c r="F77" s="32"/>
      <c r="I77" s="31"/>
      <c r="J77" s="31"/>
      <c r="M77" s="3612" t="s">
        <v>1985</v>
      </c>
      <c r="N77" s="3612"/>
      <c r="O77" s="3612"/>
      <c r="Q77" s="1203"/>
      <c r="R77" s="1598" t="str">
        <f>K44</f>
        <v xml:space="preserve"> </v>
      </c>
      <c r="S77" s="1599" t="s">
        <v>1031</v>
      </c>
      <c r="T77" s="518"/>
      <c r="W77" s="528"/>
      <c r="X77" s="528"/>
    </row>
    <row r="78" spans="1:24" ht="18.75" customHeight="1">
      <c r="A78" s="864"/>
      <c r="B78" s="7" t="s">
        <v>2261</v>
      </c>
      <c r="C78" s="26"/>
      <c r="D78" s="4"/>
      <c r="E78" s="32"/>
      <c r="F78" s="32"/>
      <c r="I78" s="31"/>
      <c r="J78" s="31"/>
      <c r="N78" s="3030" t="s">
        <v>1987</v>
      </c>
      <c r="O78" s="3030"/>
      <c r="Q78" s="1203"/>
      <c r="R78" s="3624" t="str">
        <f>I42</f>
        <v/>
      </c>
      <c r="S78" s="3635" t="s">
        <v>1031</v>
      </c>
      <c r="T78" s="518"/>
    </row>
    <row r="79" spans="1:24" ht="18" customHeight="1">
      <c r="A79" s="864"/>
      <c r="B79" s="3174" t="str">
        <f>IF(ISBLANK(C24),"",I19)</f>
        <v/>
      </c>
      <c r="C79" s="3481"/>
      <c r="D79" s="3006" t="s">
        <v>1988</v>
      </c>
      <c r="E79" s="3007"/>
      <c r="F79" s="2872"/>
      <c r="G79" s="2874"/>
      <c r="H79" s="3606" t="s">
        <v>1989</v>
      </c>
      <c r="I79" s="3607"/>
      <c r="J79" s="3480" t="str">
        <f>IF(ISBLANK(C24),"",B79*(F79/100))</f>
        <v/>
      </c>
      <c r="K79" s="3600"/>
      <c r="L79" s="8" t="s">
        <v>762</v>
      </c>
      <c r="N79" s="3030"/>
      <c r="O79" s="3030"/>
      <c r="Q79" s="1203"/>
      <c r="R79" s="3624"/>
      <c r="S79" s="3635"/>
      <c r="T79" s="518"/>
    </row>
    <row r="80" spans="1:24" ht="19.5" customHeight="1">
      <c r="A80" s="864"/>
      <c r="B80" s="19"/>
      <c r="C80" s="4"/>
      <c r="D80" s="4"/>
      <c r="E80" s="4"/>
      <c r="F80" s="4"/>
      <c r="G80" s="4"/>
      <c r="H80" s="4"/>
      <c r="I80" s="4"/>
      <c r="J80" s="4"/>
      <c r="K80" s="347"/>
      <c r="L80" s="34"/>
      <c r="M80" s="3609" t="s">
        <v>1901</v>
      </c>
      <c r="N80" s="3610"/>
      <c r="O80" s="1267" t="str">
        <f>J75</f>
        <v/>
      </c>
      <c r="P80" s="1600" t="s">
        <v>629</v>
      </c>
      <c r="Q80" s="8"/>
      <c r="R80" s="1597" t="str">
        <f>M24</f>
        <v xml:space="preserve"> </v>
      </c>
      <c r="S80" s="533" t="s">
        <v>1031</v>
      </c>
      <c r="T80" s="518"/>
    </row>
    <row r="81" spans="1:22" ht="18" customHeight="1">
      <c r="A81" s="868" t="s">
        <v>485</v>
      </c>
      <c r="B81" s="1601" t="s">
        <v>2262</v>
      </c>
      <c r="C81" s="4"/>
      <c r="D81" s="4"/>
      <c r="E81" s="4"/>
      <c r="F81" s="4"/>
      <c r="G81" s="4"/>
      <c r="H81" s="4"/>
      <c r="I81" s="4"/>
      <c r="J81" s="4"/>
      <c r="K81" s="347"/>
      <c r="L81" s="34"/>
      <c r="M81" s="1266"/>
      <c r="N81" s="1266"/>
      <c r="Q81" s="8"/>
      <c r="R81" s="1602"/>
      <c r="S81" s="672"/>
      <c r="T81" s="518"/>
    </row>
    <row r="82" spans="1:22" ht="19.350000000000001" customHeight="1">
      <c r="A82" s="864" t="s">
        <v>1237</v>
      </c>
      <c r="B82" s="3174" t="str">
        <f>IF(ISBLANK(I19),"",I19)</f>
        <v/>
      </c>
      <c r="C82" s="3481"/>
      <c r="D82" s="2926" t="s">
        <v>1991</v>
      </c>
      <c r="E82" s="2927"/>
      <c r="F82" s="3174" t="str">
        <f>IF(ISBLANK(J79),"",J79)</f>
        <v/>
      </c>
      <c r="G82" s="3481"/>
      <c r="H82" s="2926" t="s">
        <v>1992</v>
      </c>
      <c r="I82" s="2927"/>
      <c r="J82" s="3174" t="str">
        <f>IF(ISBLANK(C24),"",I17)</f>
        <v/>
      </c>
      <c r="K82" s="3481"/>
      <c r="L82" s="8" t="s">
        <v>1274</v>
      </c>
      <c r="M82" s="3431" t="str">
        <f>IF(ISBLANK(H52),"",((B82-F82)*J82))</f>
        <v/>
      </c>
      <c r="N82" s="3437"/>
      <c r="O82" s="34" t="s">
        <v>1537</v>
      </c>
      <c r="Q82" s="8"/>
      <c r="R82" s="8"/>
      <c r="S82" s="8"/>
      <c r="T82" s="518"/>
      <c r="U82" s="347"/>
      <c r="V82" s="347"/>
    </row>
    <row r="83" spans="1:22" ht="6.95" customHeight="1" thickBot="1">
      <c r="A83" s="1018"/>
      <c r="B83" s="639"/>
      <c r="C83" s="756"/>
      <c r="D83" s="756"/>
      <c r="E83" s="756"/>
      <c r="F83" s="756"/>
      <c r="G83" s="756"/>
      <c r="H83" s="756"/>
      <c r="I83" s="756"/>
      <c r="J83" s="756"/>
      <c r="K83" s="1186"/>
      <c r="L83" s="854"/>
      <c r="M83" s="754"/>
      <c r="N83" s="754"/>
      <c r="O83" s="754"/>
      <c r="P83" s="754"/>
      <c r="Q83" s="754"/>
      <c r="R83" s="754"/>
      <c r="S83" s="754"/>
      <c r="T83" s="874"/>
    </row>
    <row r="84" spans="1:22" ht="18" customHeight="1">
      <c r="U84" s="347"/>
      <c r="V84" s="347"/>
    </row>
    <row r="85" spans="1:22" ht="18" customHeight="1">
      <c r="O85" s="520"/>
      <c r="U85" s="347"/>
      <c r="V85" s="347"/>
    </row>
    <row r="86" spans="1:22" ht="18" customHeight="1">
      <c r="N86" s="520"/>
      <c r="O86" s="520"/>
      <c r="U86" s="347"/>
      <c r="V86" s="347"/>
    </row>
    <row r="87" spans="1:22" ht="35.1" customHeight="1">
      <c r="U87" s="53"/>
      <c r="V87" s="1"/>
    </row>
    <row r="88" spans="1:22" ht="35.1" customHeight="1">
      <c r="U88" s="53"/>
      <c r="V88" s="1"/>
    </row>
    <row r="89" spans="1:22" ht="35.1" customHeight="1">
      <c r="U89" s="347"/>
      <c r="V89" s="1"/>
    </row>
  </sheetData>
  <sheetProtection sheet="1" objects="1" scenarios="1"/>
  <mergeCells count="107">
    <mergeCell ref="M80:N80"/>
    <mergeCell ref="B82:C82"/>
    <mergeCell ref="D82:E82"/>
    <mergeCell ref="F82:G82"/>
    <mergeCell ref="H82:I82"/>
    <mergeCell ref="J82:K82"/>
    <mergeCell ref="M82:N82"/>
    <mergeCell ref="M76:N76"/>
    <mergeCell ref="M77:O77"/>
    <mergeCell ref="N78:O79"/>
    <mergeCell ref="R78:R79"/>
    <mergeCell ref="S78:S79"/>
    <mergeCell ref="B79:C79"/>
    <mergeCell ref="D79:E79"/>
    <mergeCell ref="F79:G79"/>
    <mergeCell ref="H79:I79"/>
    <mergeCell ref="J79:K79"/>
    <mergeCell ref="B75:C75"/>
    <mergeCell ref="F75:G75"/>
    <mergeCell ref="H75:I75"/>
    <mergeCell ref="J75:K75"/>
    <mergeCell ref="N75:P75"/>
    <mergeCell ref="B67:D67"/>
    <mergeCell ref="E67:F67"/>
    <mergeCell ref="J67:K67"/>
    <mergeCell ref="B68:N68"/>
    <mergeCell ref="B69:E69"/>
    <mergeCell ref="G69:H69"/>
    <mergeCell ref="L69:M69"/>
    <mergeCell ref="L60:M60"/>
    <mergeCell ref="G64:H64"/>
    <mergeCell ref="L65:M65"/>
    <mergeCell ref="O65:P65"/>
    <mergeCell ref="Q65:R65"/>
    <mergeCell ref="B66:D66"/>
    <mergeCell ref="E66:F66"/>
    <mergeCell ref="B57:C57"/>
    <mergeCell ref="F57:G57"/>
    <mergeCell ref="H57:I57"/>
    <mergeCell ref="J57:K57"/>
    <mergeCell ref="B60:C60"/>
    <mergeCell ref="E60:G60"/>
    <mergeCell ref="H60:I60"/>
    <mergeCell ref="I47:J47"/>
    <mergeCell ref="Q47:S52"/>
    <mergeCell ref="C49:D49"/>
    <mergeCell ref="E49:F49"/>
    <mergeCell ref="G49:H49"/>
    <mergeCell ref="I49:J49"/>
    <mergeCell ref="K49:L49"/>
    <mergeCell ref="N49:O49"/>
    <mergeCell ref="H52:I52"/>
    <mergeCell ref="C42:D42"/>
    <mergeCell ref="F42:G42"/>
    <mergeCell ref="I42:J42"/>
    <mergeCell ref="B44:C44"/>
    <mergeCell ref="E44:F44"/>
    <mergeCell ref="H44:I44"/>
    <mergeCell ref="J34:K34"/>
    <mergeCell ref="J36:K36"/>
    <mergeCell ref="J38:K38"/>
    <mergeCell ref="C40:D40"/>
    <mergeCell ref="F40:G40"/>
    <mergeCell ref="J40:K40"/>
    <mergeCell ref="K44:L44"/>
    <mergeCell ref="B30:K30"/>
    <mergeCell ref="L30:M30"/>
    <mergeCell ref="C32:D32"/>
    <mergeCell ref="E32:F32"/>
    <mergeCell ref="G32:H32"/>
    <mergeCell ref="I32:J32"/>
    <mergeCell ref="K32:L32"/>
    <mergeCell ref="B25:M25"/>
    <mergeCell ref="K26:L26"/>
    <mergeCell ref="Q26:R26"/>
    <mergeCell ref="E28:F28"/>
    <mergeCell ref="K28:L28"/>
    <mergeCell ref="Q28:R28"/>
    <mergeCell ref="A21:T21"/>
    <mergeCell ref="AA21:AB21"/>
    <mergeCell ref="B22:T22"/>
    <mergeCell ref="B23:K23"/>
    <mergeCell ref="C24:D24"/>
    <mergeCell ref="H24:I24"/>
    <mergeCell ref="M24:N24"/>
    <mergeCell ref="F13:J13"/>
    <mergeCell ref="O13:S13"/>
    <mergeCell ref="W13:X13"/>
    <mergeCell ref="AF13:AG13"/>
    <mergeCell ref="I15:J15"/>
    <mergeCell ref="N15:T19"/>
    <mergeCell ref="I17:J17"/>
    <mergeCell ref="AF17:AG17"/>
    <mergeCell ref="I19:J19"/>
    <mergeCell ref="I8:J8"/>
    <mergeCell ref="Z8:AA8"/>
    <mergeCell ref="AE8:AF8"/>
    <mergeCell ref="I10:J10"/>
    <mergeCell ref="Q10:R10"/>
    <mergeCell ref="W10:AK11"/>
    <mergeCell ref="A1:T1"/>
    <mergeCell ref="B2:K2"/>
    <mergeCell ref="L2:M2"/>
    <mergeCell ref="N2:O2"/>
    <mergeCell ref="I6:J6"/>
    <mergeCell ref="O6:S6"/>
    <mergeCell ref="A4:T4"/>
  </mergeCells>
  <dataValidations count="3">
    <dataValidation type="whole" allowBlank="1" showInputMessage="1" showErrorMessage="1" error="Must be between Min and Max" sqref="L30:M30 K26:L26 K28:L28" xr:uid="{00000000-0002-0000-1E00-000000000000}">
      <formula1>J22-0.5</formula1>
      <formula2>J24</formula2>
    </dataValidation>
    <dataValidation type="list" allowBlank="1" showInputMessage="1" showErrorMessage="1" sqref="H35" xr:uid="{00000000-0002-0000-1E00-000001000000}">
      <formula1>$AK$36:$AK$38</formula1>
    </dataValidation>
    <dataValidation allowBlank="1" showInputMessage="1" sqref="B44:C44" xr:uid="{00000000-0002-0000-1E00-000002000000}"/>
  </dataValidations>
  <printOptions horizontalCentered="1"/>
  <pageMargins left="0.25" right="0.25" top="0.5" bottom="0.5" header="0.3" footer="0.3"/>
  <pageSetup scale="89" fitToHeight="0" orientation="portrait" blackAndWhite="1" r:id="rId1"/>
  <rowBreaks count="1" manualBreakCount="1">
    <brk id="52" max="19" man="1"/>
  </rowBreaks>
  <ignoredErrors>
    <ignoredError sqref="I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Tank Use" prompt="What will the pump tank be used for?" xr:uid="{00000000-0002-0000-1E00-000003000000}">
          <x14:formula1>
            <xm:f>'Drop-Down Lists'!#REF!</xm:f>
          </x14:formula1>
          <xm:sqref>O6</xm:sqref>
        </x14:dataValidation>
      </x14:dataValidations>
    </ext>
  </extLs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6">
    <tabColor rgb="FFB5D0E3"/>
  </sheetPr>
  <dimension ref="A1:AV128"/>
  <sheetViews>
    <sheetView showGridLines="0" showZeros="0" view="pageBreakPreview" zoomScaleNormal="100" zoomScaleSheetLayoutView="100" workbookViewId="0">
      <selection activeCell="H4" sqref="H4:J4"/>
    </sheetView>
  </sheetViews>
  <sheetFormatPr defaultColWidth="6.42578125" defaultRowHeight="24.75" customHeight="1"/>
  <cols>
    <col min="1" max="1" width="3.42578125" style="16" customWidth="1"/>
    <col min="2" max="18" width="6.42578125" style="8" customWidth="1"/>
    <col min="19" max="19" width="6.42578125" style="4" customWidth="1"/>
    <col min="20" max="21" width="6.42578125" style="8" customWidth="1"/>
    <col min="22" max="44" width="6.42578125" style="8"/>
    <col min="45" max="45" width="6.85546875" style="8" bestFit="1" customWidth="1"/>
    <col min="46" max="46" width="7" style="8" bestFit="1" customWidth="1"/>
    <col min="47" max="47" width="6.85546875" style="8" bestFit="1" customWidth="1"/>
    <col min="48" max="16384" width="6.42578125" style="8"/>
  </cols>
  <sheetData>
    <row r="1" spans="1:23" ht="54.95" customHeight="1" thickBot="1">
      <c r="B1" s="323"/>
      <c r="C1" s="323"/>
      <c r="D1" s="323"/>
      <c r="E1" s="3176" t="s">
        <v>2263</v>
      </c>
      <c r="F1" s="3176"/>
      <c r="G1" s="3176"/>
      <c r="H1" s="3176"/>
      <c r="I1" s="3176"/>
      <c r="J1" s="3176"/>
      <c r="K1" s="3176"/>
      <c r="L1" s="3176"/>
      <c r="M1" s="3176"/>
      <c r="N1" s="3176"/>
      <c r="O1" s="3176"/>
      <c r="P1" s="3176"/>
      <c r="Q1" s="324"/>
      <c r="R1" s="324"/>
      <c r="S1" s="324"/>
      <c r="T1" s="324"/>
    </row>
    <row r="2" spans="1:23" ht="16.350000000000001" customHeight="1">
      <c r="A2" s="1144" t="s">
        <v>1791</v>
      </c>
      <c r="B2" s="1145" t="s">
        <v>1792</v>
      </c>
      <c r="C2" s="1146"/>
      <c r="D2" s="1146"/>
      <c r="E2" s="1146"/>
      <c r="F2" s="1146"/>
      <c r="G2" s="1146"/>
      <c r="H2" s="1146"/>
      <c r="I2" s="3459" t="s">
        <v>1164</v>
      </c>
      <c r="J2" s="3459"/>
      <c r="K2" s="3460" t="str">
        <f>IF(ISBLANK('Design Details &amp; Summary'!S3)," ",'Design Details &amp; Summary'!S3)</f>
        <v xml:space="preserve"> </v>
      </c>
      <c r="L2" s="3460"/>
      <c r="M2" s="1146"/>
      <c r="N2" s="1146"/>
      <c r="O2" s="1146"/>
      <c r="P2" s="1146"/>
      <c r="Q2" s="1146"/>
      <c r="R2" s="1146"/>
      <c r="S2" s="1146"/>
      <c r="T2" s="857" t="str">
        <f>'Drop-Down Lists'!A2</f>
        <v>v 05.01.2026</v>
      </c>
      <c r="U2" s="52"/>
      <c r="V2" s="52"/>
      <c r="W2" s="52"/>
    </row>
    <row r="3" spans="1:23" ht="6" customHeight="1">
      <c r="A3" s="1149"/>
      <c r="B3" s="52"/>
      <c r="C3" s="52"/>
      <c r="D3" s="52"/>
      <c r="E3" s="52"/>
      <c r="F3" s="52"/>
      <c r="G3" s="52"/>
      <c r="H3" s="52"/>
      <c r="I3" s="52"/>
      <c r="J3" s="52"/>
      <c r="K3" s="52"/>
      <c r="L3" s="52"/>
      <c r="M3" s="52"/>
      <c r="N3" s="52"/>
      <c r="O3" s="52"/>
      <c r="P3" s="52"/>
      <c r="Q3" s="52"/>
      <c r="R3" s="52"/>
      <c r="S3" s="52"/>
      <c r="T3" s="1156"/>
      <c r="U3" s="52"/>
      <c r="V3" s="52"/>
      <c r="W3" s="52"/>
    </row>
    <row r="4" spans="1:23" ht="18" customHeight="1">
      <c r="A4" s="1165"/>
      <c r="B4" s="3918" t="s">
        <v>1793</v>
      </c>
      <c r="C4" s="3918"/>
      <c r="D4" s="3918"/>
      <c r="E4" s="3918"/>
      <c r="F4" s="3918"/>
      <c r="G4" s="3918"/>
      <c r="H4" s="3915"/>
      <c r="I4" s="3916"/>
      <c r="J4" s="3917"/>
      <c r="K4" s="483"/>
      <c r="L4" s="483"/>
      <c r="M4" s="483"/>
      <c r="N4" s="482"/>
      <c r="O4" s="483"/>
      <c r="P4" s="483"/>
      <c r="Q4" s="483"/>
      <c r="R4" s="1176"/>
      <c r="S4" s="1177">
        <v>1</v>
      </c>
      <c r="T4" s="1178"/>
      <c r="U4" s="483"/>
      <c r="V4" s="483"/>
      <c r="W4" s="483"/>
    </row>
    <row r="5" spans="1:23" ht="20.100000000000001" customHeight="1">
      <c r="A5" s="868" t="s">
        <v>1011</v>
      </c>
      <c r="B5" s="8" t="s">
        <v>1794</v>
      </c>
      <c r="K5" s="3394"/>
      <c r="L5" s="3894"/>
      <c r="M5" s="8" t="s">
        <v>1034</v>
      </c>
      <c r="N5" s="3897"/>
      <c r="O5" s="3554"/>
      <c r="Q5" s="67"/>
      <c r="R5" s="4"/>
      <c r="S5" s="8"/>
      <c r="T5" s="518"/>
    </row>
    <row r="6" spans="1:23" ht="20.100000000000001" customHeight="1">
      <c r="A6" s="868" t="s">
        <v>1019</v>
      </c>
      <c r="B6" s="8" t="s">
        <v>2264</v>
      </c>
      <c r="K6" s="3879"/>
      <c r="L6" s="3898"/>
      <c r="N6" s="482"/>
      <c r="Q6" s="67"/>
      <c r="R6" s="4"/>
      <c r="S6" s="8"/>
      <c r="T6" s="518"/>
    </row>
    <row r="7" spans="1:23" ht="18" customHeight="1">
      <c r="A7" s="864"/>
      <c r="B7" s="9" t="s">
        <v>1011</v>
      </c>
      <c r="C7" s="8" t="s">
        <v>2265</v>
      </c>
      <c r="K7" s="3394"/>
      <c r="L7" s="3894"/>
      <c r="M7" s="8" t="s">
        <v>1034</v>
      </c>
      <c r="Q7" s="67"/>
      <c r="R7" s="62"/>
      <c r="S7" s="8"/>
      <c r="T7" s="518"/>
    </row>
    <row r="8" spans="1:23" ht="6" customHeight="1">
      <c r="A8" s="864"/>
      <c r="Q8" s="67"/>
      <c r="R8" s="62"/>
      <c r="S8" s="8"/>
      <c r="T8" s="518"/>
    </row>
    <row r="9" spans="1:23" ht="20.100000000000001" customHeight="1">
      <c r="A9" s="517"/>
      <c r="B9" s="9" t="s">
        <v>1019</v>
      </c>
      <c r="C9" s="8" t="s">
        <v>2266</v>
      </c>
      <c r="K9" s="3394"/>
      <c r="L9" s="3894"/>
      <c r="M9" s="8" t="s">
        <v>2267</v>
      </c>
      <c r="N9" s="482"/>
      <c r="Q9" s="67"/>
      <c r="R9" s="4"/>
      <c r="S9" s="8"/>
      <c r="T9" s="518"/>
    </row>
    <row r="10" spans="1:23" ht="6" customHeight="1">
      <c r="A10" s="864"/>
      <c r="Q10" s="67"/>
      <c r="R10" s="62"/>
      <c r="S10" s="8"/>
      <c r="T10" s="518"/>
    </row>
    <row r="11" spans="1:23" ht="18" customHeight="1">
      <c r="A11" s="864"/>
      <c r="B11" s="4" t="s">
        <v>1168</v>
      </c>
      <c r="C11" s="8" t="s">
        <v>2268</v>
      </c>
      <c r="G11" s="3475">
        <f>IF(H4="Gravity","",(K7))</f>
        <v>0</v>
      </c>
      <c r="H11" s="3891"/>
      <c r="I11" s="8" t="s">
        <v>2269</v>
      </c>
      <c r="J11" s="3892">
        <f>IF(H4="Gravity","",(K9))</f>
        <v>0</v>
      </c>
      <c r="K11" s="3893"/>
      <c r="L11" s="2926" t="s">
        <v>2270</v>
      </c>
      <c r="M11" s="2928"/>
      <c r="N11" s="3500">
        <f>IF(H4="Gravity","",(G11*J11))</f>
        <v>0</v>
      </c>
      <c r="O11" s="3899"/>
      <c r="P11" s="8" t="s">
        <v>1034</v>
      </c>
      <c r="T11" s="518"/>
    </row>
    <row r="12" spans="1:23" ht="6" customHeight="1">
      <c r="A12" s="1153"/>
      <c r="R12" s="67"/>
      <c r="S12" s="62"/>
      <c r="T12" s="518"/>
    </row>
    <row r="13" spans="1:23" ht="16.350000000000001" customHeight="1">
      <c r="A13" s="3558" t="s">
        <v>1798</v>
      </c>
      <c r="B13" s="3559"/>
      <c r="C13" s="3559"/>
      <c r="D13" s="3559"/>
      <c r="E13" s="3559"/>
      <c r="F13" s="3559"/>
      <c r="G13" s="3559"/>
      <c r="H13" s="3559"/>
      <c r="I13" s="3559"/>
      <c r="J13" s="3559"/>
      <c r="K13" s="3559"/>
      <c r="L13" s="3559"/>
      <c r="M13" s="3559"/>
      <c r="N13" s="3559"/>
      <c r="O13" s="3559"/>
      <c r="P13" s="3559"/>
      <c r="Q13" s="3559"/>
      <c r="R13" s="3559"/>
      <c r="S13" s="3559"/>
      <c r="T13" s="3560"/>
      <c r="U13" s="52"/>
      <c r="V13" s="52"/>
      <c r="W13" s="52"/>
    </row>
    <row r="14" spans="1:23" ht="6" customHeight="1">
      <c r="A14" s="858"/>
      <c r="B14" s="308"/>
      <c r="C14" s="308"/>
      <c r="D14" s="308"/>
      <c r="E14" s="308"/>
      <c r="F14" s="308"/>
      <c r="G14" s="308"/>
      <c r="H14" s="308"/>
      <c r="I14" s="308"/>
      <c r="J14" s="308"/>
      <c r="K14" s="308"/>
      <c r="L14" s="308"/>
      <c r="M14" s="308"/>
      <c r="N14" s="308"/>
      <c r="O14" s="308"/>
      <c r="P14" s="308"/>
      <c r="Q14" s="308"/>
      <c r="R14" s="308"/>
      <c r="S14" s="308"/>
      <c r="T14" s="1148"/>
      <c r="U14" s="52"/>
    </row>
    <row r="15" spans="1:23" ht="20.100000000000001" customHeight="1">
      <c r="A15" s="1152" t="s">
        <v>1011</v>
      </c>
      <c r="B15" s="2946" t="s">
        <v>1799</v>
      </c>
      <c r="C15" s="2946"/>
      <c r="D15" s="2946"/>
      <c r="E15" s="2946"/>
      <c r="F15" s="2872"/>
      <c r="G15" s="2874"/>
      <c r="H15" s="8" t="s">
        <v>609</v>
      </c>
      <c r="K15" s="52"/>
      <c r="L15" s="52"/>
      <c r="M15" s="52"/>
      <c r="N15" s="52"/>
      <c r="O15" s="52"/>
      <c r="P15" s="52"/>
      <c r="Q15" s="52"/>
      <c r="R15" s="52"/>
      <c r="S15" s="52"/>
      <c r="T15" s="518"/>
      <c r="U15" s="52"/>
    </row>
    <row r="16" spans="1:23" ht="18" customHeight="1">
      <c r="A16" s="1153"/>
      <c r="B16" s="2946" t="s">
        <v>1800</v>
      </c>
      <c r="C16" s="2946"/>
      <c r="D16" s="2946"/>
      <c r="E16" s="2946"/>
      <c r="F16" s="2946"/>
      <c r="G16" s="2946"/>
      <c r="H16" s="2946"/>
      <c r="K16" s="52"/>
      <c r="L16" s="52"/>
      <c r="M16" s="52"/>
      <c r="N16" s="52"/>
      <c r="O16" s="52"/>
      <c r="P16" s="52"/>
      <c r="Q16" s="52"/>
      <c r="R16" s="52"/>
      <c r="S16" s="52"/>
      <c r="T16" s="1156"/>
      <c r="U16" s="52"/>
    </row>
    <row r="17" spans="1:33" ht="20.100000000000001" customHeight="1">
      <c r="A17" s="1152" t="str">
        <f>"B."</f>
        <v>B.</v>
      </c>
      <c r="B17" s="8" t="s">
        <v>2271</v>
      </c>
      <c r="F17" s="3172"/>
      <c r="G17" s="3173"/>
      <c r="H17" s="8" t="s">
        <v>629</v>
      </c>
      <c r="I17" s="3443"/>
      <c r="J17" s="3895"/>
      <c r="K17" s="3896"/>
      <c r="L17" s="3896"/>
      <c r="M17" s="2868"/>
      <c r="N17" s="2868"/>
      <c r="O17" s="3187"/>
      <c r="P17" s="3187"/>
      <c r="Q17" s="51"/>
      <c r="R17" s="51"/>
      <c r="S17" s="30"/>
      <c r="T17" s="1166"/>
    </row>
    <row r="18" spans="1:33" ht="6" customHeight="1">
      <c r="A18" s="1152"/>
      <c r="F18" s="307"/>
      <c r="G18" s="307"/>
      <c r="H18" s="79"/>
      <c r="I18" s="3895"/>
      <c r="J18" s="3895"/>
      <c r="K18" s="3896"/>
      <c r="L18" s="3896"/>
      <c r="M18" s="4"/>
      <c r="N18" s="4"/>
      <c r="O18" s="17"/>
      <c r="P18" s="17"/>
      <c r="Q18" s="51"/>
      <c r="R18" s="51"/>
      <c r="S18" s="30"/>
      <c r="T18" s="1166"/>
    </row>
    <row r="19" spans="1:33" ht="20.100000000000001" customHeight="1">
      <c r="A19" s="1152"/>
      <c r="B19" s="8" t="s">
        <v>2272</v>
      </c>
      <c r="F19" s="2940"/>
      <c r="G19" s="2941"/>
      <c r="H19" s="8" t="s">
        <v>609</v>
      </c>
      <c r="I19" s="3895"/>
      <c r="J19" s="3895"/>
      <c r="K19" s="3896"/>
      <c r="L19" s="3896"/>
      <c r="M19" s="4"/>
      <c r="N19" s="4"/>
      <c r="O19" s="17"/>
      <c r="P19" s="17"/>
      <c r="Q19" s="51"/>
      <c r="R19" s="51"/>
      <c r="S19" s="30"/>
      <c r="T19" s="1166"/>
    </row>
    <row r="20" spans="1:33" ht="6" customHeight="1">
      <c r="A20" s="1152"/>
      <c r="F20" s="307"/>
      <c r="G20" s="307"/>
      <c r="H20" s="79"/>
      <c r="K20" s="4"/>
      <c r="L20" s="4"/>
      <c r="M20" s="4"/>
      <c r="N20" s="4"/>
      <c r="O20" s="17"/>
      <c r="P20" s="17"/>
      <c r="Q20" s="51"/>
      <c r="R20" s="51"/>
      <c r="S20" s="30"/>
      <c r="T20" s="1166"/>
    </row>
    <row r="21" spans="1:33" ht="6" customHeight="1">
      <c r="A21" s="1160"/>
      <c r="B21" s="41"/>
      <c r="C21" s="313"/>
      <c r="D21" s="313"/>
      <c r="E21" s="314"/>
      <c r="F21" s="41"/>
      <c r="G21" s="315"/>
      <c r="H21" s="313"/>
      <c r="I21" s="313"/>
      <c r="J21" s="314"/>
      <c r="K21" s="316"/>
      <c r="L21" s="315"/>
      <c r="M21" s="348"/>
      <c r="N21" s="314"/>
      <c r="O21" s="317"/>
      <c r="P21" s="317"/>
      <c r="Q21" s="314"/>
      <c r="R21" s="41"/>
      <c r="S21" s="88"/>
      <c r="T21" s="1167"/>
    </row>
    <row r="22" spans="1:33" ht="18" customHeight="1">
      <c r="A22" s="1152" t="s">
        <v>1168</v>
      </c>
      <c r="B22" s="8" t="s">
        <v>2273</v>
      </c>
      <c r="C22" s="301"/>
      <c r="D22" s="301"/>
      <c r="E22" s="80"/>
      <c r="G22" s="79"/>
      <c r="H22" s="301"/>
      <c r="I22" s="301"/>
      <c r="J22" s="80"/>
      <c r="K22" s="306"/>
      <c r="L22" s="79"/>
      <c r="M22" s="347"/>
      <c r="N22" s="80"/>
      <c r="O22" s="307"/>
      <c r="P22" s="307"/>
      <c r="Q22" s="80"/>
      <c r="S22" s="30"/>
      <c r="T22" s="1166"/>
    </row>
    <row r="23" spans="1:33" ht="18" customHeight="1">
      <c r="A23" s="1152"/>
      <c r="B23" s="8" t="s">
        <v>2274</v>
      </c>
      <c r="C23" s="318"/>
      <c r="D23" s="318"/>
      <c r="E23" s="318"/>
      <c r="F23" s="318"/>
      <c r="G23" s="318"/>
      <c r="H23" s="318"/>
      <c r="I23" s="318"/>
      <c r="J23" s="318"/>
      <c r="K23" s="318"/>
      <c r="L23" s="79"/>
      <c r="M23" s="347"/>
      <c r="N23" s="80"/>
      <c r="O23" s="307"/>
      <c r="P23" s="307"/>
      <c r="Q23" s="80"/>
      <c r="S23" s="30"/>
      <c r="T23" s="1166"/>
    </row>
    <row r="24" spans="1:33" ht="6" customHeight="1">
      <c r="A24" s="1153"/>
      <c r="C24" s="10"/>
      <c r="D24" s="10"/>
      <c r="E24" s="10"/>
      <c r="F24" s="10"/>
      <c r="G24" s="10"/>
      <c r="H24" s="10"/>
      <c r="I24" s="10"/>
      <c r="J24" s="10"/>
      <c r="K24" s="10"/>
      <c r="L24" s="79"/>
      <c r="M24" s="347"/>
      <c r="N24" s="80"/>
      <c r="O24" s="307"/>
      <c r="P24" s="307"/>
      <c r="Q24" s="80"/>
      <c r="S24" s="30"/>
      <c r="T24" s="1166"/>
    </row>
    <row r="25" spans="1:33" ht="23.1" customHeight="1">
      <c r="A25" s="1153"/>
      <c r="B25" s="3919" t="s">
        <v>1821</v>
      </c>
      <c r="C25" s="3923"/>
      <c r="D25" s="3920"/>
      <c r="E25" s="3919" t="s">
        <v>2275</v>
      </c>
      <c r="F25" s="3920"/>
      <c r="H25" s="3919" t="s">
        <v>2276</v>
      </c>
      <c r="I25" s="3920"/>
      <c r="K25" s="3919" t="s">
        <v>2277</v>
      </c>
      <c r="L25" s="3920"/>
      <c r="M25" s="347"/>
      <c r="N25" s="80"/>
      <c r="O25" s="307"/>
      <c r="P25" s="307"/>
      <c r="Q25" s="80"/>
      <c r="S25" s="30"/>
      <c r="T25" s="1166"/>
      <c r="Y25" s="312"/>
      <c r="Z25" s="312"/>
      <c r="AA25" s="312"/>
    </row>
    <row r="26" spans="1:33" ht="23.1" customHeight="1">
      <c r="A26" s="1153"/>
      <c r="B26" s="3921"/>
      <c r="C26" s="3924"/>
      <c r="D26" s="3922"/>
      <c r="E26" s="3921"/>
      <c r="F26" s="3922"/>
      <c r="H26" s="3921"/>
      <c r="I26" s="3922"/>
      <c r="K26" s="3921"/>
      <c r="L26" s="3922"/>
      <c r="M26" s="347"/>
      <c r="N26" s="80"/>
      <c r="O26" s="307"/>
      <c r="P26" s="307"/>
      <c r="Q26" s="80"/>
      <c r="S26" s="30"/>
      <c r="T26" s="1166"/>
      <c r="Y26" s="312"/>
      <c r="Z26" s="312"/>
      <c r="AA26" s="312"/>
      <c r="AB26" s="17"/>
      <c r="AC26" s="3539" t="s">
        <v>1821</v>
      </c>
      <c r="AD26" s="3540"/>
      <c r="AE26" s="302">
        <v>1.5</v>
      </c>
      <c r="AF26" s="302">
        <v>2</v>
      </c>
      <c r="AG26" s="303">
        <v>3</v>
      </c>
    </row>
    <row r="27" spans="1:33" ht="20.100000000000001" customHeight="1">
      <c r="A27" s="1153"/>
      <c r="B27" s="3913" t="s">
        <v>1822</v>
      </c>
      <c r="C27" s="3913"/>
      <c r="D27" s="3913"/>
      <c r="E27" s="3910"/>
      <c r="F27" s="3910"/>
      <c r="G27" s="320" t="s">
        <v>1343</v>
      </c>
      <c r="H27" s="3900" t="str">
        <f t="shared" ref="H27:H35" si="0">IF(ISBLANK(E27),"",IF($F$17=$AE$26,AE27,IF($F$17=$AF$26,AF27,IF($F$17=$AG$26,AG27,""))))</f>
        <v/>
      </c>
      <c r="I27" s="3901"/>
      <c r="J27" s="320" t="s">
        <v>1240</v>
      </c>
      <c r="K27" s="3900" t="str">
        <f t="shared" ref="K27:K37" si="1">IF(ISBLANK(E27),"",E27*H27)</f>
        <v/>
      </c>
      <c r="L27" s="3901"/>
      <c r="N27" s="80"/>
      <c r="O27" s="307"/>
      <c r="P27" s="307"/>
      <c r="Q27" s="80"/>
      <c r="S27" s="30"/>
      <c r="T27" s="1166"/>
      <c r="AB27" s="17"/>
      <c r="AC27" s="3539" t="s">
        <v>1822</v>
      </c>
      <c r="AD27" s="3540"/>
      <c r="AE27" s="304">
        <v>1.07</v>
      </c>
      <c r="AF27" s="302">
        <v>1.38</v>
      </c>
      <c r="AG27" s="303">
        <v>2.04</v>
      </c>
    </row>
    <row r="28" spans="1:33" ht="20.100000000000001" customHeight="1">
      <c r="A28" s="1153"/>
      <c r="B28" s="3913" t="s">
        <v>1823</v>
      </c>
      <c r="C28" s="3913"/>
      <c r="D28" s="3913"/>
      <c r="E28" s="3910"/>
      <c r="F28" s="3910"/>
      <c r="G28" s="320" t="s">
        <v>1343</v>
      </c>
      <c r="H28" s="3900" t="str">
        <f t="shared" si="0"/>
        <v/>
      </c>
      <c r="I28" s="3901"/>
      <c r="J28" s="320" t="s">
        <v>1240</v>
      </c>
      <c r="K28" s="3900" t="str">
        <f t="shared" si="1"/>
        <v/>
      </c>
      <c r="L28" s="3901"/>
      <c r="N28" s="80"/>
      <c r="O28" s="307"/>
      <c r="P28" s="307"/>
      <c r="Q28" s="80"/>
      <c r="S28" s="30"/>
      <c r="T28" s="1166"/>
      <c r="AB28" s="17"/>
      <c r="AC28" s="3539" t="s">
        <v>1823</v>
      </c>
      <c r="AD28" s="3540"/>
      <c r="AE28" s="302">
        <v>4.03</v>
      </c>
      <c r="AF28" s="302">
        <v>5.17</v>
      </c>
      <c r="AG28" s="303">
        <v>7.67</v>
      </c>
    </row>
    <row r="29" spans="1:33" ht="20.100000000000001" customHeight="1">
      <c r="A29" s="1153"/>
      <c r="B29" s="3913" t="s">
        <v>1824</v>
      </c>
      <c r="C29" s="3913"/>
      <c r="D29" s="3913"/>
      <c r="E29" s="3910"/>
      <c r="F29" s="3910"/>
      <c r="G29" s="320" t="s">
        <v>1343</v>
      </c>
      <c r="H29" s="3900" t="str">
        <f t="shared" si="0"/>
        <v/>
      </c>
      <c r="I29" s="3901"/>
      <c r="J29" s="320" t="s">
        <v>1240</v>
      </c>
      <c r="K29" s="3900" t="str">
        <f t="shared" si="1"/>
        <v/>
      </c>
      <c r="L29" s="3901"/>
      <c r="S29" s="8"/>
      <c r="T29" s="518"/>
      <c r="AB29" s="17"/>
      <c r="AC29" s="3539" t="s">
        <v>1824</v>
      </c>
      <c r="AD29" s="3540"/>
      <c r="AE29" s="302">
        <v>2.15</v>
      </c>
      <c r="AF29" s="302">
        <v>2.76</v>
      </c>
      <c r="AG29" s="303">
        <v>4.09</v>
      </c>
    </row>
    <row r="30" spans="1:33" ht="20.100000000000001" customHeight="1">
      <c r="A30" s="1153"/>
      <c r="B30" s="3913" t="s">
        <v>1825</v>
      </c>
      <c r="C30" s="3913"/>
      <c r="D30" s="3913"/>
      <c r="E30" s="3910"/>
      <c r="F30" s="3910"/>
      <c r="G30" s="320" t="s">
        <v>1343</v>
      </c>
      <c r="H30" s="3900" t="str">
        <f t="shared" si="0"/>
        <v/>
      </c>
      <c r="I30" s="3901"/>
      <c r="J30" s="320" t="s">
        <v>1240</v>
      </c>
      <c r="K30" s="3900" t="str">
        <f t="shared" si="1"/>
        <v/>
      </c>
      <c r="L30" s="3901"/>
      <c r="S30" s="8"/>
      <c r="T30" s="518"/>
      <c r="AB30" s="17"/>
      <c r="AC30" s="3539" t="s">
        <v>1825</v>
      </c>
      <c r="AD30" s="3540"/>
      <c r="AE30" s="302">
        <v>2.68</v>
      </c>
      <c r="AF30" s="302">
        <v>3.45</v>
      </c>
      <c r="AG30" s="303">
        <v>5.1100000000000003</v>
      </c>
    </row>
    <row r="31" spans="1:33" ht="20.100000000000001" customHeight="1">
      <c r="A31" s="1153"/>
      <c r="B31" s="3913" t="s">
        <v>1826</v>
      </c>
      <c r="C31" s="3913"/>
      <c r="D31" s="3913"/>
      <c r="E31" s="3910"/>
      <c r="F31" s="3910"/>
      <c r="G31" s="320" t="s">
        <v>1343</v>
      </c>
      <c r="H31" s="3900" t="str">
        <f t="shared" si="0"/>
        <v/>
      </c>
      <c r="I31" s="3901"/>
      <c r="J31" s="320" t="s">
        <v>1240</v>
      </c>
      <c r="K31" s="3900" t="str">
        <f t="shared" si="1"/>
        <v/>
      </c>
      <c r="L31" s="3901"/>
      <c r="S31" s="8"/>
      <c r="T31" s="518"/>
      <c r="AB31" s="17"/>
      <c r="AC31" s="3539" t="s">
        <v>1826</v>
      </c>
      <c r="AD31" s="3540"/>
      <c r="AE31" s="302">
        <v>8.0500000000000007</v>
      </c>
      <c r="AF31" s="304">
        <v>10.3</v>
      </c>
      <c r="AG31" s="305">
        <v>15.3</v>
      </c>
    </row>
    <row r="32" spans="1:33" ht="20.100000000000001" customHeight="1">
      <c r="A32" s="1153"/>
      <c r="B32" s="3913" t="s">
        <v>1827</v>
      </c>
      <c r="C32" s="3913"/>
      <c r="D32" s="3913"/>
      <c r="E32" s="3910"/>
      <c r="F32" s="3910"/>
      <c r="G32" s="320" t="s">
        <v>1343</v>
      </c>
      <c r="H32" s="3900" t="str">
        <f t="shared" si="0"/>
        <v/>
      </c>
      <c r="I32" s="3901"/>
      <c r="J32" s="320" t="s">
        <v>1240</v>
      </c>
      <c r="K32" s="3900" t="str">
        <f t="shared" si="1"/>
        <v/>
      </c>
      <c r="L32" s="3901"/>
      <c r="M32" s="484" t="s">
        <v>2278</v>
      </c>
      <c r="N32" s="476"/>
      <c r="O32" s="476"/>
      <c r="P32" s="476"/>
      <c r="Q32" s="476"/>
      <c r="R32" s="476"/>
      <c r="S32" s="476"/>
      <c r="T32" s="1168"/>
      <c r="AB32" s="17"/>
      <c r="AC32" s="3537" t="s">
        <v>1827</v>
      </c>
      <c r="AD32" s="3538"/>
      <c r="AE32" s="304">
        <v>13.4</v>
      </c>
      <c r="AF32" s="304">
        <v>17.2</v>
      </c>
      <c r="AG32" s="305">
        <v>25.5</v>
      </c>
    </row>
    <row r="33" spans="1:33" ht="20.100000000000001" customHeight="1">
      <c r="A33" s="1153"/>
      <c r="B33" s="3913" t="s">
        <v>1828</v>
      </c>
      <c r="C33" s="3913"/>
      <c r="D33" s="3913"/>
      <c r="E33" s="3910"/>
      <c r="F33" s="3910"/>
      <c r="G33" s="320" t="s">
        <v>1343</v>
      </c>
      <c r="H33" s="3900" t="str">
        <f t="shared" si="0"/>
        <v/>
      </c>
      <c r="I33" s="3901"/>
      <c r="J33" s="320" t="s">
        <v>1240</v>
      </c>
      <c r="K33" s="3900" t="str">
        <f t="shared" si="1"/>
        <v/>
      </c>
      <c r="L33" s="3901"/>
      <c r="M33" s="485"/>
      <c r="N33" s="486"/>
      <c r="O33" s="486"/>
      <c r="P33" s="486"/>
      <c r="Q33" s="486"/>
      <c r="R33" s="486"/>
      <c r="S33" s="486"/>
      <c r="T33" s="1167"/>
      <c r="AB33" s="17"/>
      <c r="AC33" s="3537" t="s">
        <v>1828</v>
      </c>
      <c r="AD33" s="3538"/>
      <c r="AE33" s="304">
        <v>20.100000000000001</v>
      </c>
      <c r="AF33" s="304">
        <v>25.8</v>
      </c>
      <c r="AG33" s="305">
        <v>38.4</v>
      </c>
    </row>
    <row r="34" spans="1:33" ht="20.100000000000001" customHeight="1">
      <c r="A34" s="1153"/>
      <c r="B34" s="3913" t="s">
        <v>1829</v>
      </c>
      <c r="C34" s="3913"/>
      <c r="D34" s="3913"/>
      <c r="E34" s="3910"/>
      <c r="F34" s="3910"/>
      <c r="G34" s="320" t="s">
        <v>1343</v>
      </c>
      <c r="H34" s="3900" t="str">
        <f t="shared" si="0"/>
        <v/>
      </c>
      <c r="I34" s="3901"/>
      <c r="J34" s="320" t="s">
        <v>1240</v>
      </c>
      <c r="K34" s="3900" t="str">
        <f t="shared" si="1"/>
        <v/>
      </c>
      <c r="L34" s="3901"/>
      <c r="M34" s="349"/>
      <c r="N34" s="80"/>
      <c r="O34" s="307"/>
      <c r="P34" s="307"/>
      <c r="Q34" s="80"/>
      <c r="S34" s="30"/>
      <c r="T34" s="1169"/>
      <c r="AB34" s="17"/>
      <c r="AC34" s="3537" t="s">
        <v>1829</v>
      </c>
      <c r="AD34" s="3538"/>
      <c r="AE34" s="304">
        <v>45.6</v>
      </c>
      <c r="AF34" s="304">
        <v>58.6</v>
      </c>
      <c r="AG34" s="305">
        <v>86.9</v>
      </c>
    </row>
    <row r="35" spans="1:33" ht="20.100000000000001" customHeight="1">
      <c r="A35" s="1153"/>
      <c r="B35" s="3913" t="s">
        <v>1830</v>
      </c>
      <c r="C35" s="3913"/>
      <c r="D35" s="3913"/>
      <c r="E35" s="3910"/>
      <c r="F35" s="3910"/>
      <c r="G35" s="320" t="s">
        <v>1343</v>
      </c>
      <c r="H35" s="3900" t="str">
        <f t="shared" si="0"/>
        <v/>
      </c>
      <c r="I35" s="3901"/>
      <c r="J35" s="320" t="s">
        <v>1240</v>
      </c>
      <c r="K35" s="3900" t="str">
        <f t="shared" si="1"/>
        <v/>
      </c>
      <c r="L35" s="3901"/>
      <c r="M35" s="350"/>
      <c r="N35" s="310"/>
      <c r="O35" s="351"/>
      <c r="P35" s="351"/>
      <c r="Q35" s="310"/>
      <c r="R35" s="61"/>
      <c r="S35" s="39"/>
      <c r="T35" s="1170"/>
      <c r="AB35" s="17"/>
      <c r="AC35" s="3537" t="s">
        <v>1830</v>
      </c>
      <c r="AD35" s="3538"/>
      <c r="AE35" s="302" t="s">
        <v>1282</v>
      </c>
      <c r="AF35" s="302">
        <v>7.75</v>
      </c>
      <c r="AG35" s="305">
        <v>11.5</v>
      </c>
    </row>
    <row r="36" spans="1:33" ht="20.100000000000001" customHeight="1">
      <c r="A36" s="1153"/>
      <c r="B36" s="3914" t="s">
        <v>256</v>
      </c>
      <c r="C36" s="3914"/>
      <c r="D36" s="3914"/>
      <c r="E36" s="3910"/>
      <c r="F36" s="3910"/>
      <c r="G36" s="320" t="s">
        <v>1343</v>
      </c>
      <c r="H36" s="3911"/>
      <c r="I36" s="3912"/>
      <c r="J36" s="320" t="s">
        <v>1240</v>
      </c>
      <c r="K36" s="3900" t="str">
        <f t="shared" si="1"/>
        <v/>
      </c>
      <c r="L36" s="3901"/>
      <c r="M36" s="357" t="s">
        <v>2279</v>
      </c>
      <c r="N36" s="358"/>
      <c r="O36" s="358" t="s">
        <v>2280</v>
      </c>
      <c r="P36" s="358"/>
      <c r="Q36" s="358" t="s">
        <v>2281</v>
      </c>
      <c r="R36" s="358"/>
      <c r="S36" s="358" t="s">
        <v>2282</v>
      </c>
      <c r="T36" s="1171"/>
      <c r="AB36" s="17"/>
    </row>
    <row r="37" spans="1:33" ht="20.100000000000001" customHeight="1">
      <c r="A37" s="1153"/>
      <c r="B37" s="3914" t="s">
        <v>256</v>
      </c>
      <c r="C37" s="3914"/>
      <c r="D37" s="3914"/>
      <c r="E37" s="3910"/>
      <c r="F37" s="3910"/>
      <c r="G37" s="320" t="s">
        <v>1343</v>
      </c>
      <c r="H37" s="3911"/>
      <c r="I37" s="3912"/>
      <c r="J37" s="320" t="s">
        <v>1240</v>
      </c>
      <c r="K37" s="3900" t="str">
        <f t="shared" si="1"/>
        <v/>
      </c>
      <c r="L37" s="3901"/>
      <c r="S37" s="8"/>
      <c r="T37" s="518"/>
    </row>
    <row r="38" spans="1:33" ht="6" customHeight="1">
      <c r="A38" s="1172"/>
      <c r="B38" s="1"/>
      <c r="C38" s="1"/>
      <c r="D38" s="1"/>
      <c r="E38" s="1"/>
      <c r="K38" s="94"/>
      <c r="L38" s="94"/>
      <c r="S38" s="8"/>
      <c r="T38" s="518"/>
    </row>
    <row r="39" spans="1:33" ht="20.100000000000001" customHeight="1">
      <c r="A39" s="1172" t="s">
        <v>1172</v>
      </c>
      <c r="B39" s="1" t="s">
        <v>2283</v>
      </c>
      <c r="C39" s="1"/>
      <c r="D39" s="1"/>
      <c r="E39" s="1"/>
      <c r="K39" s="3515" t="str">
        <f>IF(ISBLANK(F17),"",SUM(K27:L37))</f>
        <v/>
      </c>
      <c r="L39" s="3517"/>
      <c r="N39" s="3902" t="s">
        <v>2284</v>
      </c>
      <c r="O39" s="3902"/>
      <c r="P39" s="3902"/>
      <c r="Q39" s="3902"/>
      <c r="R39" s="3902"/>
      <c r="S39" s="3902"/>
      <c r="T39" s="3903"/>
    </row>
    <row r="40" spans="1:33" ht="6" customHeight="1">
      <c r="A40" s="1172"/>
      <c r="B40" s="1"/>
      <c r="C40" s="1"/>
      <c r="D40" s="1"/>
      <c r="E40" s="1"/>
      <c r="K40" s="94"/>
      <c r="L40" s="94"/>
      <c r="N40" s="3902"/>
      <c r="O40" s="3902"/>
      <c r="P40" s="3902"/>
      <c r="Q40" s="3902"/>
      <c r="R40" s="3902"/>
      <c r="S40" s="3902"/>
      <c r="T40" s="3903"/>
    </row>
    <row r="41" spans="1:33" ht="18" customHeight="1">
      <c r="A41" s="1153" t="s">
        <v>1177</v>
      </c>
      <c r="B41" s="29" t="s">
        <v>2285</v>
      </c>
      <c r="C41" s="1"/>
      <c r="D41" s="1"/>
      <c r="E41" s="1"/>
      <c r="F41" s="1"/>
      <c r="G41" s="1"/>
      <c r="H41" s="30"/>
      <c r="I41" s="301"/>
      <c r="J41" s="80"/>
      <c r="K41" s="306"/>
      <c r="L41" s="79"/>
      <c r="N41" s="3902"/>
      <c r="O41" s="3902"/>
      <c r="P41" s="3902"/>
      <c r="Q41" s="3902"/>
      <c r="R41" s="3902"/>
      <c r="S41" s="3902"/>
      <c r="T41" s="3903"/>
    </row>
    <row r="42" spans="1:33" ht="20.100000000000001" customHeight="1">
      <c r="A42" s="1153"/>
      <c r="B42" s="3165" t="str">
        <f>IF(ISBLANK(F15),"",F19)</f>
        <v/>
      </c>
      <c r="C42" s="3481"/>
      <c r="D42" s="4" t="s">
        <v>1336</v>
      </c>
      <c r="E42" s="3174" t="str">
        <f>K39</f>
        <v/>
      </c>
      <c r="F42" s="3175"/>
      <c r="G42" s="4" t="s">
        <v>1208</v>
      </c>
      <c r="H42" s="3174" t="str">
        <f>IF(ISBLANK(F15),"",B42+E42)</f>
        <v/>
      </c>
      <c r="I42" s="3175"/>
      <c r="J42" s="8" t="s">
        <v>609</v>
      </c>
      <c r="K42" s="306"/>
      <c r="L42" s="79"/>
      <c r="S42" s="8"/>
      <c r="T42" s="518"/>
    </row>
    <row r="43" spans="1:33" ht="6" customHeight="1">
      <c r="A43" s="1153"/>
      <c r="B43" s="1"/>
      <c r="C43" s="1"/>
      <c r="D43" s="1"/>
      <c r="E43" s="1"/>
      <c r="F43" s="1"/>
      <c r="G43" s="1"/>
      <c r="H43" s="30"/>
      <c r="I43" s="301"/>
      <c r="J43" s="80"/>
      <c r="K43" s="306"/>
      <c r="L43" s="79"/>
      <c r="M43" s="347"/>
      <c r="Q43" s="3"/>
      <c r="R43" s="3"/>
      <c r="S43" s="8"/>
      <c r="T43" s="1173"/>
    </row>
    <row r="44" spans="1:33" ht="17.100000000000001" customHeight="1">
      <c r="A44" s="1153" t="s">
        <v>1179</v>
      </c>
      <c r="B44" s="18" t="s">
        <v>2286</v>
      </c>
      <c r="C44" s="1"/>
      <c r="D44" s="1"/>
      <c r="E44" s="1"/>
      <c r="F44" s="1"/>
      <c r="G44" s="1"/>
      <c r="H44" s="30"/>
      <c r="I44" s="301"/>
      <c r="J44" s="80"/>
      <c r="K44" s="306"/>
      <c r="L44" s="79"/>
      <c r="S44" s="8"/>
      <c r="T44" s="518"/>
    </row>
    <row r="45" spans="1:33" ht="18" customHeight="1">
      <c r="A45" s="872"/>
      <c r="B45" s="2868" t="s">
        <v>2287</v>
      </c>
      <c r="C45" s="3482"/>
      <c r="D45" s="2927" t="s">
        <v>2288</v>
      </c>
      <c r="E45" s="3272"/>
      <c r="F45" s="3272"/>
      <c r="G45" s="24" t="s">
        <v>1609</v>
      </c>
      <c r="H45" s="2927" t="s">
        <v>2289</v>
      </c>
      <c r="I45" s="3554"/>
      <c r="J45" s="3554"/>
      <c r="K45" s="3554"/>
      <c r="L45" s="347" t="s">
        <v>1343</v>
      </c>
      <c r="M45" s="3" t="s">
        <v>2290</v>
      </c>
      <c r="N45" s="4"/>
      <c r="O45" s="4"/>
      <c r="P45" s="4"/>
      <c r="Q45" s="4"/>
      <c r="R45" s="4"/>
      <c r="T45" s="1173"/>
    </row>
    <row r="46" spans="1:33" ht="6" customHeight="1">
      <c r="A46" s="1153"/>
      <c r="B46" s="1"/>
      <c r="C46" s="1"/>
      <c r="D46" s="1"/>
      <c r="E46" s="1"/>
      <c r="F46" s="1"/>
      <c r="G46" s="1"/>
      <c r="H46" s="30"/>
      <c r="I46" s="301"/>
      <c r="J46" s="80"/>
      <c r="K46" s="306"/>
      <c r="L46" s="79"/>
      <c r="M46" s="347"/>
      <c r="Q46" s="3"/>
      <c r="R46" s="3"/>
      <c r="S46" s="8"/>
      <c r="T46" s="1173"/>
    </row>
    <row r="47" spans="1:33" ht="20.100000000000001" customHeight="1">
      <c r="A47" s="872"/>
      <c r="B47" s="2868" t="s">
        <v>2291</v>
      </c>
      <c r="C47" s="2868"/>
      <c r="D47" s="3174" t="str">
        <f>IF(ISBLANK(F15),"",F17)</f>
        <v/>
      </c>
      <c r="E47" s="3437"/>
      <c r="F47" s="8" t="s">
        <v>2292</v>
      </c>
      <c r="G47" s="24" t="s">
        <v>1609</v>
      </c>
      <c r="H47" s="3174" t="str">
        <f>IF(ISBLANK(H4)," ",IF(H4="gravity",K5,IF(H4="pressure",(N11)," ")))</f>
        <v xml:space="preserve"> </v>
      </c>
      <c r="I47" s="3175"/>
      <c r="J47" s="356" t="s">
        <v>2293</v>
      </c>
      <c r="K47" s="59"/>
      <c r="L47" s="354"/>
      <c r="M47" s="3174" t="str">
        <f>IF(H4=0,"",IF(ISBLANK(F15),"",H42))</f>
        <v/>
      </c>
      <c r="N47" s="3600"/>
      <c r="O47" s="8" t="s">
        <v>1351</v>
      </c>
      <c r="P47" s="3174" t="str">
        <f>IF(ISBLANK(H4)," ",((10.5/D47^4.87))*((H47/130)^1.85)*M47)</f>
        <v xml:space="preserve"> </v>
      </c>
      <c r="Q47" s="3175"/>
      <c r="R47" s="8" t="s">
        <v>609</v>
      </c>
      <c r="S47" s="80"/>
      <c r="T47" s="1166"/>
    </row>
    <row r="48" spans="1:33" ht="32.450000000000003" customHeight="1">
      <c r="A48" s="1152" t="s">
        <v>1181</v>
      </c>
      <c r="B48" s="3443" t="s">
        <v>2294</v>
      </c>
      <c r="C48" s="3443"/>
      <c r="D48" s="3909"/>
      <c r="E48" s="3909"/>
      <c r="F48" s="3909"/>
      <c r="G48" s="3909"/>
      <c r="H48" s="3909"/>
      <c r="I48" s="3909"/>
      <c r="J48" s="3909"/>
      <c r="K48" s="3909"/>
      <c r="L48" s="3909"/>
      <c r="M48" s="3272"/>
      <c r="N48" s="3272"/>
      <c r="O48" s="3272"/>
      <c r="P48" s="3272"/>
      <c r="Q48" s="3272"/>
      <c r="R48" s="3272"/>
      <c r="S48" s="3272"/>
      <c r="T48" s="1166"/>
    </row>
    <row r="49" spans="1:48" ht="6" customHeight="1">
      <c r="A49" s="861"/>
      <c r="B49" s="26"/>
      <c r="C49" s="26"/>
      <c r="D49" s="26"/>
      <c r="E49" s="26"/>
      <c r="F49" s="26"/>
      <c r="G49" s="26"/>
      <c r="H49" s="26"/>
      <c r="I49" s="26"/>
      <c r="J49" s="26"/>
      <c r="K49" s="26"/>
      <c r="L49" s="26"/>
      <c r="M49" s="26"/>
      <c r="S49" s="8"/>
      <c r="T49" s="518"/>
    </row>
    <row r="50" spans="1:48" ht="20.100000000000001" customHeight="1">
      <c r="A50" s="1153"/>
      <c r="D50" s="3174" t="str">
        <f>IF(ISBLANK(F15)," ",(F15))</f>
        <v xml:space="preserve"> </v>
      </c>
      <c r="E50" s="3175"/>
      <c r="F50" s="8" t="s">
        <v>1815</v>
      </c>
      <c r="G50" s="4" t="s">
        <v>987</v>
      </c>
      <c r="H50" s="3174" t="str">
        <f>IF(ISBLANK(F17)," ",P47)</f>
        <v xml:space="preserve"> </v>
      </c>
      <c r="I50" s="3175"/>
      <c r="J50" s="4" t="s">
        <v>1443</v>
      </c>
      <c r="K50" s="3174" t="str">
        <f>IF(ISBLANK(H4),"",SUM(D50+H50))</f>
        <v/>
      </c>
      <c r="L50" s="3175"/>
      <c r="M50" s="8" t="s">
        <v>609</v>
      </c>
      <c r="S50" s="8"/>
      <c r="T50" s="518"/>
    </row>
    <row r="51" spans="1:48" ht="6" customHeight="1">
      <c r="A51" s="1162"/>
      <c r="B51" s="61"/>
      <c r="C51" s="61"/>
      <c r="D51" s="61"/>
      <c r="E51" s="61"/>
      <c r="F51" s="61"/>
      <c r="G51" s="61"/>
      <c r="H51" s="61"/>
      <c r="I51" s="61"/>
      <c r="J51" s="61"/>
      <c r="K51" s="61"/>
      <c r="L51" s="61"/>
      <c r="M51" s="61"/>
      <c r="N51" s="61"/>
      <c r="O51" s="61"/>
      <c r="P51" s="39"/>
      <c r="Q51" s="61"/>
      <c r="R51" s="38"/>
      <c r="S51" s="39"/>
      <c r="T51" s="1174"/>
      <c r="U51" s="52"/>
    </row>
    <row r="52" spans="1:48" ht="16.350000000000001" customHeight="1">
      <c r="A52" s="3558" t="s">
        <v>1817</v>
      </c>
      <c r="B52" s="3559"/>
      <c r="C52" s="3559"/>
      <c r="D52" s="3559"/>
      <c r="E52" s="3559"/>
      <c r="F52" s="3559"/>
      <c r="G52" s="3559"/>
      <c r="H52" s="3559"/>
      <c r="I52" s="3559"/>
      <c r="J52" s="3559"/>
      <c r="K52" s="3559"/>
      <c r="L52" s="3559"/>
      <c r="M52" s="3559"/>
      <c r="N52" s="3559"/>
      <c r="O52" s="3559"/>
      <c r="P52" s="3559"/>
      <c r="Q52" s="3559"/>
      <c r="R52" s="3559"/>
      <c r="S52" s="3559"/>
      <c r="T52" s="3560"/>
    </row>
    <row r="53" spans="1:48" ht="20.100000000000001" customHeight="1">
      <c r="A53" s="3451" t="s">
        <v>1818</v>
      </c>
      <c r="B53" s="2868"/>
      <c r="C53" s="2868"/>
      <c r="D53" s="2868"/>
      <c r="E53" s="2868"/>
      <c r="F53" s="2868"/>
      <c r="G53" s="2868"/>
      <c r="H53" s="3906" t="str">
        <f>IF(ISBLANK(F15),"",MAX(K7,K5))</f>
        <v/>
      </c>
      <c r="I53" s="3906"/>
      <c r="J53" s="85" t="s">
        <v>2295</v>
      </c>
      <c r="K53" s="85"/>
      <c r="L53" s="85"/>
      <c r="M53" s="85"/>
      <c r="N53" s="3906" t="str">
        <f>IF(ISBLANK(F15),"  ",K50)</f>
        <v xml:space="preserve">  </v>
      </c>
      <c r="O53" s="3906"/>
      <c r="P53" s="85" t="s">
        <v>2296</v>
      </c>
      <c r="S53" s="85"/>
      <c r="T53" s="518"/>
    </row>
    <row r="54" spans="1:48" ht="81" customHeight="1" thickBot="1">
      <c r="A54" s="3904" t="s">
        <v>719</v>
      </c>
      <c r="B54" s="3905"/>
      <c r="C54" s="3905"/>
      <c r="D54" s="3907"/>
      <c r="E54" s="3907"/>
      <c r="F54" s="3907"/>
      <c r="G54" s="3907"/>
      <c r="H54" s="3907"/>
      <c r="I54" s="3907"/>
      <c r="J54" s="3907"/>
      <c r="K54" s="3907"/>
      <c r="L54" s="3907"/>
      <c r="M54" s="3907"/>
      <c r="N54" s="3907"/>
      <c r="O54" s="3907"/>
      <c r="P54" s="3907"/>
      <c r="Q54" s="3907"/>
      <c r="R54" s="3907"/>
      <c r="S54" s="3907"/>
      <c r="T54" s="3908"/>
    </row>
    <row r="55" spans="1:48" ht="24.75" customHeight="1">
      <c r="AV55" s="17"/>
    </row>
    <row r="56" spans="1:48" ht="24.75" customHeight="1">
      <c r="AV56" s="17"/>
    </row>
    <row r="57" spans="1:48" ht="24.75" customHeight="1">
      <c r="AV57" s="17"/>
    </row>
    <row r="58" spans="1:48" ht="24.75" customHeight="1">
      <c r="AV58" s="17"/>
    </row>
    <row r="59" spans="1:48" ht="24.75" customHeight="1">
      <c r="AV59" s="17"/>
    </row>
    <row r="60" spans="1:48" ht="24.75" customHeight="1">
      <c r="AV60" s="17"/>
    </row>
    <row r="61" spans="1:48" ht="24.75" customHeight="1">
      <c r="AV61" s="17"/>
    </row>
    <row r="62" spans="1:48" ht="24.75" customHeight="1">
      <c r="AV62" s="17"/>
    </row>
    <row r="63" spans="1:48" ht="24.75" customHeight="1">
      <c r="AV63" s="17"/>
    </row>
    <row r="64" spans="1:48" ht="24.75" customHeight="1">
      <c r="AV64" s="17"/>
    </row>
    <row r="65" spans="27:48" ht="24.75" customHeight="1">
      <c r="AV65" s="17"/>
    </row>
    <row r="66" spans="27:48" ht="24.75" customHeight="1">
      <c r="AV66" s="17"/>
    </row>
    <row r="67" spans="27:48" ht="24.75" customHeight="1">
      <c r="AV67" s="17"/>
    </row>
    <row r="68" spans="27:48" ht="24.75" customHeight="1">
      <c r="AV68" s="17"/>
    </row>
    <row r="69" spans="27:48" ht="24.75" customHeight="1">
      <c r="AV69" s="17"/>
    </row>
    <row r="70" spans="27:48" ht="24.75" customHeight="1">
      <c r="AV70" s="17"/>
    </row>
    <row r="71" spans="27:48" ht="24.75" customHeight="1">
      <c r="AV71" s="17"/>
    </row>
    <row r="72" spans="27:48" ht="24.75" customHeight="1">
      <c r="AV72" s="17"/>
    </row>
    <row r="73" spans="27:48" ht="24.75" customHeight="1">
      <c r="AV73" s="17"/>
    </row>
    <row r="74" spans="27:48" ht="24.75" customHeight="1">
      <c r="AV74" s="17"/>
    </row>
    <row r="75" spans="27:48" ht="24.75" customHeight="1">
      <c r="AV75" s="17"/>
    </row>
    <row r="76" spans="27:48" ht="24.75" customHeight="1">
      <c r="AV76" s="17"/>
    </row>
    <row r="77" spans="27:48" ht="24.75" customHeight="1">
      <c r="AA77" s="19"/>
      <c r="AV77" s="17"/>
    </row>
    <row r="78" spans="27:48" ht="24.75" customHeight="1">
      <c r="AA78" s="17"/>
    </row>
    <row r="79" spans="27:48" ht="24.75" customHeight="1">
      <c r="AA79" s="19"/>
    </row>
    <row r="80" spans="27:48" ht="24.75" customHeight="1">
      <c r="AA80" s="19"/>
    </row>
    <row r="81" spans="27:28" ht="24.75" customHeight="1">
      <c r="AA81" s="32"/>
    </row>
    <row r="88" spans="27:28" ht="24.75" customHeight="1">
      <c r="AB88" s="17"/>
    </row>
    <row r="89" spans="27:28" ht="24.75" customHeight="1">
      <c r="AB89" s="17"/>
    </row>
    <row r="90" spans="27:28" ht="24.75" customHeight="1">
      <c r="AB90" s="17"/>
    </row>
    <row r="91" spans="27:28" ht="24.75" customHeight="1">
      <c r="AB91" s="17"/>
    </row>
    <row r="92" spans="27:28" ht="24.75" customHeight="1">
      <c r="AB92" s="17"/>
    </row>
    <row r="93" spans="27:28" ht="24.75" customHeight="1">
      <c r="AB93" s="17"/>
    </row>
    <row r="94" spans="27:28" ht="24.75" customHeight="1">
      <c r="AB94" s="17"/>
    </row>
    <row r="95" spans="27:28" ht="24.75" customHeight="1">
      <c r="AB95" s="17"/>
    </row>
    <row r="96" spans="27:28" ht="24.75" customHeight="1">
      <c r="AB96" s="17"/>
    </row>
    <row r="97" spans="28:28" ht="24.75" customHeight="1">
      <c r="AB97" s="17"/>
    </row>
    <row r="98" spans="28:28" ht="24.75" customHeight="1">
      <c r="AB98" s="17"/>
    </row>
    <row r="99" spans="28:28" ht="24.75" customHeight="1">
      <c r="AB99" s="17"/>
    </row>
    <row r="100" spans="28:28" ht="24.75" customHeight="1">
      <c r="AB100" s="17"/>
    </row>
    <row r="101" spans="28:28" ht="24.75" customHeight="1">
      <c r="AB101" s="17"/>
    </row>
    <row r="102" spans="28:28" ht="24.75" customHeight="1">
      <c r="AB102" s="17"/>
    </row>
    <row r="103" spans="28:28" ht="24.75" customHeight="1">
      <c r="AB103" s="17"/>
    </row>
    <row r="104" spans="28:28" ht="24.75" customHeight="1">
      <c r="AB104" s="17"/>
    </row>
    <row r="105" spans="28:28" ht="24.75" customHeight="1">
      <c r="AB105" s="17"/>
    </row>
    <row r="106" spans="28:28" ht="24.75" customHeight="1">
      <c r="AB106" s="17"/>
    </row>
    <row r="107" spans="28:28" ht="24.75" customHeight="1">
      <c r="AB107" s="17"/>
    </row>
    <row r="108" spans="28:28" ht="24.75" customHeight="1">
      <c r="AB108" s="17"/>
    </row>
    <row r="109" spans="28:28" ht="24.75" customHeight="1">
      <c r="AB109" s="17"/>
    </row>
    <row r="110" spans="28:28" ht="24.75" customHeight="1">
      <c r="AB110" s="17"/>
    </row>
    <row r="111" spans="28:28" ht="24.75" customHeight="1">
      <c r="AB111" s="17"/>
    </row>
    <row r="112" spans="28:28" ht="24.75" customHeight="1">
      <c r="AB112" s="17"/>
    </row>
    <row r="113" spans="28:28" ht="24.75" customHeight="1">
      <c r="AB113" s="17"/>
    </row>
    <row r="114" spans="28:28" ht="24.75" customHeight="1">
      <c r="AB114" s="17"/>
    </row>
    <row r="115" spans="28:28" ht="24.75" customHeight="1">
      <c r="AB115" s="17"/>
    </row>
    <row r="116" spans="28:28" ht="24.75" customHeight="1">
      <c r="AB116" s="17"/>
    </row>
    <row r="117" spans="28:28" ht="24.75" customHeight="1">
      <c r="AB117" s="17"/>
    </row>
    <row r="118" spans="28:28" ht="24.75" customHeight="1">
      <c r="AB118" s="17"/>
    </row>
    <row r="119" spans="28:28" ht="24.75" customHeight="1">
      <c r="AB119" s="17"/>
    </row>
    <row r="120" spans="28:28" ht="24.75" customHeight="1">
      <c r="AB120" s="17"/>
    </row>
    <row r="121" spans="28:28" ht="24.75" customHeight="1">
      <c r="AB121" s="17"/>
    </row>
    <row r="122" spans="28:28" ht="24.75" customHeight="1">
      <c r="AB122" s="17"/>
    </row>
    <row r="123" spans="28:28" ht="24.75" customHeight="1">
      <c r="AB123" s="17"/>
    </row>
    <row r="124" spans="28:28" ht="24.75" customHeight="1">
      <c r="AB124" s="17"/>
    </row>
    <row r="125" spans="28:28" ht="24.75" customHeight="1">
      <c r="AB125" s="17"/>
    </row>
    <row r="126" spans="28:28" ht="24.75" customHeight="1">
      <c r="AB126" s="17"/>
    </row>
    <row r="127" spans="28:28" ht="24.75" customHeight="1">
      <c r="AB127" s="17"/>
    </row>
    <row r="128" spans="28:28" ht="24.75" customHeight="1">
      <c r="AB128" s="17"/>
    </row>
  </sheetData>
  <sheetProtection sheet="1" objects="1" scenarios="1"/>
  <customSheetViews>
    <customSheetView guid="{D1431318-1DB8-4C45-813B-5A8065DFC797}" showPageBreaks="1" showGridLines="0" zeroValues="0" printArea="1" view="pageBreakPreview">
      <selection activeCell="F20" sqref="F20:G20"/>
      <pageMargins left="0" right="0" top="0" bottom="0" header="0" footer="0"/>
      <printOptions horizontalCentered="1"/>
      <pageSetup scale="74" orientation="portrait" blackAndWhite="1" r:id="rId1"/>
      <headerFooter alignWithMargins="0"/>
    </customSheetView>
  </customSheetViews>
  <mergeCells count="104">
    <mergeCell ref="H4:J4"/>
    <mergeCell ref="B4:G4"/>
    <mergeCell ref="E1:P1"/>
    <mergeCell ref="K25:L26"/>
    <mergeCell ref="B25:D26"/>
    <mergeCell ref="B36:D36"/>
    <mergeCell ref="B35:D35"/>
    <mergeCell ref="B34:D34"/>
    <mergeCell ref="B29:D29"/>
    <mergeCell ref="B28:D28"/>
    <mergeCell ref="B30:D30"/>
    <mergeCell ref="B27:D27"/>
    <mergeCell ref="E25:F26"/>
    <mergeCell ref="H27:I27"/>
    <mergeCell ref="H25:I26"/>
    <mergeCell ref="H30:I30"/>
    <mergeCell ref="E32:F32"/>
    <mergeCell ref="E28:F28"/>
    <mergeCell ref="E29:F29"/>
    <mergeCell ref="K27:L27"/>
    <mergeCell ref="E27:F27"/>
    <mergeCell ref="B31:D31"/>
    <mergeCell ref="H28:I28"/>
    <mergeCell ref="H29:I29"/>
    <mergeCell ref="E30:F30"/>
    <mergeCell ref="B32:D32"/>
    <mergeCell ref="B33:D33"/>
    <mergeCell ref="E37:F37"/>
    <mergeCell ref="H37:I37"/>
    <mergeCell ref="K33:L33"/>
    <mergeCell ref="H33:I33"/>
    <mergeCell ref="H32:I32"/>
    <mergeCell ref="H31:I31"/>
    <mergeCell ref="H35:I35"/>
    <mergeCell ref="E35:F35"/>
    <mergeCell ref="E33:F33"/>
    <mergeCell ref="E31:F31"/>
    <mergeCell ref="E34:F34"/>
    <mergeCell ref="H34:I34"/>
    <mergeCell ref="B37:D37"/>
    <mergeCell ref="K37:L37"/>
    <mergeCell ref="A53:G53"/>
    <mergeCell ref="AC29:AD29"/>
    <mergeCell ref="AC30:AD30"/>
    <mergeCell ref="AC34:AD34"/>
    <mergeCell ref="AC32:AD32"/>
    <mergeCell ref="AC33:AD33"/>
    <mergeCell ref="A54:C54"/>
    <mergeCell ref="H53:I53"/>
    <mergeCell ref="N53:O53"/>
    <mergeCell ref="D54:T54"/>
    <mergeCell ref="AC35:AD35"/>
    <mergeCell ref="AC31:AD31"/>
    <mergeCell ref="B42:C42"/>
    <mergeCell ref="H47:I47"/>
    <mergeCell ref="D50:E50"/>
    <mergeCell ref="H50:I50"/>
    <mergeCell ref="B47:C47"/>
    <mergeCell ref="B48:S48"/>
    <mergeCell ref="B45:C45"/>
    <mergeCell ref="H45:K45"/>
    <mergeCell ref="D45:F45"/>
    <mergeCell ref="K29:L29"/>
    <mergeCell ref="E36:F36"/>
    <mergeCell ref="H36:I36"/>
    <mergeCell ref="AC26:AD26"/>
    <mergeCell ref="AC27:AD27"/>
    <mergeCell ref="AC28:AD28"/>
    <mergeCell ref="K39:L39"/>
    <mergeCell ref="K50:L50"/>
    <mergeCell ref="K30:L30"/>
    <mergeCell ref="K35:L35"/>
    <mergeCell ref="K34:L34"/>
    <mergeCell ref="K32:L32"/>
    <mergeCell ref="K31:L31"/>
    <mergeCell ref="P47:Q47"/>
    <mergeCell ref="M47:N47"/>
    <mergeCell ref="K36:L36"/>
    <mergeCell ref="K28:L28"/>
    <mergeCell ref="N39:T41"/>
    <mergeCell ref="I2:J2"/>
    <mergeCell ref="K2:L2"/>
    <mergeCell ref="G11:H11"/>
    <mergeCell ref="J11:K11"/>
    <mergeCell ref="D47:E47"/>
    <mergeCell ref="K5:L5"/>
    <mergeCell ref="A52:T52"/>
    <mergeCell ref="B15:E15"/>
    <mergeCell ref="A13:T13"/>
    <mergeCell ref="O17:P17"/>
    <mergeCell ref="I17:L19"/>
    <mergeCell ref="F19:G19"/>
    <mergeCell ref="N5:O5"/>
    <mergeCell ref="L11:M11"/>
    <mergeCell ref="K6:L6"/>
    <mergeCell ref="F17:G17"/>
    <mergeCell ref="F15:G15"/>
    <mergeCell ref="B16:H16"/>
    <mergeCell ref="M17:N17"/>
    <mergeCell ref="N11:O11"/>
    <mergeCell ref="K9:L9"/>
    <mergeCell ref="K7:L7"/>
    <mergeCell ref="E42:F42"/>
    <mergeCell ref="H42:I42"/>
  </mergeCells>
  <phoneticPr fontId="26" type="noConversion"/>
  <dataValidations count="2">
    <dataValidation type="decimal" allowBlank="1" showInputMessage="1" showErrorMessage="1" sqref="K6" xr:uid="{00000000-0002-0000-1F00-000000000000}">
      <formula1>10</formula1>
      <formula2>45</formula2>
    </dataValidation>
    <dataValidation type="list" allowBlank="1" showInputMessage="1" showErrorMessage="1" sqref="H4:J4" xr:uid="{00000000-0002-0000-1F00-000001000000}">
      <formula1>Gravity_Or_Pressure</formula1>
    </dataValidation>
  </dataValidations>
  <printOptions horizontalCentered="1"/>
  <pageMargins left="0.4" right="0.4" top="0.4" bottom="0.4" header="0.5" footer="0.5"/>
  <pageSetup scale="74" orientation="portrait" blackAndWhite="1" r:id="rId2"/>
  <headerFooter alignWithMargins="0"/>
  <drawing r:id="rId3"/>
  <legacyDrawing r:id="rId4"/>
  <oleObjects>
    <mc:AlternateContent xmlns:mc="http://schemas.openxmlformats.org/markup-compatibility/2006">
      <mc:Choice Requires="x14">
        <oleObject progId="Equation.3" shapeId="43019" r:id="rId5">
          <objectPr defaultSize="0" autoPict="0" r:id="rId6">
            <anchor moveWithCells="1" sizeWithCells="1">
              <from>
                <xdr:col>13</xdr:col>
                <xdr:colOff>257175</xdr:colOff>
                <xdr:row>32</xdr:row>
                <xdr:rowOff>104775</xdr:rowOff>
              </from>
              <to>
                <xdr:col>18</xdr:col>
                <xdr:colOff>66675</xdr:colOff>
                <xdr:row>34</xdr:row>
                <xdr:rowOff>123825</xdr:rowOff>
              </to>
            </anchor>
          </objectPr>
        </oleObject>
      </mc:Choice>
      <mc:Fallback>
        <oleObject progId="Equation.3" shapeId="43019" r:id="rId5"/>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F00-000002000000}">
          <x14:formula1>
            <xm:f>'Drop-Down Lists'!$BO$2:$BO$4</xm:f>
          </x14:formula1>
          <xm:sqref>F17:G17</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8">
    <tabColor rgb="FF66FF33"/>
    <pageSetUpPr fitToPage="1"/>
  </sheetPr>
  <dimension ref="A1:AQ165"/>
  <sheetViews>
    <sheetView view="pageBreakPreview" zoomScaleNormal="100" zoomScaleSheetLayoutView="100" workbookViewId="0">
      <selection activeCell="D7" sqref="D7"/>
    </sheetView>
  </sheetViews>
  <sheetFormatPr defaultColWidth="8.42578125" defaultRowHeight="16.5"/>
  <cols>
    <col min="1" max="1" width="3.140625" style="810" customWidth="1"/>
    <col min="2" max="2" width="11.140625" style="810" customWidth="1"/>
    <col min="3" max="3" width="9" style="810" customWidth="1"/>
    <col min="4" max="6" width="13.85546875" style="810" customWidth="1"/>
    <col min="7" max="7" width="25.42578125" style="810" customWidth="1"/>
    <col min="8" max="16384" width="8.42578125" style="810"/>
  </cols>
  <sheetData>
    <row r="1" spans="1:43" ht="54.95" customHeight="1" thickBot="1">
      <c r="A1" s="809"/>
      <c r="D1" s="3925" t="s">
        <v>2297</v>
      </c>
      <c r="E1" s="3925"/>
      <c r="F1" s="3925"/>
      <c r="G1" s="1013"/>
      <c r="H1" s="811"/>
      <c r="I1" s="81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row>
    <row r="2" spans="1:43" s="1" customFormat="1" ht="18" customHeight="1" thickBot="1">
      <c r="A2" s="1019"/>
      <c r="B2" s="445"/>
      <c r="C2" s="445"/>
      <c r="D2" s="445" t="s">
        <v>1164</v>
      </c>
      <c r="E2" s="3937" t="str">
        <f>IF(ISBLANK('Design Details &amp; Summary'!L3)," ",'Design Details &amp; Summary'!L3)</f>
        <v xml:space="preserve"> </v>
      </c>
      <c r="F2" s="3937"/>
      <c r="G2" s="761" t="str">
        <f>'Drop-Down Lists'!A2</f>
        <v>v 05.01.2026</v>
      </c>
      <c r="H2" s="3940"/>
      <c r="I2" s="3940"/>
      <c r="J2" s="3940"/>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row>
    <row r="3" spans="1:43" s="1027" customFormat="1" ht="6" customHeight="1">
      <c r="A3" s="1461"/>
      <c r="B3" s="1462"/>
      <c r="C3" s="1463"/>
      <c r="D3" s="1463"/>
      <c r="E3" s="1463"/>
      <c r="F3" s="1463"/>
      <c r="G3" s="1464"/>
      <c r="H3" s="1024"/>
      <c r="I3" s="1025"/>
      <c r="J3" s="1025"/>
      <c r="K3" s="1022"/>
      <c r="L3" s="1022"/>
      <c r="M3" s="1022"/>
      <c r="N3" s="1026"/>
      <c r="O3" s="1026"/>
      <c r="P3" s="1026"/>
      <c r="Q3" s="1026"/>
      <c r="R3" s="1026"/>
      <c r="S3" s="1026"/>
      <c r="T3" s="1026"/>
      <c r="U3" s="1026"/>
      <c r="V3" s="1026"/>
      <c r="W3" s="1026"/>
      <c r="X3" s="1026"/>
      <c r="Y3" s="1026"/>
      <c r="Z3" s="1026"/>
      <c r="AA3" s="1026"/>
      <c r="AB3" s="1026"/>
      <c r="AC3" s="1026"/>
      <c r="AD3" s="1026"/>
      <c r="AE3" s="1026"/>
      <c r="AF3" s="1026"/>
      <c r="AG3" s="1026"/>
      <c r="AH3" s="1026"/>
      <c r="AI3" s="1026"/>
      <c r="AJ3" s="1026"/>
      <c r="AK3" s="1026"/>
      <c r="AL3" s="1026"/>
      <c r="AM3" s="1026"/>
      <c r="AN3" s="1026"/>
      <c r="AO3" s="1026"/>
      <c r="AP3" s="1026"/>
      <c r="AQ3" s="1026"/>
    </row>
    <row r="4" spans="1:43" s="1027" customFormat="1" ht="19.5" customHeight="1">
      <c r="A4" s="3935" t="s">
        <v>2298</v>
      </c>
      <c r="B4" s="3936"/>
      <c r="C4" s="3936"/>
      <c r="D4" s="3936"/>
      <c r="E4" s="3936"/>
      <c r="F4" s="1022"/>
      <c r="G4" s="1023"/>
      <c r="H4" s="1024"/>
      <c r="I4" s="1025"/>
      <c r="J4" s="1025"/>
      <c r="K4" s="1022"/>
      <c r="L4" s="1022"/>
      <c r="M4" s="1022"/>
      <c r="N4" s="1026"/>
      <c r="O4" s="1026"/>
      <c r="P4" s="1026"/>
      <c r="Q4" s="1026"/>
      <c r="R4" s="1026"/>
      <c r="S4" s="1026"/>
      <c r="T4" s="1026"/>
      <c r="U4" s="1026"/>
      <c r="V4" s="1026"/>
      <c r="W4" s="1026"/>
      <c r="X4" s="1026"/>
      <c r="Y4" s="1026"/>
      <c r="Z4" s="1026"/>
      <c r="AA4" s="1026"/>
      <c r="AB4" s="1026"/>
      <c r="AC4" s="1026"/>
      <c r="AD4" s="1026"/>
      <c r="AE4" s="1026"/>
      <c r="AF4" s="1026"/>
      <c r="AG4" s="1026"/>
      <c r="AH4" s="1026"/>
      <c r="AI4" s="1026"/>
      <c r="AJ4" s="1026"/>
      <c r="AK4" s="1026"/>
      <c r="AL4" s="1026"/>
      <c r="AM4" s="1026"/>
      <c r="AN4" s="1026"/>
      <c r="AO4" s="1026"/>
      <c r="AP4" s="1026"/>
      <c r="AQ4" s="1026"/>
    </row>
    <row r="5" spans="1:43" s="1027" customFormat="1" ht="6" customHeight="1">
      <c r="A5" s="1020"/>
      <c r="B5" s="1021"/>
      <c r="C5" s="1022"/>
      <c r="D5" s="1022"/>
      <c r="E5" s="1022"/>
      <c r="F5" s="1022"/>
      <c r="G5" s="1023"/>
      <c r="H5" s="1024"/>
      <c r="I5" s="1025"/>
      <c r="J5" s="1025"/>
      <c r="K5" s="1022"/>
      <c r="L5" s="1022"/>
      <c r="M5" s="1022"/>
      <c r="N5" s="1026"/>
      <c r="O5" s="1026"/>
      <c r="P5" s="1026"/>
      <c r="Q5" s="1026"/>
      <c r="R5" s="1026"/>
      <c r="S5" s="1026"/>
      <c r="T5" s="1026"/>
      <c r="U5" s="1026"/>
      <c r="V5" s="1026"/>
      <c r="W5" s="1026"/>
      <c r="X5" s="1026"/>
      <c r="Y5" s="1026"/>
      <c r="Z5" s="1026"/>
      <c r="AA5" s="1026"/>
      <c r="AB5" s="1026"/>
      <c r="AC5" s="1026"/>
      <c r="AD5" s="1026"/>
      <c r="AE5" s="1026"/>
      <c r="AF5" s="1026"/>
      <c r="AG5" s="1026"/>
      <c r="AH5" s="1026"/>
      <c r="AI5" s="1026"/>
      <c r="AJ5" s="1026"/>
      <c r="AK5" s="1026"/>
      <c r="AL5" s="1026"/>
      <c r="AM5" s="1026"/>
      <c r="AN5" s="1026"/>
      <c r="AO5" s="1026"/>
      <c r="AP5" s="1026"/>
      <c r="AQ5" s="1026"/>
    </row>
    <row r="6" spans="1:43" s="1035" customFormat="1" ht="32.1" customHeight="1">
      <c r="A6" s="1028"/>
      <c r="B6" s="1451"/>
      <c r="C6" s="1029" t="s">
        <v>591</v>
      </c>
      <c r="D6" s="1030" t="s">
        <v>2299</v>
      </c>
      <c r="E6" s="1030" t="s">
        <v>2300</v>
      </c>
      <c r="F6" s="1030" t="s">
        <v>2301</v>
      </c>
      <c r="G6" s="3934" t="s">
        <v>2302</v>
      </c>
      <c r="H6" s="1031"/>
      <c r="I6" s="1032"/>
      <c r="J6" s="1033"/>
      <c r="K6" s="1034"/>
      <c r="L6" s="1034"/>
      <c r="M6" s="1034"/>
      <c r="N6" s="1034"/>
      <c r="O6" s="1034"/>
      <c r="P6" s="1034"/>
      <c r="Q6" s="1034"/>
      <c r="R6" s="1034"/>
      <c r="S6" s="1034"/>
      <c r="T6" s="1034"/>
      <c r="U6" s="1034"/>
      <c r="V6" s="1034"/>
      <c r="W6" s="1034"/>
      <c r="X6" s="1034"/>
      <c r="Y6" s="1034"/>
      <c r="Z6" s="1034"/>
      <c r="AA6" s="1034"/>
      <c r="AB6" s="1034"/>
      <c r="AC6" s="1034"/>
      <c r="AD6" s="1034"/>
      <c r="AE6" s="1034"/>
      <c r="AF6" s="1034"/>
      <c r="AG6" s="1034"/>
      <c r="AH6" s="1034"/>
      <c r="AI6" s="1034"/>
      <c r="AJ6" s="1034"/>
      <c r="AK6" s="1034"/>
      <c r="AL6" s="1034"/>
      <c r="AM6" s="1034"/>
      <c r="AN6" s="1034"/>
      <c r="AO6" s="1034"/>
      <c r="AP6" s="1034"/>
      <c r="AQ6" s="1034"/>
    </row>
    <row r="7" spans="1:43" s="1027" customFormat="1" ht="19.5" customHeight="1">
      <c r="A7" s="1036"/>
      <c r="B7" s="1452"/>
      <c r="C7" s="1037">
        <v>1</v>
      </c>
      <c r="D7" s="1038"/>
      <c r="E7" s="1039" t="str">
        <f t="shared" ref="E7:E13" si="0">$D$19</f>
        <v/>
      </c>
      <c r="F7" s="1040" t="str">
        <f>IF(ISBLANK(D7), "", D7-E7)</f>
        <v/>
      </c>
      <c r="G7" s="3934"/>
      <c r="H7" s="1022"/>
      <c r="I7" s="1033"/>
      <c r="J7" s="1033"/>
      <c r="K7" s="1033"/>
      <c r="L7" s="1033"/>
      <c r="M7" s="1022"/>
      <c r="N7" s="1022"/>
      <c r="O7" s="1022"/>
      <c r="P7" s="1022"/>
      <c r="Q7" s="1022"/>
      <c r="R7" s="1022"/>
      <c r="S7" s="1022"/>
      <c r="T7" s="1022"/>
      <c r="U7" s="1022"/>
      <c r="V7" s="1022"/>
      <c r="W7" s="1022"/>
      <c r="X7" s="1022"/>
      <c r="Y7" s="1022"/>
      <c r="Z7" s="1022"/>
      <c r="AA7" s="1022"/>
      <c r="AB7" s="1022"/>
      <c r="AC7" s="1022"/>
      <c r="AD7" s="1022"/>
      <c r="AE7" s="1022"/>
      <c r="AF7" s="1022"/>
      <c r="AG7" s="1022"/>
      <c r="AH7" s="1022"/>
      <c r="AI7" s="1022"/>
      <c r="AJ7" s="1022"/>
      <c r="AK7" s="1022"/>
      <c r="AL7" s="1022"/>
      <c r="AM7" s="1022"/>
      <c r="AN7" s="1022"/>
      <c r="AO7" s="1022"/>
      <c r="AP7" s="1022"/>
      <c r="AQ7" s="1022"/>
    </row>
    <row r="8" spans="1:43" s="1027" customFormat="1" ht="19.5" customHeight="1">
      <c r="A8" s="1036"/>
      <c r="B8" s="1452"/>
      <c r="C8" s="1037">
        <v>2</v>
      </c>
      <c r="D8" s="1042"/>
      <c r="E8" s="1043" t="str">
        <f t="shared" si="0"/>
        <v/>
      </c>
      <c r="F8" s="1044" t="str">
        <f t="shared" ref="F8:F13" si="1">IF(ISBLANK(D8), "", (D8+F7)-E8)</f>
        <v/>
      </c>
      <c r="G8" s="1041"/>
      <c r="H8" s="1045"/>
      <c r="I8" s="1045"/>
      <c r="J8" s="1045"/>
      <c r="K8" s="1022"/>
      <c r="L8" s="1022"/>
      <c r="M8" s="1022"/>
      <c r="N8" s="1022"/>
      <c r="O8" s="1022"/>
      <c r="P8" s="1022"/>
      <c r="Q8" s="1022"/>
      <c r="R8" s="1022"/>
      <c r="S8" s="1022"/>
      <c r="T8" s="1022"/>
      <c r="U8" s="1022"/>
      <c r="V8" s="1022"/>
      <c r="W8" s="1022"/>
      <c r="X8" s="1022"/>
      <c r="Y8" s="1022"/>
      <c r="Z8" s="1022"/>
      <c r="AA8" s="1022"/>
      <c r="AB8" s="1022"/>
      <c r="AC8" s="1022"/>
      <c r="AD8" s="1022"/>
      <c r="AE8" s="1022"/>
      <c r="AF8" s="1022"/>
      <c r="AG8" s="1022"/>
      <c r="AH8" s="1022"/>
      <c r="AI8" s="1022"/>
      <c r="AJ8" s="1022"/>
      <c r="AK8" s="1022"/>
      <c r="AL8" s="1022"/>
      <c r="AM8" s="1022"/>
      <c r="AN8" s="1022"/>
      <c r="AO8" s="1022"/>
    </row>
    <row r="9" spans="1:43" s="1027" customFormat="1" ht="19.5" customHeight="1">
      <c r="A9" s="1036"/>
      <c r="B9" s="1452"/>
      <c r="C9" s="1037">
        <v>3</v>
      </c>
      <c r="D9" s="1042"/>
      <c r="E9" s="1043" t="str">
        <f t="shared" si="0"/>
        <v/>
      </c>
      <c r="F9" s="1044" t="str">
        <f t="shared" si="1"/>
        <v/>
      </c>
      <c r="G9" s="1046"/>
      <c r="H9" s="1045"/>
      <c r="I9" s="1045"/>
      <c r="J9" s="1045"/>
      <c r="K9" s="1022"/>
      <c r="L9" s="1022"/>
      <c r="M9" s="1022"/>
      <c r="N9" s="1022"/>
      <c r="O9" s="1022"/>
      <c r="P9" s="1022"/>
      <c r="Q9" s="1022"/>
      <c r="R9" s="1022"/>
      <c r="S9" s="1022"/>
      <c r="T9" s="1022"/>
      <c r="U9" s="1022"/>
      <c r="V9" s="1022"/>
      <c r="W9" s="1022"/>
      <c r="X9" s="1022"/>
      <c r="Y9" s="1022"/>
      <c r="Z9" s="1022"/>
      <c r="AA9" s="1022"/>
      <c r="AB9" s="1022"/>
      <c r="AC9" s="1022"/>
      <c r="AD9" s="1022"/>
      <c r="AE9" s="1022"/>
      <c r="AF9" s="1022"/>
      <c r="AG9" s="1022"/>
      <c r="AH9" s="1022"/>
      <c r="AI9" s="1022"/>
      <c r="AJ9" s="1022"/>
      <c r="AK9" s="1022"/>
      <c r="AL9" s="1022"/>
      <c r="AM9" s="1022"/>
      <c r="AN9" s="1022"/>
      <c r="AO9" s="1022"/>
    </row>
    <row r="10" spans="1:43" s="1027" customFormat="1" ht="19.5" customHeight="1">
      <c r="A10" s="1036"/>
      <c r="B10" s="1452"/>
      <c r="C10" s="1037">
        <v>4</v>
      </c>
      <c r="D10" s="1042"/>
      <c r="E10" s="1043" t="str">
        <f t="shared" si="0"/>
        <v/>
      </c>
      <c r="F10" s="1044" t="str">
        <f t="shared" si="1"/>
        <v/>
      </c>
      <c r="G10" s="1046"/>
      <c r="H10" s="1022"/>
      <c r="I10" s="1022"/>
      <c r="J10" s="1022"/>
      <c r="K10" s="1022"/>
      <c r="L10" s="1022"/>
      <c r="M10" s="1022"/>
      <c r="N10" s="1022"/>
      <c r="O10" s="1022"/>
      <c r="P10" s="1022"/>
      <c r="Q10" s="1022"/>
      <c r="R10" s="1022"/>
      <c r="S10" s="1022"/>
      <c r="T10" s="1022"/>
      <c r="U10" s="1022"/>
      <c r="V10" s="1022"/>
      <c r="W10" s="1022"/>
      <c r="X10" s="1022"/>
      <c r="Y10" s="1022"/>
      <c r="Z10" s="1022"/>
      <c r="AA10" s="1022"/>
      <c r="AB10" s="1022"/>
      <c r="AC10" s="1022"/>
      <c r="AD10" s="1022"/>
      <c r="AE10" s="1022"/>
      <c r="AF10" s="1022"/>
      <c r="AG10" s="1022"/>
      <c r="AH10" s="1022"/>
      <c r="AI10" s="1022"/>
      <c r="AJ10" s="1022"/>
      <c r="AK10" s="1022"/>
      <c r="AL10" s="1022"/>
      <c r="AM10" s="1022"/>
      <c r="AN10" s="1022"/>
      <c r="AO10" s="1022"/>
    </row>
    <row r="11" spans="1:43" s="1027" customFormat="1" ht="19.5" customHeight="1">
      <c r="A11" s="1036"/>
      <c r="B11" s="1452"/>
      <c r="C11" s="1037">
        <v>5</v>
      </c>
      <c r="D11" s="1042"/>
      <c r="E11" s="1043" t="str">
        <f t="shared" si="0"/>
        <v/>
      </c>
      <c r="F11" s="1044" t="str">
        <f t="shared" si="1"/>
        <v/>
      </c>
      <c r="G11" s="1041"/>
      <c r="H11" s="1025"/>
      <c r="I11" s="1022"/>
      <c r="J11" s="1022"/>
      <c r="K11" s="1047"/>
      <c r="L11" s="1047"/>
      <c r="M11" s="1047"/>
      <c r="N11" s="1047"/>
      <c r="O11" s="1047"/>
      <c r="P11" s="1047"/>
      <c r="Q11" s="1047"/>
      <c r="R11" s="1047"/>
      <c r="S11" s="1022"/>
      <c r="T11" s="1048"/>
      <c r="U11" s="1049"/>
      <c r="V11" s="1049"/>
      <c r="W11" s="1050"/>
      <c r="X11" s="1050"/>
      <c r="Y11" s="1050"/>
      <c r="Z11" s="1050"/>
      <c r="AA11" s="1050"/>
      <c r="AB11" s="1048"/>
      <c r="AC11" s="1048"/>
      <c r="AD11" s="1048"/>
      <c r="AE11" s="1048"/>
      <c r="AF11" s="1048"/>
      <c r="AG11" s="1048"/>
      <c r="AH11" s="1048"/>
      <c r="AI11" s="1048"/>
      <c r="AJ11" s="1048"/>
      <c r="AK11" s="1048"/>
      <c r="AL11" s="1048"/>
      <c r="AM11" s="1048"/>
      <c r="AN11" s="1048"/>
      <c r="AO11" s="1048"/>
    </row>
    <row r="12" spans="1:43" s="1027" customFormat="1" ht="19.5" customHeight="1">
      <c r="A12" s="1036"/>
      <c r="B12" s="1452"/>
      <c r="C12" s="1037">
        <v>6</v>
      </c>
      <c r="D12" s="1042"/>
      <c r="E12" s="1043" t="str">
        <f t="shared" si="0"/>
        <v/>
      </c>
      <c r="F12" s="1044" t="str">
        <f t="shared" si="1"/>
        <v/>
      </c>
      <c r="G12" s="1046"/>
      <c r="H12" s="1051"/>
      <c r="I12" s="1022"/>
      <c r="J12" s="1022"/>
      <c r="K12" s="1022"/>
      <c r="L12" s="1022"/>
      <c r="M12" s="1022"/>
      <c r="N12" s="1022"/>
      <c r="O12" s="1022"/>
      <c r="P12" s="1022"/>
      <c r="Q12" s="1022"/>
      <c r="R12" s="1022"/>
      <c r="S12" s="1022"/>
      <c r="T12" s="1022"/>
      <c r="U12" s="1022"/>
      <c r="V12" s="1022"/>
      <c r="W12" s="1022"/>
      <c r="X12" s="1022"/>
      <c r="Y12" s="1022"/>
      <c r="Z12" s="1022"/>
      <c r="AA12" s="1022"/>
      <c r="AB12" s="1022"/>
      <c r="AC12" s="1022"/>
      <c r="AD12" s="1022"/>
      <c r="AE12" s="1022"/>
      <c r="AF12" s="1022"/>
      <c r="AG12" s="1022"/>
      <c r="AH12" s="1022"/>
      <c r="AI12" s="1022"/>
      <c r="AJ12" s="1022"/>
      <c r="AK12" s="1022"/>
      <c r="AL12" s="1022"/>
      <c r="AM12" s="1022"/>
      <c r="AN12" s="1022"/>
      <c r="AO12" s="1022"/>
    </row>
    <row r="13" spans="1:43" s="1027" customFormat="1" ht="19.5" customHeight="1">
      <c r="A13" s="1036"/>
      <c r="B13" s="1452"/>
      <c r="C13" s="1037">
        <v>7</v>
      </c>
      <c r="D13" s="1042"/>
      <c r="E13" s="1043" t="str">
        <f t="shared" si="0"/>
        <v/>
      </c>
      <c r="F13" s="1044" t="str">
        <f t="shared" si="1"/>
        <v/>
      </c>
      <c r="G13" s="1046"/>
      <c r="H13" s="1051"/>
      <c r="I13" s="1022"/>
      <c r="J13" s="1022"/>
      <c r="K13" s="1022"/>
      <c r="L13" s="1022"/>
      <c r="M13" s="1022"/>
      <c r="N13" s="1022"/>
      <c r="O13" s="1022"/>
      <c r="P13" s="1022"/>
      <c r="Q13" s="1022"/>
      <c r="R13" s="1022"/>
      <c r="S13" s="1022"/>
      <c r="T13" s="1022"/>
      <c r="U13" s="1022"/>
      <c r="V13" s="1022"/>
      <c r="W13" s="1022"/>
      <c r="X13" s="1022"/>
      <c r="Y13" s="1022"/>
      <c r="Z13" s="1022"/>
      <c r="AA13" s="1022"/>
      <c r="AB13" s="1022"/>
      <c r="AC13" s="1022"/>
      <c r="AD13" s="1022"/>
      <c r="AE13" s="1022"/>
      <c r="AF13" s="1022"/>
      <c r="AG13" s="1022"/>
      <c r="AH13" s="1022"/>
      <c r="AI13" s="1022"/>
      <c r="AJ13" s="1022"/>
      <c r="AK13" s="1022"/>
      <c r="AL13" s="1022"/>
      <c r="AM13" s="1022"/>
      <c r="AN13" s="1022"/>
      <c r="AO13" s="1022"/>
    </row>
    <row r="14" spans="1:43" s="1027" customFormat="1" ht="6" customHeight="1">
      <c r="A14" s="1020"/>
      <c r="B14" s="1021"/>
      <c r="C14" s="1022"/>
      <c r="D14" s="1022"/>
      <c r="E14" s="1022"/>
      <c r="F14" s="1022"/>
      <c r="G14" s="1023"/>
      <c r="H14" s="1024"/>
      <c r="I14" s="1025"/>
      <c r="J14" s="1025"/>
      <c r="K14" s="1022"/>
      <c r="L14" s="1022"/>
      <c r="M14" s="1022"/>
      <c r="N14" s="1026"/>
      <c r="O14" s="1026"/>
      <c r="P14" s="1026"/>
      <c r="Q14" s="1026"/>
      <c r="R14" s="1026"/>
      <c r="S14" s="1026"/>
      <c r="T14" s="1026"/>
      <c r="U14" s="1026"/>
      <c r="V14" s="1026"/>
      <c r="W14" s="1026"/>
      <c r="X14" s="1026"/>
      <c r="Y14" s="1026"/>
      <c r="Z14" s="1026"/>
      <c r="AA14" s="1026"/>
      <c r="AB14" s="1026"/>
      <c r="AC14" s="1026"/>
      <c r="AD14" s="1026"/>
      <c r="AE14" s="1026"/>
      <c r="AF14" s="1026"/>
      <c r="AG14" s="1026"/>
      <c r="AH14" s="1026"/>
      <c r="AI14" s="1026"/>
      <c r="AJ14" s="1026"/>
      <c r="AK14" s="1026"/>
      <c r="AL14" s="1026"/>
      <c r="AM14" s="1026"/>
      <c r="AN14" s="1026"/>
      <c r="AO14" s="1026"/>
      <c r="AP14" s="1026"/>
      <c r="AQ14" s="1026"/>
    </row>
    <row r="15" spans="1:43" s="1027" customFormat="1" ht="18" customHeight="1">
      <c r="A15" s="3955" t="s">
        <v>2303</v>
      </c>
      <c r="B15" s="2846"/>
      <c r="C15" s="2860"/>
      <c r="D15" s="1052" t="str">
        <f>IF(ISBLANK(D7),"",SUM(D7:D13))</f>
        <v/>
      </c>
      <c r="E15" s="3938" t="s">
        <v>2304</v>
      </c>
      <c r="F15" s="3939"/>
      <c r="G15" s="1053"/>
      <c r="H15" s="1024"/>
      <c r="I15" s="1025"/>
      <c r="J15" s="1051"/>
      <c r="K15" s="1022"/>
      <c r="L15" s="1022"/>
      <c r="M15" s="1022"/>
      <c r="N15" s="1022"/>
      <c r="O15" s="1022"/>
      <c r="P15" s="1022"/>
      <c r="Q15" s="1022"/>
      <c r="R15" s="1022"/>
      <c r="S15" s="1022"/>
      <c r="T15" s="1022"/>
      <c r="U15" s="1022"/>
      <c r="V15" s="1022"/>
      <c r="W15" s="1022"/>
      <c r="X15" s="1022"/>
      <c r="Y15" s="1022"/>
      <c r="Z15" s="1022"/>
      <c r="AA15" s="1022"/>
      <c r="AB15" s="1022"/>
      <c r="AC15" s="1022"/>
      <c r="AD15" s="1022"/>
      <c r="AE15" s="1022"/>
      <c r="AF15" s="1022"/>
      <c r="AG15" s="1022"/>
      <c r="AH15" s="1022"/>
      <c r="AI15" s="1022"/>
      <c r="AJ15" s="1022"/>
      <c r="AK15" s="1022"/>
      <c r="AL15" s="1022"/>
      <c r="AM15" s="1022"/>
      <c r="AN15" s="1022"/>
      <c r="AO15" s="1022"/>
      <c r="AP15" s="1022"/>
      <c r="AQ15" s="1022"/>
    </row>
    <row r="16" spans="1:43" s="1027" customFormat="1" ht="6" customHeight="1">
      <c r="A16" s="1020"/>
      <c r="B16" s="1021"/>
      <c r="C16" s="1022"/>
      <c r="D16" s="1051"/>
      <c r="E16" s="1022"/>
      <c r="F16" s="1022"/>
      <c r="G16" s="1023"/>
      <c r="H16" s="1024"/>
      <c r="I16" s="1025"/>
      <c r="J16" s="1025"/>
      <c r="K16" s="1022"/>
      <c r="L16" s="1022"/>
      <c r="M16" s="1022"/>
      <c r="N16" s="1026"/>
      <c r="O16" s="1026"/>
      <c r="P16" s="1026"/>
      <c r="Q16" s="1026"/>
      <c r="R16" s="1026"/>
      <c r="S16" s="1026"/>
      <c r="T16" s="1026"/>
      <c r="U16" s="1026"/>
      <c r="V16" s="1026"/>
      <c r="W16" s="1026"/>
      <c r="X16" s="1026"/>
      <c r="Y16" s="1026"/>
      <c r="Z16" s="1026"/>
      <c r="AA16" s="1026"/>
      <c r="AB16" s="1026"/>
      <c r="AC16" s="1026"/>
      <c r="AD16" s="1026"/>
      <c r="AE16" s="1026"/>
      <c r="AF16" s="1026"/>
      <c r="AG16" s="1026"/>
      <c r="AH16" s="1026"/>
      <c r="AI16" s="1026"/>
      <c r="AJ16" s="1026"/>
      <c r="AK16" s="1026"/>
      <c r="AL16" s="1026"/>
      <c r="AM16" s="1026"/>
      <c r="AN16" s="1026"/>
      <c r="AO16" s="1026"/>
      <c r="AP16" s="1026"/>
      <c r="AQ16" s="1026"/>
    </row>
    <row r="17" spans="1:43" s="1027" customFormat="1" ht="19.5" customHeight="1">
      <c r="A17" s="3955" t="s">
        <v>2305</v>
      </c>
      <c r="B17" s="2846"/>
      <c r="C17" s="2860"/>
      <c r="D17" s="1052" t="str">
        <f>IF(ISBLANK(D7),  "", MAX(D7:D13))</f>
        <v/>
      </c>
      <c r="E17" s="1027" t="s">
        <v>2306</v>
      </c>
      <c r="F17" s="1022"/>
      <c r="G17" s="1023"/>
      <c r="H17" s="1024"/>
      <c r="I17" s="1025"/>
      <c r="J17" s="1051"/>
      <c r="K17" s="1022"/>
      <c r="L17" s="1022"/>
      <c r="M17" s="1022"/>
      <c r="N17" s="1026"/>
      <c r="O17" s="1026"/>
      <c r="P17" s="1026"/>
      <c r="Q17" s="1026"/>
      <c r="R17" s="1026"/>
      <c r="S17" s="1026"/>
      <c r="T17" s="1026"/>
      <c r="U17" s="1026"/>
      <c r="V17" s="1026"/>
      <c r="W17" s="1026"/>
      <c r="X17" s="1026"/>
      <c r="Y17" s="1026"/>
      <c r="Z17" s="1026"/>
      <c r="AA17" s="1026"/>
      <c r="AB17" s="1026"/>
      <c r="AC17" s="1026"/>
      <c r="AD17" s="1026"/>
      <c r="AE17" s="1026"/>
      <c r="AF17" s="1026"/>
      <c r="AG17" s="1026"/>
      <c r="AH17" s="1026"/>
      <c r="AI17" s="1026"/>
      <c r="AJ17" s="1026"/>
      <c r="AK17" s="1026"/>
      <c r="AL17" s="1026"/>
      <c r="AM17" s="1026"/>
      <c r="AN17" s="1026"/>
      <c r="AO17" s="1026"/>
      <c r="AP17" s="1026"/>
      <c r="AQ17" s="1026"/>
    </row>
    <row r="18" spans="1:43" s="1027" customFormat="1" ht="6" customHeight="1">
      <c r="A18" s="1020"/>
      <c r="B18" s="1021"/>
      <c r="C18" s="1022"/>
      <c r="D18" s="1051"/>
      <c r="E18" s="1022"/>
      <c r="F18" s="1022"/>
      <c r="G18" s="1023"/>
      <c r="H18" s="1024"/>
      <c r="I18" s="1025"/>
      <c r="J18" s="1025"/>
      <c r="K18" s="1022"/>
      <c r="L18" s="1022"/>
      <c r="M18" s="1022"/>
      <c r="N18" s="1026"/>
      <c r="O18" s="1026"/>
      <c r="P18" s="1026"/>
      <c r="Q18" s="1026"/>
      <c r="R18" s="1026"/>
      <c r="S18" s="1026"/>
      <c r="T18" s="1026"/>
      <c r="U18" s="1026"/>
      <c r="V18" s="1026"/>
      <c r="W18" s="1026"/>
      <c r="X18" s="1026"/>
      <c r="Y18" s="1026"/>
      <c r="Z18" s="1026"/>
      <c r="AA18" s="1026"/>
      <c r="AB18" s="1026"/>
      <c r="AC18" s="1026"/>
      <c r="AD18" s="1026"/>
      <c r="AE18" s="1026"/>
      <c r="AF18" s="1026"/>
      <c r="AG18" s="1026"/>
      <c r="AH18" s="1026"/>
      <c r="AI18" s="1026"/>
      <c r="AJ18" s="1026"/>
      <c r="AK18" s="1026"/>
      <c r="AL18" s="1026"/>
      <c r="AM18" s="1026"/>
      <c r="AN18" s="1026"/>
      <c r="AO18" s="1026"/>
      <c r="AP18" s="1026"/>
      <c r="AQ18" s="1026"/>
    </row>
    <row r="19" spans="1:43" s="1027" customFormat="1" ht="19.5" customHeight="1">
      <c r="A19" s="3952" t="s">
        <v>2307</v>
      </c>
      <c r="B19" s="3953"/>
      <c r="C19" s="3954"/>
      <c r="D19" s="1054" t="str">
        <f>IF(ISBLANK(D7),  "",D15/C13)</f>
        <v/>
      </c>
      <c r="E19" s="1027" t="s">
        <v>2308</v>
      </c>
      <c r="F19" s="1022"/>
      <c r="G19" s="1023"/>
      <c r="H19" s="1024"/>
      <c r="I19" s="1025"/>
      <c r="J19" s="1025"/>
      <c r="K19" s="1022"/>
      <c r="L19" s="1022"/>
      <c r="M19" s="1022"/>
      <c r="N19" s="1026"/>
      <c r="O19" s="1026"/>
      <c r="P19" s="1026"/>
      <c r="Q19" s="1026"/>
      <c r="R19" s="1026"/>
      <c r="S19" s="1026"/>
      <c r="T19" s="1026"/>
      <c r="U19" s="1026"/>
      <c r="V19" s="1026"/>
      <c r="W19" s="1026"/>
      <c r="X19" s="1026"/>
      <c r="Y19" s="1026"/>
      <c r="Z19" s="1026"/>
      <c r="AA19" s="1026"/>
      <c r="AB19" s="1026"/>
      <c r="AC19" s="1026"/>
      <c r="AD19" s="1026"/>
      <c r="AE19" s="1026"/>
      <c r="AF19" s="1026"/>
      <c r="AG19" s="1026"/>
      <c r="AH19" s="1026"/>
      <c r="AI19" s="1026"/>
      <c r="AJ19" s="1026"/>
      <c r="AK19" s="1026"/>
      <c r="AL19" s="1026"/>
      <c r="AM19" s="1026"/>
      <c r="AN19" s="1026"/>
      <c r="AO19" s="1026"/>
      <c r="AP19" s="1026"/>
      <c r="AQ19" s="1026"/>
    </row>
    <row r="20" spans="1:43" s="1027" customFormat="1" ht="6" customHeight="1">
      <c r="A20" s="1020"/>
      <c r="B20" s="1021"/>
      <c r="C20" s="1022"/>
      <c r="D20" s="1051"/>
      <c r="E20" s="1022"/>
      <c r="F20" s="1022"/>
      <c r="G20" s="1023"/>
      <c r="H20" s="1024"/>
      <c r="I20" s="1025"/>
      <c r="J20" s="1025"/>
      <c r="K20" s="1022"/>
      <c r="L20" s="1022"/>
      <c r="M20" s="1022"/>
      <c r="N20" s="1026"/>
      <c r="O20" s="1026"/>
      <c r="P20" s="1026"/>
      <c r="Q20" s="1026"/>
      <c r="R20" s="1026"/>
      <c r="S20" s="1026"/>
      <c r="T20" s="1026"/>
      <c r="U20" s="1026"/>
      <c r="V20" s="1026"/>
      <c r="W20" s="1026"/>
      <c r="X20" s="1026"/>
      <c r="Y20" s="1026"/>
      <c r="Z20" s="1026"/>
      <c r="AA20" s="1026"/>
      <c r="AB20" s="1026"/>
      <c r="AC20" s="1026"/>
      <c r="AD20" s="1026"/>
      <c r="AE20" s="1026"/>
      <c r="AF20" s="1026"/>
      <c r="AG20" s="1026"/>
      <c r="AH20" s="1026"/>
      <c r="AI20" s="1026"/>
      <c r="AJ20" s="1026"/>
      <c r="AK20" s="1026"/>
      <c r="AL20" s="1026"/>
      <c r="AM20" s="1026"/>
      <c r="AN20" s="1026"/>
      <c r="AO20" s="1026"/>
      <c r="AP20" s="1026"/>
      <c r="AQ20" s="1026"/>
    </row>
    <row r="21" spans="1:43" s="1027" customFormat="1" ht="19.5" customHeight="1">
      <c r="A21" s="3955" t="s">
        <v>2309</v>
      </c>
      <c r="B21" s="2846"/>
      <c r="C21" s="2860"/>
      <c r="D21" s="1055" t="str">
        <f>IF(ISBLANK(D7), "", D17/D19)</f>
        <v/>
      </c>
      <c r="F21" s="1022"/>
      <c r="G21" s="1023"/>
      <c r="H21" s="1024"/>
      <c r="I21" s="1025"/>
      <c r="J21" s="1025"/>
      <c r="K21" s="1022"/>
      <c r="L21" s="1022"/>
      <c r="M21" s="1022"/>
      <c r="N21" s="1026"/>
      <c r="O21" s="1026"/>
      <c r="P21" s="1026"/>
      <c r="Q21" s="1026"/>
      <c r="R21" s="1026"/>
      <c r="S21" s="1026"/>
      <c r="T21" s="1026"/>
      <c r="U21" s="1026"/>
      <c r="V21" s="1026"/>
      <c r="W21" s="1026"/>
      <c r="X21" s="1026"/>
      <c r="Y21" s="1026"/>
      <c r="Z21" s="1026"/>
      <c r="AA21" s="1026"/>
      <c r="AB21" s="1026"/>
      <c r="AC21" s="1026"/>
      <c r="AD21" s="1026"/>
      <c r="AE21" s="1026"/>
      <c r="AF21" s="1026"/>
      <c r="AG21" s="1026"/>
      <c r="AH21" s="1026"/>
      <c r="AI21" s="1026"/>
      <c r="AJ21" s="1026"/>
      <c r="AK21" s="1026"/>
      <c r="AL21" s="1026"/>
      <c r="AM21" s="1026"/>
      <c r="AN21" s="1026"/>
      <c r="AO21" s="1026"/>
      <c r="AP21" s="1026"/>
      <c r="AQ21" s="1026"/>
    </row>
    <row r="22" spans="1:43" s="1027" customFormat="1" ht="6" customHeight="1">
      <c r="A22" s="1020"/>
      <c r="B22" s="1021"/>
      <c r="C22" s="1022"/>
      <c r="D22" s="1022"/>
      <c r="E22" s="1022"/>
      <c r="F22" s="1022"/>
      <c r="G22" s="1023"/>
      <c r="H22" s="1024"/>
      <c r="I22" s="1025"/>
      <c r="J22" s="1025"/>
      <c r="K22" s="1022"/>
      <c r="L22" s="1022"/>
      <c r="M22" s="1022"/>
      <c r="N22" s="1026"/>
      <c r="O22" s="1026"/>
      <c r="P22" s="1026"/>
      <c r="Q22" s="1026"/>
      <c r="R22" s="1026"/>
      <c r="S22" s="1026"/>
      <c r="T22" s="1026"/>
      <c r="U22" s="1026"/>
      <c r="V22" s="1026"/>
      <c r="W22" s="1026"/>
      <c r="X22" s="1026"/>
      <c r="Y22" s="1026"/>
      <c r="Z22" s="1026"/>
      <c r="AA22" s="1026"/>
      <c r="AB22" s="1026"/>
      <c r="AC22" s="1026"/>
      <c r="AD22" s="1026"/>
      <c r="AE22" s="1026"/>
      <c r="AF22" s="1026"/>
      <c r="AG22" s="1026"/>
      <c r="AH22" s="1026"/>
      <c r="AI22" s="1026"/>
      <c r="AJ22" s="1026"/>
      <c r="AK22" s="1026"/>
      <c r="AL22" s="1026"/>
      <c r="AM22" s="1026"/>
      <c r="AN22" s="1026"/>
      <c r="AO22" s="1026"/>
      <c r="AP22" s="1026"/>
      <c r="AQ22" s="1026"/>
    </row>
    <row r="23" spans="1:43" s="1027" customFormat="1" ht="19.5" customHeight="1">
      <c r="A23" s="3956"/>
      <c r="B23" s="3957"/>
      <c r="C23" s="3957"/>
      <c r="D23" s="1454"/>
      <c r="E23" s="1455" t="s">
        <v>2310</v>
      </c>
      <c r="F23" s="1056" t="str">
        <f>IF(ISBLANK(D7),"",MAX(F7:F13))</f>
        <v/>
      </c>
      <c r="G23" s="1041" t="s">
        <v>2311</v>
      </c>
      <c r="H23" s="1024"/>
      <c r="I23" s="1025"/>
      <c r="J23" s="1025"/>
      <c r="K23" s="1022"/>
      <c r="L23" s="1022"/>
      <c r="M23" s="1022"/>
      <c r="N23" s="1026"/>
      <c r="O23" s="1026"/>
      <c r="P23" s="1026"/>
      <c r="Q23" s="1026"/>
      <c r="R23" s="1026"/>
      <c r="S23" s="1026"/>
      <c r="T23" s="1026"/>
      <c r="U23" s="1026"/>
      <c r="V23" s="1026"/>
      <c r="W23" s="1026"/>
      <c r="X23" s="1026"/>
      <c r="Y23" s="1026"/>
      <c r="Z23" s="1026"/>
      <c r="AA23" s="1026"/>
      <c r="AB23" s="1026"/>
      <c r="AC23" s="1026"/>
      <c r="AD23" s="1026"/>
      <c r="AE23" s="1026"/>
      <c r="AF23" s="1026"/>
      <c r="AG23" s="1026"/>
      <c r="AH23" s="1026"/>
      <c r="AI23" s="1026"/>
      <c r="AJ23" s="1026"/>
      <c r="AK23" s="1026"/>
      <c r="AL23" s="1026"/>
      <c r="AM23" s="1026"/>
      <c r="AN23" s="1026"/>
      <c r="AO23" s="1026"/>
      <c r="AP23" s="1026"/>
      <c r="AQ23" s="1026"/>
    </row>
    <row r="24" spans="1:43" s="1027" customFormat="1" ht="6" customHeight="1">
      <c r="A24" s="1020"/>
      <c r="B24" s="1021"/>
      <c r="C24" s="1022"/>
      <c r="D24" s="1022"/>
      <c r="E24" s="1022"/>
      <c r="F24" s="1456"/>
      <c r="G24" s="1023"/>
      <c r="H24" s="1024"/>
      <c r="I24" s="1025"/>
      <c r="J24" s="1025"/>
      <c r="K24" s="1022"/>
      <c r="L24" s="1022"/>
      <c r="M24" s="1022"/>
      <c r="N24" s="1026"/>
      <c r="O24" s="1026"/>
      <c r="P24" s="1026"/>
      <c r="Q24" s="1026"/>
      <c r="R24" s="1026"/>
      <c r="S24" s="1026"/>
      <c r="T24" s="1026"/>
      <c r="U24" s="1026"/>
      <c r="V24" s="1026"/>
      <c r="W24" s="1026"/>
      <c r="X24" s="1026"/>
      <c r="Y24" s="1026"/>
      <c r="Z24" s="1026"/>
      <c r="AA24" s="1026"/>
      <c r="AB24" s="1026"/>
      <c r="AC24" s="1026"/>
      <c r="AD24" s="1026"/>
      <c r="AE24" s="1026"/>
      <c r="AF24" s="1026"/>
      <c r="AG24" s="1026"/>
      <c r="AH24" s="1026"/>
      <c r="AI24" s="1026"/>
      <c r="AJ24" s="1026"/>
      <c r="AK24" s="1026"/>
      <c r="AL24" s="1026"/>
      <c r="AM24" s="1026"/>
      <c r="AN24" s="1026"/>
      <c r="AO24" s="1026"/>
      <c r="AP24" s="1026"/>
      <c r="AQ24" s="1026"/>
    </row>
    <row r="25" spans="1:43" s="1027" customFormat="1" ht="6" customHeight="1">
      <c r="A25" s="1020"/>
      <c r="B25" s="1021"/>
      <c r="C25" s="1022"/>
      <c r="D25" s="1022"/>
      <c r="E25" s="1022"/>
      <c r="F25" s="1022"/>
      <c r="G25" s="1023"/>
      <c r="H25" s="1024"/>
      <c r="I25" s="1025"/>
      <c r="J25" s="1025"/>
      <c r="K25" s="1022"/>
      <c r="L25" s="1022"/>
      <c r="M25" s="1022"/>
      <c r="N25" s="1026"/>
      <c r="O25" s="1026"/>
      <c r="P25" s="1026"/>
      <c r="Q25" s="1026"/>
      <c r="R25" s="1026"/>
      <c r="S25" s="1026"/>
      <c r="T25" s="1026"/>
      <c r="U25" s="1026"/>
      <c r="V25" s="1026"/>
      <c r="W25" s="1026"/>
      <c r="X25" s="1026"/>
      <c r="Y25" s="1026"/>
      <c r="Z25" s="1026"/>
      <c r="AA25" s="1026"/>
      <c r="AB25" s="1026"/>
      <c r="AC25" s="1026"/>
      <c r="AD25" s="1026"/>
      <c r="AE25" s="1026"/>
      <c r="AF25" s="1026"/>
      <c r="AG25" s="1026"/>
      <c r="AH25" s="1026"/>
      <c r="AI25" s="1026"/>
      <c r="AJ25" s="1026"/>
      <c r="AK25" s="1026"/>
      <c r="AL25" s="1026"/>
      <c r="AM25" s="1026"/>
      <c r="AN25" s="1026"/>
      <c r="AO25" s="1026"/>
      <c r="AP25" s="1026"/>
      <c r="AQ25" s="1026"/>
    </row>
    <row r="26" spans="1:43" s="1027" customFormat="1" ht="19.5" customHeight="1">
      <c r="A26" s="1057"/>
      <c r="B26" s="520"/>
      <c r="C26" s="520"/>
      <c r="D26" s="1457"/>
      <c r="E26" s="1453" t="s">
        <v>2312</v>
      </c>
      <c r="F26" s="1056" t="str">
        <f>IF(ISBLANK(D7), "",D19+F23)</f>
        <v/>
      </c>
      <c r="G26" s="1023" t="s">
        <v>1038</v>
      </c>
      <c r="H26" s="1024"/>
      <c r="I26" s="1798"/>
      <c r="J26" s="1025"/>
      <c r="K26" s="1022"/>
      <c r="L26" s="1022"/>
      <c r="M26" s="1022"/>
      <c r="N26" s="1026"/>
      <c r="O26" s="1026"/>
      <c r="P26" s="1026"/>
      <c r="Q26" s="1026"/>
      <c r="R26" s="1026"/>
      <c r="S26" s="1026"/>
      <c r="T26" s="1026"/>
      <c r="U26" s="1026"/>
      <c r="V26" s="1026"/>
      <c r="W26" s="1026"/>
      <c r="X26" s="1026"/>
      <c r="Y26" s="1026"/>
      <c r="Z26" s="1026"/>
      <c r="AA26" s="1026"/>
      <c r="AB26" s="1026"/>
      <c r="AC26" s="1026"/>
      <c r="AD26" s="1026"/>
      <c r="AE26" s="1026"/>
      <c r="AF26" s="1026"/>
      <c r="AG26" s="1026"/>
      <c r="AH26" s="1026"/>
      <c r="AI26" s="1026"/>
      <c r="AJ26" s="1026"/>
      <c r="AK26" s="1026"/>
      <c r="AL26" s="1026"/>
      <c r="AM26" s="1026"/>
      <c r="AN26" s="1026"/>
      <c r="AO26" s="1026"/>
      <c r="AP26" s="1026"/>
      <c r="AQ26" s="1026"/>
    </row>
    <row r="27" spans="1:43" s="1027" customFormat="1" ht="6" customHeight="1">
      <c r="A27" s="1020"/>
      <c r="B27" s="1021"/>
      <c r="C27" s="1022"/>
      <c r="D27" s="1022"/>
      <c r="E27" s="1022"/>
      <c r="F27" s="1022"/>
      <c r="G27" s="1023"/>
      <c r="H27" s="1024"/>
      <c r="I27" s="1025"/>
      <c r="J27" s="1025"/>
      <c r="K27" s="1022"/>
      <c r="L27" s="1022"/>
      <c r="M27" s="1022"/>
      <c r="N27" s="1026"/>
      <c r="O27" s="1026"/>
      <c r="P27" s="1026"/>
      <c r="Q27" s="1026"/>
      <c r="R27" s="1026"/>
      <c r="S27" s="1026"/>
      <c r="T27" s="1026"/>
      <c r="U27" s="1026"/>
      <c r="V27" s="1026"/>
      <c r="W27" s="1026"/>
      <c r="X27" s="1026"/>
      <c r="Y27" s="1026"/>
      <c r="Z27" s="1026"/>
      <c r="AA27" s="1026"/>
      <c r="AB27" s="1026"/>
      <c r="AC27" s="1026"/>
      <c r="AD27" s="1026"/>
      <c r="AE27" s="1026"/>
      <c r="AF27" s="1026"/>
      <c r="AG27" s="1026"/>
      <c r="AH27" s="1026"/>
      <c r="AI27" s="1026"/>
      <c r="AJ27" s="1026"/>
      <c r="AK27" s="1026"/>
      <c r="AL27" s="1026"/>
      <c r="AM27" s="1026"/>
      <c r="AN27" s="1026"/>
      <c r="AO27" s="1026"/>
      <c r="AP27" s="1026"/>
      <c r="AQ27" s="1026"/>
    </row>
    <row r="28" spans="1:43" s="1027" customFormat="1" ht="19.5" customHeight="1">
      <c r="A28" s="834" t="s">
        <v>2313</v>
      </c>
      <c r="B28" s="1457"/>
      <c r="C28" s="1457"/>
      <c r="D28" s="1458"/>
      <c r="E28" s="1058"/>
      <c r="F28" s="1059">
        <v>20</v>
      </c>
      <c r="G28" s="1023" t="s">
        <v>624</v>
      </c>
      <c r="H28" s="1024"/>
      <c r="I28" s="1025"/>
      <c r="J28" s="1025"/>
      <c r="K28" s="1022"/>
      <c r="L28" s="1022"/>
      <c r="M28" s="1022"/>
      <c r="N28" s="1026"/>
      <c r="O28" s="1026"/>
      <c r="P28" s="1026"/>
      <c r="Q28" s="1026"/>
      <c r="R28" s="1026"/>
      <c r="S28" s="1026"/>
      <c r="T28" s="1026"/>
      <c r="U28" s="1026"/>
      <c r="V28" s="1026"/>
      <c r="W28" s="1026"/>
      <c r="X28" s="1026"/>
      <c r="Y28" s="1026"/>
      <c r="Z28" s="1026"/>
      <c r="AA28" s="1026"/>
      <c r="AB28" s="1026"/>
      <c r="AC28" s="1026"/>
      <c r="AD28" s="1026"/>
      <c r="AE28" s="1026"/>
      <c r="AF28" s="1026"/>
      <c r="AG28" s="1026"/>
      <c r="AH28" s="1026"/>
      <c r="AI28" s="1026"/>
      <c r="AJ28" s="1026"/>
      <c r="AK28" s="1026"/>
      <c r="AL28" s="1026"/>
      <c r="AM28" s="1026"/>
      <c r="AN28" s="1026"/>
      <c r="AO28" s="1026"/>
      <c r="AP28" s="1026"/>
      <c r="AQ28" s="1026"/>
    </row>
    <row r="29" spans="1:43" s="1027" customFormat="1" ht="6" customHeight="1">
      <c r="A29" s="1020"/>
      <c r="B29" s="1021"/>
      <c r="C29" s="1022"/>
      <c r="D29" s="1022"/>
      <c r="E29" s="1022"/>
      <c r="F29" s="1022"/>
      <c r="G29" s="1023"/>
      <c r="H29" s="1024"/>
      <c r="I29" s="1025"/>
      <c r="J29" s="1025"/>
      <c r="K29" s="1022"/>
      <c r="L29" s="1022"/>
      <c r="M29" s="1022"/>
      <c r="N29" s="1026"/>
      <c r="O29" s="1026"/>
      <c r="P29" s="1026"/>
      <c r="Q29" s="1026"/>
      <c r="R29" s="1026"/>
      <c r="S29" s="1026"/>
      <c r="T29" s="1026"/>
      <c r="U29" s="1026"/>
      <c r="V29" s="1026"/>
      <c r="W29" s="1026"/>
      <c r="X29" s="1026"/>
      <c r="Y29" s="1026"/>
      <c r="Z29" s="1026"/>
      <c r="AA29" s="1026"/>
      <c r="AB29" s="1026"/>
      <c r="AC29" s="1026"/>
      <c r="AD29" s="1026"/>
      <c r="AE29" s="1026"/>
      <c r="AF29" s="1026"/>
      <c r="AG29" s="1026"/>
      <c r="AH29" s="1026"/>
      <c r="AI29" s="1026"/>
      <c r="AJ29" s="1026"/>
      <c r="AK29" s="1026"/>
      <c r="AL29" s="1026"/>
      <c r="AM29" s="1026"/>
      <c r="AN29" s="1026"/>
      <c r="AO29" s="1026"/>
      <c r="AP29" s="1026"/>
      <c r="AQ29" s="1026"/>
    </row>
    <row r="30" spans="1:43" s="1027" customFormat="1" ht="19.5" customHeight="1">
      <c r="A30" s="1060"/>
      <c r="B30" s="1022"/>
      <c r="C30" s="3950" t="s">
        <v>2314</v>
      </c>
      <c r="D30" s="3950"/>
      <c r="E30" s="3951"/>
      <c r="F30" s="1056" t="str">
        <f>IF(ISBLANK(D7), "",  F26*(1+F28/100))</f>
        <v/>
      </c>
      <c r="G30" s="1023" t="s">
        <v>1038</v>
      </c>
      <c r="H30" s="1024"/>
      <c r="I30" s="1025"/>
      <c r="J30" s="1025"/>
      <c r="K30" s="1022"/>
      <c r="L30" s="1022"/>
      <c r="M30" s="1022"/>
      <c r="N30" s="1026"/>
      <c r="O30" s="1026"/>
      <c r="P30" s="1026"/>
      <c r="Q30" s="1026"/>
      <c r="R30" s="1026"/>
      <c r="S30" s="1026"/>
      <c r="T30" s="1026"/>
      <c r="U30" s="1026"/>
      <c r="V30" s="1026"/>
      <c r="W30" s="1026"/>
      <c r="X30" s="1026"/>
      <c r="Y30" s="1026"/>
      <c r="Z30" s="1026"/>
      <c r="AA30" s="1026"/>
      <c r="AB30" s="1026"/>
      <c r="AC30" s="1026"/>
      <c r="AD30" s="1026"/>
      <c r="AE30" s="1026"/>
      <c r="AF30" s="1026"/>
      <c r="AG30" s="1026"/>
      <c r="AH30" s="1026"/>
      <c r="AI30" s="1026"/>
      <c r="AJ30" s="1026"/>
      <c r="AK30" s="1026"/>
      <c r="AL30" s="1026"/>
      <c r="AM30" s="1026"/>
      <c r="AN30" s="1026"/>
      <c r="AO30" s="1026"/>
      <c r="AP30" s="1026"/>
      <c r="AQ30" s="1026"/>
    </row>
    <row r="31" spans="1:43" s="1027" customFormat="1" ht="6" customHeight="1">
      <c r="A31" s="1020"/>
      <c r="B31" s="1021"/>
      <c r="C31" s="1022"/>
      <c r="D31" s="1022"/>
      <c r="E31" s="1022"/>
      <c r="F31" s="1022"/>
      <c r="G31" s="1023"/>
      <c r="H31" s="1024"/>
      <c r="I31" s="1025"/>
      <c r="J31" s="1025"/>
      <c r="K31" s="1022"/>
      <c r="L31" s="1022"/>
      <c r="M31" s="1022"/>
      <c r="N31" s="1026"/>
      <c r="O31" s="1026"/>
      <c r="P31" s="1026"/>
      <c r="Q31" s="1026"/>
      <c r="R31" s="1026"/>
      <c r="S31" s="1026"/>
      <c r="T31" s="1026"/>
      <c r="U31" s="1026"/>
      <c r="V31" s="1026"/>
      <c r="W31" s="1026"/>
      <c r="X31" s="1026"/>
      <c r="Y31" s="1026"/>
      <c r="Z31" s="1026"/>
      <c r="AA31" s="1026"/>
      <c r="AB31" s="1026"/>
      <c r="AC31" s="1026"/>
      <c r="AD31" s="1026"/>
      <c r="AE31" s="1026"/>
      <c r="AF31" s="1026"/>
      <c r="AG31" s="1026"/>
      <c r="AH31" s="1026"/>
      <c r="AI31" s="1026"/>
      <c r="AJ31" s="1026"/>
      <c r="AK31" s="1026"/>
      <c r="AL31" s="1026"/>
      <c r="AM31" s="1026"/>
      <c r="AN31" s="1026"/>
      <c r="AO31" s="1026"/>
      <c r="AP31" s="1026"/>
      <c r="AQ31" s="1026"/>
    </row>
    <row r="32" spans="1:43" s="1027" customFormat="1" ht="19.5" customHeight="1">
      <c r="A32" s="834" t="s">
        <v>2315</v>
      </c>
      <c r="B32" s="520"/>
      <c r="C32" s="520"/>
      <c r="D32" s="520"/>
      <c r="E32" s="1022"/>
      <c r="F32" s="1460" t="str">
        <f>'Pump Tank STA Time'!M24</f>
        <v xml:space="preserve"> </v>
      </c>
      <c r="G32" s="1023" t="s">
        <v>2316</v>
      </c>
      <c r="H32" s="1024"/>
      <c r="I32" s="1025"/>
      <c r="J32" s="1025"/>
      <c r="K32" s="1022"/>
      <c r="L32" s="1022"/>
      <c r="M32" s="1022"/>
      <c r="N32" s="1026"/>
      <c r="O32" s="1026"/>
      <c r="P32" s="1026"/>
      <c r="Q32" s="1026"/>
      <c r="R32" s="1026"/>
      <c r="S32" s="1026"/>
      <c r="T32" s="1026"/>
      <c r="U32" s="1026"/>
      <c r="V32" s="1026"/>
      <c r="W32" s="1026"/>
      <c r="X32" s="1026"/>
      <c r="Y32" s="1026"/>
      <c r="Z32" s="1026"/>
      <c r="AA32" s="1026"/>
      <c r="AB32" s="1026"/>
      <c r="AC32" s="1026"/>
      <c r="AD32" s="1026"/>
      <c r="AE32" s="1026"/>
      <c r="AF32" s="1026"/>
      <c r="AG32" s="1026"/>
      <c r="AH32" s="1026"/>
      <c r="AI32" s="1026"/>
      <c r="AJ32" s="1026"/>
      <c r="AK32" s="1026"/>
      <c r="AL32" s="1026"/>
      <c r="AM32" s="1026"/>
      <c r="AN32" s="1026"/>
      <c r="AO32" s="1026"/>
      <c r="AP32" s="1026"/>
      <c r="AQ32" s="1026"/>
    </row>
    <row r="33" spans="1:43" s="1027" customFormat="1" ht="6" customHeight="1">
      <c r="A33" s="1020"/>
      <c r="B33" s="1021"/>
      <c r="C33" s="1022"/>
      <c r="D33" s="1022"/>
      <c r="E33" s="1022"/>
      <c r="F33" s="1022"/>
      <c r="G33" s="1023"/>
      <c r="H33" s="1024"/>
      <c r="I33" s="1025"/>
      <c r="J33" s="1025"/>
      <c r="K33" s="1022"/>
      <c r="L33" s="1022"/>
      <c r="M33" s="1022"/>
      <c r="N33" s="1026"/>
      <c r="O33" s="1026"/>
      <c r="P33" s="1026"/>
      <c r="Q33" s="1026"/>
      <c r="R33" s="1026"/>
      <c r="S33" s="1026"/>
      <c r="T33" s="1026"/>
      <c r="U33" s="1026"/>
      <c r="V33" s="1026"/>
      <c r="W33" s="1026"/>
      <c r="X33" s="1026"/>
      <c r="Y33" s="1026"/>
      <c r="Z33" s="1026"/>
      <c r="AA33" s="1026"/>
      <c r="AB33" s="1026"/>
      <c r="AC33" s="1026"/>
      <c r="AD33" s="1026"/>
      <c r="AE33" s="1026"/>
      <c r="AF33" s="1026"/>
      <c r="AG33" s="1026"/>
      <c r="AH33" s="1026"/>
      <c r="AI33" s="1026"/>
      <c r="AJ33" s="1026"/>
      <c r="AK33" s="1026"/>
      <c r="AL33" s="1026"/>
      <c r="AM33" s="1026"/>
      <c r="AN33" s="1026"/>
      <c r="AO33" s="1026"/>
      <c r="AP33" s="1026"/>
      <c r="AQ33" s="1026"/>
    </row>
    <row r="34" spans="1:43" s="1027" customFormat="1" ht="19.5" customHeight="1">
      <c r="A34" s="1036"/>
      <c r="B34" s="3949" t="s">
        <v>2317</v>
      </c>
      <c r="C34" s="3949"/>
      <c r="D34" s="3949"/>
      <c r="E34" s="3949"/>
      <c r="F34" s="1056" t="str">
        <f>IF(ISBLANK(D7), "", F30+F32)</f>
        <v/>
      </c>
      <c r="G34" s="1023" t="s">
        <v>1038</v>
      </c>
      <c r="H34" s="1024"/>
      <c r="I34" s="1025"/>
      <c r="J34" s="1025"/>
      <c r="K34" s="1022"/>
      <c r="L34" s="1022"/>
      <c r="M34" s="1022"/>
      <c r="N34" s="1026"/>
      <c r="O34" s="1026"/>
      <c r="P34" s="1026"/>
      <c r="Q34" s="1026"/>
      <c r="R34" s="1026"/>
      <c r="S34" s="1026"/>
      <c r="T34" s="1026"/>
      <c r="U34" s="1026"/>
      <c r="V34" s="1026"/>
      <c r="W34" s="1026"/>
      <c r="X34" s="1026"/>
      <c r="Y34" s="1026"/>
      <c r="Z34" s="1026"/>
      <c r="AA34" s="1026"/>
      <c r="AB34" s="1026"/>
      <c r="AC34" s="1026"/>
      <c r="AD34" s="1026"/>
      <c r="AE34" s="1026"/>
      <c r="AF34" s="1026"/>
      <c r="AG34" s="1026"/>
      <c r="AH34" s="1026"/>
      <c r="AI34" s="1026"/>
      <c r="AJ34" s="1026"/>
      <c r="AK34" s="1026"/>
      <c r="AL34" s="1026"/>
      <c r="AM34" s="1026"/>
      <c r="AN34" s="1026"/>
      <c r="AO34" s="1026"/>
      <c r="AP34" s="1026"/>
      <c r="AQ34" s="1026"/>
    </row>
    <row r="35" spans="1:43" s="1027" customFormat="1" ht="6" customHeight="1">
      <c r="A35" s="1020"/>
      <c r="B35" s="1021"/>
      <c r="C35" s="1022"/>
      <c r="D35" s="1022"/>
      <c r="E35" s="1022"/>
      <c r="F35" s="1022"/>
      <c r="G35" s="1023"/>
      <c r="H35" s="1024"/>
      <c r="I35" s="1025"/>
      <c r="J35" s="1025"/>
      <c r="K35" s="1022"/>
      <c r="L35" s="1022"/>
      <c r="M35" s="1022"/>
      <c r="N35" s="1026"/>
      <c r="O35" s="1026"/>
      <c r="P35" s="1026"/>
      <c r="Q35" s="1026"/>
      <c r="R35" s="1026"/>
      <c r="S35" s="1026"/>
      <c r="T35" s="1026"/>
      <c r="U35" s="1026"/>
      <c r="V35" s="1026"/>
      <c r="W35" s="1026"/>
      <c r="X35" s="1026"/>
      <c r="Y35" s="1026"/>
      <c r="Z35" s="1026"/>
      <c r="AA35" s="1026"/>
      <c r="AB35" s="1026"/>
      <c r="AC35" s="1026"/>
      <c r="AD35" s="1026"/>
      <c r="AE35" s="1026"/>
      <c r="AF35" s="1026"/>
      <c r="AG35" s="1026"/>
      <c r="AH35" s="1026"/>
      <c r="AI35" s="1026"/>
      <c r="AJ35" s="1026"/>
      <c r="AK35" s="1026"/>
      <c r="AL35" s="1026"/>
      <c r="AM35" s="1026"/>
      <c r="AN35" s="1026"/>
      <c r="AO35" s="1026"/>
      <c r="AP35" s="1026"/>
      <c r="AQ35" s="1026"/>
    </row>
    <row r="36" spans="1:43" s="1027" customFormat="1" ht="19.5" customHeight="1">
      <c r="A36" s="1020"/>
      <c r="B36" s="2846" t="s">
        <v>2318</v>
      </c>
      <c r="C36" s="2846"/>
      <c r="D36" s="2846"/>
      <c r="E36" s="2846"/>
      <c r="F36" s="1561" t="str">
        <f>IF(ISBLANK(D8)," ",D19/0.7)</f>
        <v xml:space="preserve"> </v>
      </c>
      <c r="G36" s="1023" t="s">
        <v>2319</v>
      </c>
      <c r="H36" s="1024"/>
      <c r="I36" s="1025"/>
      <c r="J36" s="1025"/>
      <c r="K36" s="1022"/>
      <c r="L36" s="1022"/>
      <c r="M36" s="1022"/>
      <c r="N36" s="1026"/>
      <c r="O36" s="1026"/>
      <c r="P36" s="1026"/>
      <c r="Q36" s="1026"/>
      <c r="R36" s="1026"/>
      <c r="S36" s="1026"/>
      <c r="T36" s="1026"/>
      <c r="U36" s="1026"/>
      <c r="V36" s="1026"/>
      <c r="W36" s="1026"/>
      <c r="X36" s="1026"/>
      <c r="Y36" s="1026"/>
      <c r="Z36" s="1026"/>
      <c r="AA36" s="1026"/>
      <c r="AB36" s="1026"/>
      <c r="AC36" s="1026"/>
      <c r="AD36" s="1026"/>
      <c r="AE36" s="1026"/>
      <c r="AF36" s="1026"/>
      <c r="AG36" s="1026"/>
      <c r="AH36" s="1026"/>
      <c r="AI36" s="1026"/>
      <c r="AJ36" s="1026"/>
      <c r="AK36" s="1026"/>
      <c r="AL36" s="1026"/>
      <c r="AM36" s="1026"/>
      <c r="AN36" s="1026"/>
      <c r="AO36" s="1026"/>
      <c r="AP36" s="1026"/>
      <c r="AQ36" s="1026"/>
    </row>
    <row r="37" spans="1:43" s="1027" customFormat="1" ht="19.5" customHeight="1">
      <c r="A37" s="1020"/>
      <c r="B37" s="1459" t="s">
        <v>2320</v>
      </c>
      <c r="C37" s="1459"/>
      <c r="D37" s="1459"/>
      <c r="E37" s="1459"/>
      <c r="F37" s="1051"/>
      <c r="G37" s="1023"/>
      <c r="H37" s="1024"/>
      <c r="I37" s="1025"/>
      <c r="J37" s="1025"/>
      <c r="K37" s="1022"/>
      <c r="L37" s="1022"/>
      <c r="M37" s="1022"/>
      <c r="N37" s="1026"/>
      <c r="O37" s="1026"/>
      <c r="P37" s="1026"/>
      <c r="Q37" s="1026"/>
      <c r="R37" s="1026"/>
      <c r="S37" s="1026"/>
      <c r="T37" s="1026"/>
      <c r="U37" s="1026"/>
      <c r="V37" s="1026"/>
      <c r="W37" s="1026"/>
      <c r="X37" s="1026"/>
      <c r="Y37" s="1026"/>
      <c r="Z37" s="1026"/>
      <c r="AA37" s="1026"/>
      <c r="AB37" s="1026"/>
      <c r="AC37" s="1026"/>
      <c r="AD37" s="1026"/>
      <c r="AE37" s="1026"/>
      <c r="AF37" s="1026"/>
      <c r="AG37" s="1026"/>
      <c r="AH37" s="1026"/>
      <c r="AI37" s="1026"/>
      <c r="AJ37" s="1026"/>
      <c r="AK37" s="1026"/>
      <c r="AL37" s="1026"/>
      <c r="AM37" s="1026"/>
      <c r="AN37" s="1026"/>
      <c r="AO37" s="1026"/>
      <c r="AP37" s="1026"/>
      <c r="AQ37" s="1026"/>
    </row>
    <row r="38" spans="1:43" s="1027" customFormat="1" ht="19.5" customHeight="1">
      <c r="A38" s="3947" t="s">
        <v>719</v>
      </c>
      <c r="B38" s="3948"/>
      <c r="C38" s="1022"/>
      <c r="D38" s="1022"/>
      <c r="E38" s="1022"/>
      <c r="F38" s="1022"/>
      <c r="G38" s="1023"/>
      <c r="H38" s="1024"/>
      <c r="I38" s="1025"/>
      <c r="J38" s="1025"/>
      <c r="K38" s="1022"/>
      <c r="L38" s="1022"/>
      <c r="M38" s="1022"/>
      <c r="N38" s="1026"/>
      <c r="O38" s="1026"/>
      <c r="P38" s="1026"/>
      <c r="Q38" s="1026"/>
      <c r="R38" s="1026"/>
      <c r="S38" s="1026"/>
      <c r="T38" s="1026"/>
      <c r="U38" s="1026"/>
      <c r="V38" s="1026"/>
      <c r="W38" s="1026"/>
      <c r="X38" s="1026"/>
      <c r="Y38" s="1026"/>
      <c r="Z38" s="1026"/>
      <c r="AA38" s="1026"/>
      <c r="AB38" s="1026"/>
      <c r="AC38" s="1026"/>
      <c r="AD38" s="1026"/>
      <c r="AE38" s="1026"/>
      <c r="AF38" s="1026"/>
      <c r="AG38" s="1026"/>
      <c r="AH38" s="1026"/>
      <c r="AI38" s="1026"/>
      <c r="AJ38" s="1026"/>
      <c r="AK38" s="1026"/>
      <c r="AL38" s="1026"/>
      <c r="AM38" s="1026"/>
      <c r="AN38" s="1026"/>
      <c r="AO38" s="1026"/>
      <c r="AP38" s="1026"/>
      <c r="AQ38" s="1026"/>
    </row>
    <row r="39" spans="1:43" s="8" customFormat="1" ht="81" customHeight="1" thickBot="1">
      <c r="A39" s="3865"/>
      <c r="B39" s="3907"/>
      <c r="C39" s="3907"/>
      <c r="D39" s="3907"/>
      <c r="E39" s="3907"/>
      <c r="F39" s="3907"/>
      <c r="G39" s="3908"/>
      <c r="H39" s="1187"/>
      <c r="I39" s="1187"/>
      <c r="J39" s="1187"/>
      <c r="K39" s="1187"/>
      <c r="L39" s="1187"/>
      <c r="M39" s="1187"/>
      <c r="N39" s="1187"/>
      <c r="O39" s="1187"/>
      <c r="P39" s="1187"/>
      <c r="Q39" s="1187"/>
      <c r="R39" s="1187"/>
      <c r="S39" s="1187"/>
      <c r="T39" s="1187"/>
    </row>
    <row r="40" spans="1:43" s="1027" customFormat="1" ht="19.5" customHeight="1">
      <c r="A40" s="1021"/>
      <c r="B40" s="1021"/>
      <c r="C40" s="1022"/>
      <c r="D40" s="1022"/>
      <c r="E40" s="1022"/>
      <c r="F40" s="1022"/>
      <c r="G40" s="1022"/>
      <c r="H40" s="1024"/>
      <c r="I40" s="1025"/>
      <c r="J40" s="1025"/>
      <c r="K40" s="1022"/>
      <c r="L40" s="1022"/>
      <c r="M40" s="1022"/>
      <c r="N40" s="1026"/>
      <c r="O40" s="1026"/>
      <c r="P40" s="1026"/>
      <c r="Q40" s="1026"/>
      <c r="R40" s="1026"/>
      <c r="S40" s="1026"/>
      <c r="T40" s="1026"/>
      <c r="U40" s="1026"/>
      <c r="V40" s="1026"/>
      <c r="W40" s="1026"/>
      <c r="X40" s="1026"/>
      <c r="Y40" s="1026"/>
      <c r="Z40" s="1026"/>
      <c r="AA40" s="1026"/>
      <c r="AB40" s="1026"/>
      <c r="AC40" s="1026"/>
      <c r="AD40" s="1026"/>
      <c r="AE40" s="1026"/>
      <c r="AF40" s="1026"/>
      <c r="AG40" s="1026"/>
      <c r="AH40" s="1026"/>
      <c r="AI40" s="1026"/>
      <c r="AJ40" s="1026"/>
      <c r="AK40" s="1026"/>
      <c r="AL40" s="1026"/>
      <c r="AM40" s="1026"/>
      <c r="AN40" s="1026"/>
      <c r="AO40" s="1026"/>
      <c r="AP40" s="1026"/>
      <c r="AQ40" s="1026"/>
    </row>
    <row r="41" spans="1:43" s="1" customFormat="1" ht="10.5" customHeight="1">
      <c r="A41" s="1021"/>
      <c r="B41" s="1021"/>
      <c r="C41" s="1022"/>
      <c r="D41" s="1022"/>
      <c r="E41" s="1022"/>
      <c r="F41" s="1022"/>
      <c r="G41" s="1022"/>
      <c r="H41" s="209"/>
      <c r="I41" s="203"/>
      <c r="J41" s="203"/>
      <c r="K41" s="185"/>
      <c r="L41" s="185"/>
      <c r="M41" s="185"/>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row>
    <row r="42" spans="1:43" s="1" customFormat="1" ht="19.5" customHeight="1">
      <c r="A42" s="1061"/>
      <c r="B42" s="1061"/>
      <c r="C42" s="185"/>
      <c r="D42" s="185"/>
      <c r="E42" s="185"/>
      <c r="F42" s="185"/>
      <c r="G42" s="185"/>
      <c r="H42" s="209"/>
      <c r="I42" s="203"/>
      <c r="J42" s="203"/>
      <c r="K42" s="185"/>
      <c r="L42" s="185"/>
      <c r="M42" s="185"/>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row>
    <row r="43" spans="1:43" s="1" customFormat="1" ht="10.5" customHeight="1">
      <c r="A43" s="1061"/>
      <c r="B43" s="1061"/>
      <c r="C43" s="229"/>
      <c r="D43" s="336"/>
      <c r="E43" s="229"/>
      <c r="F43" s="224"/>
      <c r="G43" s="229"/>
      <c r="H43" s="209"/>
      <c r="I43" s="203"/>
      <c r="J43" s="203"/>
      <c r="K43" s="185"/>
      <c r="L43" s="185"/>
      <c r="M43" s="185"/>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row>
    <row r="44" spans="1:43" s="1" customFormat="1" ht="18" customHeight="1">
      <c r="A44" s="1061"/>
      <c r="B44" s="1061"/>
      <c r="C44" s="197"/>
      <c r="D44" s="185"/>
      <c r="E44" s="197"/>
      <c r="F44" s="185"/>
      <c r="G44" s="197"/>
      <c r="H44" s="209"/>
      <c r="I44" s="1062"/>
      <c r="J44" s="203"/>
      <c r="K44" s="185"/>
      <c r="L44" s="3941"/>
      <c r="M44" s="3942"/>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row>
    <row r="45" spans="1:43" s="1" customFormat="1" ht="18" customHeight="1">
      <c r="A45" s="1061"/>
      <c r="B45" s="1061"/>
      <c r="C45" s="185"/>
      <c r="D45" s="185"/>
      <c r="E45" s="185"/>
      <c r="F45" s="185"/>
      <c r="G45" s="185"/>
      <c r="H45" s="209"/>
      <c r="I45" s="1062"/>
      <c r="J45" s="203"/>
      <c r="K45" s="185"/>
      <c r="L45" s="214"/>
      <c r="M45" s="1063"/>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row>
    <row r="46" spans="1:43" s="1" customFormat="1" ht="10.5" customHeight="1">
      <c r="A46" s="1061"/>
      <c r="B46" s="1061"/>
      <c r="C46" s="3943"/>
      <c r="D46" s="3944"/>
      <c r="E46" s="3944"/>
      <c r="F46" s="3944"/>
      <c r="G46" s="3944"/>
      <c r="H46" s="209"/>
      <c r="I46" s="1062"/>
      <c r="J46" s="203"/>
      <c r="K46" s="185"/>
      <c r="L46" s="214"/>
      <c r="M46" s="1063"/>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row>
    <row r="47" spans="1:43" s="1" customFormat="1" ht="19.5" customHeight="1">
      <c r="A47" s="1061"/>
      <c r="B47" s="1061"/>
      <c r="C47" s="293"/>
      <c r="D47" s="293"/>
      <c r="E47" s="293"/>
      <c r="F47" s="293"/>
      <c r="G47" s="293"/>
      <c r="H47" s="209"/>
      <c r="I47" s="203"/>
      <c r="J47" s="203"/>
      <c r="K47" s="185"/>
      <c r="L47" s="185"/>
      <c r="M47" s="185"/>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row>
    <row r="48" spans="1:43" s="1" customFormat="1" ht="10.5" customHeight="1">
      <c r="A48" s="185"/>
      <c r="B48" s="185"/>
      <c r="C48" s="229"/>
      <c r="D48" s="336"/>
      <c r="E48" s="229"/>
      <c r="F48" s="3927"/>
      <c r="G48" s="3927"/>
      <c r="H48" s="209"/>
      <c r="I48" s="203"/>
      <c r="J48" s="203"/>
      <c r="K48" s="185"/>
      <c r="L48" s="185"/>
      <c r="M48" s="185"/>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row>
    <row r="49" spans="1:43" s="1" customFormat="1" ht="18" customHeight="1">
      <c r="A49" s="185"/>
      <c r="B49" s="185"/>
      <c r="C49" s="1064"/>
      <c r="D49" s="1065"/>
      <c r="E49" s="1064"/>
      <c r="F49" s="1066"/>
      <c r="G49" s="1066"/>
      <c r="H49" s="209"/>
      <c r="I49" s="203"/>
      <c r="J49" s="203"/>
      <c r="K49" s="185"/>
      <c r="L49" s="185"/>
      <c r="M49" s="185"/>
      <c r="N49" s="217"/>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7"/>
      <c r="AQ49" s="217"/>
    </row>
    <row r="50" spans="1:43" s="1" customFormat="1" ht="10.5" customHeight="1">
      <c r="A50" s="1061"/>
      <c r="B50" s="1061"/>
      <c r="C50" s="185"/>
      <c r="D50" s="185"/>
      <c r="E50" s="217"/>
      <c r="F50" s="197"/>
      <c r="G50" s="185"/>
      <c r="H50" s="209"/>
      <c r="I50" s="203"/>
      <c r="J50" s="203"/>
      <c r="K50" s="185"/>
      <c r="L50" s="185"/>
      <c r="M50" s="185"/>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row>
    <row r="51" spans="1:43" s="1" customFormat="1" ht="19.5" customHeight="1">
      <c r="A51" s="1061"/>
      <c r="B51" s="1061"/>
      <c r="C51" s="185"/>
      <c r="D51" s="185"/>
      <c r="E51" s="217"/>
      <c r="F51" s="197"/>
      <c r="G51" s="185"/>
      <c r="H51" s="209"/>
      <c r="I51" s="203"/>
      <c r="J51" s="203"/>
      <c r="K51" s="185"/>
      <c r="L51" s="185"/>
      <c r="M51" s="185"/>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row>
    <row r="52" spans="1:43" s="1" customFormat="1" ht="10.5" customHeight="1">
      <c r="A52" s="1061"/>
      <c r="B52" s="1061"/>
      <c r="C52" s="229"/>
      <c r="D52" s="224"/>
      <c r="E52" s="229"/>
      <c r="F52" s="224"/>
      <c r="G52" s="1067"/>
      <c r="H52" s="209"/>
      <c r="I52" s="203"/>
      <c r="J52" s="203"/>
      <c r="K52" s="185"/>
      <c r="L52" s="185"/>
      <c r="M52" s="185"/>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row>
    <row r="53" spans="1:43" s="1" customFormat="1" ht="15" customHeight="1">
      <c r="A53" s="1061"/>
      <c r="B53" s="1061"/>
      <c r="C53" s="197"/>
      <c r="D53" s="192"/>
      <c r="E53" s="197"/>
      <c r="F53" s="192"/>
      <c r="G53" s="197"/>
      <c r="H53" s="209"/>
      <c r="I53" s="203"/>
      <c r="J53" s="203"/>
      <c r="K53" s="185"/>
      <c r="L53" s="185"/>
      <c r="M53" s="185"/>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row>
    <row r="54" spans="1:43" s="1" customFormat="1" ht="15" customHeight="1">
      <c r="A54" s="1061"/>
      <c r="B54" s="1061"/>
      <c r="C54" s="218"/>
      <c r="D54" s="192"/>
      <c r="E54" s="197"/>
      <c r="F54" s="192"/>
      <c r="G54" s="197"/>
      <c r="H54" s="209"/>
      <c r="I54" s="203"/>
      <c r="J54" s="203"/>
      <c r="K54" s="185"/>
      <c r="L54" s="185"/>
      <c r="M54" s="185"/>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row>
    <row r="55" spans="1:43" s="1" customFormat="1" ht="10.5" customHeight="1">
      <c r="A55" s="1061"/>
      <c r="B55" s="1061"/>
      <c r="C55" s="3931"/>
      <c r="D55" s="2866"/>
      <c r="E55" s="2866"/>
      <c r="F55" s="2866"/>
      <c r="G55" s="3932"/>
      <c r="H55" s="209"/>
      <c r="I55" s="203"/>
      <c r="J55" s="203"/>
      <c r="K55" s="185"/>
      <c r="L55" s="185"/>
      <c r="M55" s="185"/>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row>
    <row r="56" spans="1:43" s="1" customFormat="1" ht="19.5" customHeight="1">
      <c r="A56" s="1061"/>
      <c r="B56" s="1061"/>
      <c r="C56" s="185"/>
      <c r="D56" s="185"/>
      <c r="E56" s="217"/>
      <c r="F56" s="197"/>
      <c r="G56" s="185"/>
      <c r="H56" s="209"/>
      <c r="I56" s="203"/>
      <c r="J56" s="203"/>
      <c r="K56" s="185"/>
      <c r="L56" s="185"/>
      <c r="M56" s="185"/>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row>
    <row r="57" spans="1:43" s="1" customFormat="1" ht="10.5" customHeight="1">
      <c r="A57" s="1061"/>
      <c r="B57" s="1061"/>
      <c r="C57" s="1068"/>
      <c r="D57" s="224"/>
      <c r="E57" s="1064"/>
      <c r="F57" s="1069"/>
      <c r="G57" s="224"/>
      <c r="H57" s="209"/>
      <c r="I57" s="203"/>
      <c r="J57" s="203"/>
      <c r="K57" s="185"/>
      <c r="L57" s="185"/>
      <c r="M57" s="185"/>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row>
    <row r="58" spans="1:43" s="1" customFormat="1" ht="19.5" customHeight="1">
      <c r="A58" s="1061"/>
      <c r="B58" s="1061"/>
      <c r="C58" s="197"/>
      <c r="D58" s="185"/>
      <c r="E58" s="197"/>
      <c r="F58" s="185"/>
      <c r="G58" s="197"/>
      <c r="H58" s="209"/>
      <c r="I58" s="203"/>
      <c r="J58" s="203"/>
      <c r="K58" s="185"/>
      <c r="L58" s="185"/>
      <c r="M58" s="185"/>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row>
    <row r="59" spans="1:43" s="1" customFormat="1" ht="10.5" customHeight="1">
      <c r="A59" s="1061"/>
      <c r="B59" s="1061"/>
      <c r="C59" s="3931"/>
      <c r="D59" s="2866"/>
      <c r="E59" s="2866"/>
      <c r="F59" s="2866"/>
      <c r="G59" s="4"/>
      <c r="H59" s="209"/>
      <c r="I59" s="203"/>
      <c r="J59" s="203"/>
      <c r="K59" s="185"/>
      <c r="L59" s="185"/>
      <c r="M59" s="185"/>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row>
    <row r="60" spans="1:43" s="1" customFormat="1" ht="19.5" customHeight="1">
      <c r="A60" s="1061"/>
      <c r="B60" s="1061"/>
      <c r="C60" s="197"/>
      <c r="D60" s="185"/>
      <c r="E60" s="197"/>
      <c r="F60" s="185"/>
      <c r="G60" s="197"/>
      <c r="H60" s="209"/>
      <c r="I60" s="203"/>
      <c r="J60" s="203"/>
      <c r="K60" s="185"/>
      <c r="L60" s="185"/>
      <c r="M60" s="185"/>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row>
    <row r="61" spans="1:43" s="1" customFormat="1" ht="10.5" customHeight="1">
      <c r="A61" s="1070"/>
      <c r="B61" s="1070"/>
      <c r="C61" s="224"/>
      <c r="D61" s="185"/>
      <c r="E61" s="229"/>
      <c r="F61" s="224"/>
      <c r="H61" s="209"/>
      <c r="I61" s="203"/>
      <c r="J61" s="203"/>
      <c r="K61" s="185"/>
      <c r="L61" s="185"/>
      <c r="M61" s="185"/>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row>
    <row r="62" spans="1:43" s="1" customFormat="1" ht="18" customHeight="1">
      <c r="A62" s="1061"/>
      <c r="B62" s="1061"/>
      <c r="C62" s="185"/>
      <c r="D62" s="185"/>
      <c r="E62" s="185"/>
      <c r="F62" s="185"/>
      <c r="G62" s="185"/>
      <c r="H62" s="209"/>
      <c r="I62" s="203"/>
      <c r="J62" s="203"/>
      <c r="K62" s="185"/>
      <c r="L62" s="185"/>
      <c r="M62" s="185"/>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row>
    <row r="63" spans="1:43" s="1" customFormat="1" ht="10.5" customHeight="1">
      <c r="A63" s="1061"/>
      <c r="B63" s="1061"/>
      <c r="C63" s="185"/>
      <c r="D63" s="185"/>
      <c r="E63" s="185"/>
      <c r="F63" s="185"/>
      <c r="G63" s="185"/>
      <c r="H63" s="209"/>
      <c r="I63" s="203"/>
      <c r="J63" s="203"/>
      <c r="K63" s="185"/>
      <c r="L63" s="185"/>
      <c r="M63" s="185"/>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row>
    <row r="64" spans="1:43" s="1" customFormat="1" ht="24" customHeight="1">
      <c r="A64" s="1061"/>
      <c r="B64" s="1061"/>
      <c r="C64" s="185"/>
      <c r="D64" s="185"/>
      <c r="E64" s="185"/>
      <c r="F64" s="185"/>
      <c r="G64" s="185"/>
      <c r="H64" s="219"/>
      <c r="I64" s="220"/>
      <c r="J64" s="185"/>
      <c r="K64" s="185"/>
      <c r="L64" s="185"/>
      <c r="M64" s="185"/>
      <c r="N64" s="185"/>
      <c r="O64" s="217"/>
      <c r="P64" s="217"/>
      <c r="Q64" s="217"/>
      <c r="R64" s="217"/>
      <c r="S64" s="217"/>
      <c r="T64" s="217"/>
      <c r="U64" s="217"/>
      <c r="V64" s="217"/>
      <c r="W64" s="217"/>
      <c r="X64" s="217"/>
      <c r="Y64" s="217"/>
      <c r="Z64" s="217"/>
      <c r="AA64" s="217"/>
      <c r="AB64" s="217"/>
      <c r="AC64" s="217"/>
      <c r="AD64" s="217"/>
      <c r="AE64" s="217"/>
      <c r="AF64" s="217"/>
      <c r="AG64" s="217"/>
      <c r="AH64" s="217"/>
      <c r="AI64" s="217"/>
      <c r="AJ64" s="217"/>
      <c r="AK64" s="217"/>
      <c r="AL64" s="217"/>
      <c r="AM64" s="217"/>
      <c r="AN64" s="217"/>
      <c r="AO64" s="217"/>
      <c r="AP64" s="217"/>
      <c r="AQ64" s="217"/>
    </row>
    <row r="65" spans="1:43" s="1" customFormat="1" ht="10.5" customHeight="1">
      <c r="A65" s="185"/>
      <c r="B65" s="185"/>
      <c r="C65" s="229"/>
      <c r="D65" s="224"/>
      <c r="E65" s="229"/>
      <c r="F65" s="224"/>
      <c r="G65" s="229"/>
      <c r="H65" s="220"/>
      <c r="I65" s="220"/>
      <c r="J65" s="185"/>
      <c r="K65" s="185"/>
      <c r="L65" s="185"/>
      <c r="M65" s="185"/>
      <c r="N65" s="185"/>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row>
    <row r="66" spans="1:43" s="1" customFormat="1" ht="24" customHeight="1">
      <c r="A66" s="185"/>
      <c r="B66" s="185"/>
      <c r="C66" s="197"/>
      <c r="D66" s="185"/>
      <c r="E66" s="197"/>
      <c r="F66" s="185"/>
      <c r="G66" s="197"/>
      <c r="H66" s="220"/>
      <c r="I66" s="220"/>
      <c r="J66" s="185"/>
      <c r="K66" s="185"/>
      <c r="L66" s="185"/>
      <c r="M66" s="185"/>
      <c r="N66" s="185"/>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row>
    <row r="67" spans="1:43" s="1" customFormat="1" ht="18" customHeight="1">
      <c r="A67" s="185"/>
      <c r="B67" s="185"/>
      <c r="C67" s="201"/>
      <c r="D67" s="185"/>
      <c r="E67" s="229"/>
      <c r="G67" s="185"/>
      <c r="H67" s="185"/>
      <c r="I67" s="185"/>
      <c r="J67" s="185"/>
      <c r="K67" s="185"/>
      <c r="L67" s="185"/>
      <c r="M67" s="185"/>
      <c r="N67" s="185"/>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row>
    <row r="68" spans="1:43" s="1" customFormat="1" ht="5.25" customHeight="1">
      <c r="A68" s="1071"/>
      <c r="B68" s="1071"/>
      <c r="C68" s="218"/>
      <c r="D68" s="185"/>
      <c r="E68" s="197"/>
      <c r="F68" s="185"/>
      <c r="G68" s="197"/>
      <c r="H68" s="185"/>
      <c r="I68" s="185"/>
      <c r="J68" s="185"/>
      <c r="K68" s="185"/>
      <c r="L68" s="185"/>
      <c r="M68" s="185"/>
      <c r="N68" s="185"/>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row>
    <row r="69" spans="1:43" s="1" customFormat="1" ht="18" customHeight="1">
      <c r="A69" s="1071"/>
      <c r="B69" s="1071"/>
      <c r="C69" s="197"/>
      <c r="D69" s="185"/>
      <c r="E69" s="197"/>
      <c r="F69" s="185"/>
      <c r="G69" s="197"/>
      <c r="H69" s="185"/>
      <c r="I69" s="185"/>
      <c r="J69" s="185"/>
      <c r="K69" s="185"/>
      <c r="L69" s="185"/>
      <c r="M69" s="185"/>
      <c r="N69" s="185"/>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row>
    <row r="70" spans="1:43" s="1" customFormat="1" ht="10.5" customHeight="1">
      <c r="A70" s="1071"/>
      <c r="B70" s="1071"/>
      <c r="C70" s="192"/>
      <c r="D70" s="185"/>
      <c r="E70" s="185"/>
      <c r="F70" s="185"/>
      <c r="G70" s="185"/>
      <c r="H70" s="197"/>
      <c r="I70" s="197"/>
      <c r="J70" s="185"/>
      <c r="K70" s="185"/>
      <c r="L70" s="185"/>
      <c r="M70" s="185"/>
      <c r="N70" s="185"/>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row>
    <row r="71" spans="1:43" s="1" customFormat="1" ht="19.5" customHeight="1">
      <c r="A71" s="1071"/>
      <c r="B71" s="1071"/>
      <c r="C71" s="192"/>
      <c r="D71" s="185"/>
      <c r="E71" s="185"/>
      <c r="F71" s="185"/>
      <c r="G71" s="185"/>
      <c r="H71" s="185"/>
      <c r="K71" s="185"/>
      <c r="L71" s="185"/>
      <c r="M71" s="185"/>
      <c r="N71" s="185"/>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row>
    <row r="72" spans="1:43" s="1" customFormat="1" ht="48.75" customHeight="1">
      <c r="A72" s="1061"/>
      <c r="B72" s="1061"/>
      <c r="C72" s="185"/>
      <c r="D72" s="185"/>
      <c r="E72" s="185"/>
      <c r="F72" s="3927"/>
      <c r="G72" s="3928"/>
      <c r="H72" s="185"/>
      <c r="K72" s="185"/>
      <c r="L72" s="185"/>
      <c r="M72" s="185"/>
      <c r="N72" s="185"/>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row>
    <row r="73" spans="1:43" s="1" customFormat="1" ht="10.5" customHeight="1">
      <c r="A73" s="1061"/>
      <c r="B73" s="1061"/>
      <c r="C73" s="3929"/>
      <c r="D73" s="3930"/>
      <c r="E73" s="3930"/>
      <c r="F73" s="3930"/>
      <c r="G73" s="3930"/>
      <c r="H73" s="185"/>
      <c r="I73" s="185"/>
      <c r="J73" s="185"/>
      <c r="K73" s="185"/>
      <c r="L73" s="185"/>
      <c r="M73" s="185"/>
      <c r="N73" s="185"/>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row>
    <row r="74" spans="1:43" s="1" customFormat="1" ht="19.5" customHeight="1">
      <c r="A74" s="1061"/>
      <c r="B74" s="1061"/>
      <c r="C74" s="185"/>
      <c r="D74" s="185"/>
      <c r="E74" s="185"/>
      <c r="F74" s="185"/>
      <c r="G74" s="185"/>
      <c r="H74" s="185"/>
      <c r="I74" s="185"/>
      <c r="J74" s="185"/>
      <c r="K74" s="185"/>
      <c r="L74" s="185"/>
      <c r="M74" s="185"/>
      <c r="N74" s="185"/>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row>
    <row r="75" spans="1:43" s="1" customFormat="1" ht="18" customHeight="1">
      <c r="A75" s="1061"/>
      <c r="B75" s="1061"/>
      <c r="C75" s="185"/>
      <c r="D75" s="185"/>
      <c r="E75" s="185"/>
      <c r="F75" s="229"/>
      <c r="G75" s="185"/>
      <c r="H75" s="185"/>
      <c r="I75" s="185"/>
      <c r="J75" s="185"/>
      <c r="K75" s="185"/>
      <c r="L75" s="185"/>
      <c r="M75" s="185"/>
      <c r="N75" s="185"/>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row>
    <row r="76" spans="1:43" s="1" customFormat="1" ht="18" customHeight="1">
      <c r="A76" s="1061"/>
      <c r="B76" s="1061"/>
      <c r="C76" s="3945"/>
      <c r="D76" s="3946"/>
      <c r="E76" s="3946"/>
      <c r="F76" s="3946"/>
      <c r="G76" s="3946"/>
      <c r="H76" s="185"/>
      <c r="I76" s="185"/>
      <c r="J76" s="185"/>
      <c r="K76" s="185"/>
      <c r="L76" s="185"/>
      <c r="M76" s="185"/>
      <c r="N76" s="185"/>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row>
    <row r="77" spans="1:43" s="1" customFormat="1" ht="10.5" customHeight="1">
      <c r="A77" s="1061"/>
      <c r="B77" s="1061"/>
      <c r="C77" s="3946"/>
      <c r="D77" s="3946"/>
      <c r="E77" s="3946"/>
      <c r="F77" s="3946"/>
      <c r="G77" s="3946"/>
      <c r="H77" s="197"/>
      <c r="I77" s="197"/>
      <c r="J77" s="185"/>
      <c r="M77" s="185"/>
      <c r="N77" s="185"/>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row>
    <row r="78" spans="1:43" s="1" customFormat="1" ht="19.5" customHeight="1">
      <c r="A78" s="1071"/>
      <c r="B78" s="1071"/>
      <c r="C78" s="192"/>
      <c r="D78" s="185"/>
      <c r="E78" s="185"/>
      <c r="F78" s="185"/>
      <c r="G78" s="185"/>
      <c r="H78" s="185"/>
      <c r="I78" s="185"/>
      <c r="J78" s="185"/>
      <c r="M78" s="185"/>
      <c r="N78" s="185"/>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row>
    <row r="79" spans="1:43" s="1" customFormat="1" ht="23.1" customHeight="1">
      <c r="A79" s="1061"/>
      <c r="B79" s="1061"/>
      <c r="C79" s="185"/>
      <c r="D79" s="185"/>
      <c r="E79" s="229"/>
      <c r="F79" s="224"/>
      <c r="G79" s="19"/>
      <c r="H79" s="197"/>
      <c r="I79" s="197"/>
      <c r="J79" s="185"/>
      <c r="K79" s="185"/>
      <c r="L79" s="185"/>
      <c r="M79" s="185"/>
      <c r="N79" s="185"/>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row>
    <row r="80" spans="1:43" s="1" customFormat="1" ht="19.5" customHeight="1">
      <c r="A80" s="1071"/>
      <c r="B80" s="1071"/>
      <c r="C80" s="224"/>
      <c r="D80" s="185"/>
      <c r="E80" s="185"/>
      <c r="F80" s="185"/>
      <c r="H80" s="185"/>
      <c r="I80" s="185"/>
      <c r="J80" s="185"/>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row>
    <row r="81" spans="1:43" s="1" customFormat="1" ht="23.1" customHeight="1">
      <c r="A81" s="1061"/>
      <c r="B81" s="1061"/>
      <c r="C81" s="185"/>
      <c r="D81" s="185"/>
      <c r="E81" s="229"/>
      <c r="F81" s="224"/>
      <c r="G81" s="19"/>
      <c r="H81" s="197"/>
      <c r="I81" s="197"/>
      <c r="J81" s="185"/>
      <c r="K81" s="185"/>
      <c r="L81" s="185"/>
      <c r="M81" s="185"/>
      <c r="N81" s="185"/>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row>
    <row r="82" spans="1:43" s="1" customFormat="1" ht="18" customHeight="1">
      <c r="A82" s="1071"/>
      <c r="B82" s="1071"/>
      <c r="C82" s="224"/>
      <c r="D82" s="185"/>
      <c r="E82" s="185"/>
      <c r="F82" s="185"/>
      <c r="H82" s="192"/>
      <c r="I82" s="192"/>
      <c r="J82" s="185"/>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row>
    <row r="83" spans="1:43" s="1" customFormat="1" ht="10.5" customHeight="1">
      <c r="A83" s="1061"/>
      <c r="B83" s="1061"/>
      <c r="C83" s="3933"/>
      <c r="D83" s="3933"/>
      <c r="E83" s="3933"/>
      <c r="F83" s="3933"/>
      <c r="G83" s="3933"/>
      <c r="H83" s="192"/>
      <c r="I83" s="192"/>
      <c r="J83" s="185"/>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row>
    <row r="84" spans="1:43" s="1" customFormat="1" ht="19.5" customHeight="1">
      <c r="A84" s="1061"/>
      <c r="B84" s="1061"/>
      <c r="C84" s="285"/>
      <c r="D84" s="285"/>
      <c r="E84" s="285"/>
      <c r="F84" s="285"/>
      <c r="G84" s="285"/>
      <c r="H84" s="185"/>
      <c r="I84" s="185"/>
      <c r="J84" s="185"/>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row>
    <row r="85" spans="1:43" s="1" customFormat="1" ht="18" customHeight="1">
      <c r="A85" s="1061"/>
      <c r="B85" s="1061"/>
      <c r="C85" s="229"/>
      <c r="D85" s="224"/>
      <c r="E85" s="1068"/>
      <c r="F85" s="224"/>
      <c r="G85" s="229"/>
      <c r="H85" s="185"/>
      <c r="I85" s="185"/>
      <c r="J85" s="185"/>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row>
    <row r="86" spans="1:43" s="1" customFormat="1" ht="10.5" customHeight="1">
      <c r="A86" s="1061"/>
      <c r="B86" s="1061"/>
      <c r="C86" s="185"/>
      <c r="D86" s="185"/>
      <c r="E86" s="185"/>
      <c r="F86" s="185"/>
      <c r="G86" s="185"/>
      <c r="H86" s="185"/>
      <c r="I86" s="185"/>
      <c r="J86" s="185"/>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row>
    <row r="87" spans="1:43" s="1" customFormat="1" ht="19.5" customHeight="1">
      <c r="A87" s="1061"/>
      <c r="B87" s="1061"/>
      <c r="C87" s="185"/>
      <c r="D87" s="185"/>
      <c r="E87" s="185"/>
      <c r="F87" s="185"/>
      <c r="G87" s="185"/>
      <c r="H87" s="185"/>
      <c r="I87" s="185"/>
      <c r="J87" s="185"/>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row>
    <row r="88" spans="1:43" s="1" customFormat="1" ht="18" customHeight="1">
      <c r="A88" s="1061"/>
      <c r="B88" s="1061"/>
      <c r="C88" s="229"/>
      <c r="D88" s="224"/>
      <c r="E88" s="1072"/>
      <c r="F88" s="224"/>
      <c r="H88" s="192"/>
      <c r="I88" s="192"/>
      <c r="J88" s="185"/>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row>
    <row r="89" spans="1:43" s="1" customFormat="1" ht="10.5" customHeight="1">
      <c r="A89" s="1061"/>
      <c r="B89" s="1061"/>
      <c r="C89" s="3933"/>
      <c r="D89" s="3933"/>
      <c r="E89" s="3933"/>
      <c r="F89" s="3933"/>
      <c r="G89" s="3933"/>
      <c r="H89" s="192"/>
      <c r="I89" s="192"/>
      <c r="J89" s="185"/>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row>
    <row r="90" spans="1:43" s="1" customFormat="1" ht="19.5" customHeight="1">
      <c r="A90" s="1061"/>
      <c r="B90" s="1061"/>
      <c r="C90" s="285"/>
      <c r="D90" s="285"/>
      <c r="E90" s="285"/>
      <c r="F90" s="285"/>
      <c r="G90" s="285"/>
      <c r="H90" s="185"/>
      <c r="I90" s="185"/>
      <c r="J90" s="185"/>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row>
    <row r="91" spans="1:43" s="1" customFormat="1" ht="18" customHeight="1">
      <c r="A91" s="1061"/>
      <c r="B91" s="1061"/>
      <c r="C91" s="229"/>
      <c r="D91" s="224"/>
      <c r="E91" s="1072"/>
      <c r="F91" s="224"/>
      <c r="G91" s="229"/>
      <c r="H91" s="185"/>
      <c r="I91" s="185"/>
      <c r="J91" s="185"/>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row>
    <row r="92" spans="1:43" s="1" customFormat="1" ht="10.5" customHeight="1">
      <c r="A92" s="1061"/>
      <c r="B92" s="1061"/>
      <c r="C92" s="185"/>
      <c r="D92" s="185"/>
      <c r="E92" s="185"/>
      <c r="F92" s="185"/>
      <c r="G92" s="185"/>
      <c r="H92" s="185"/>
      <c r="I92" s="185"/>
      <c r="J92" s="185"/>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row>
    <row r="93" spans="1:43" s="1" customFormat="1" ht="19.5" customHeight="1">
      <c r="A93" s="1061"/>
      <c r="B93" s="1061"/>
      <c r="C93" s="185"/>
      <c r="D93" s="185"/>
      <c r="E93" s="185"/>
      <c r="F93" s="185"/>
      <c r="G93" s="185"/>
      <c r="H93" s="185"/>
      <c r="I93" s="185"/>
      <c r="J93" s="185"/>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row>
    <row r="94" spans="1:43" s="1" customFormat="1" ht="10.5" customHeight="1">
      <c r="A94" s="1061"/>
      <c r="B94" s="1061"/>
      <c r="C94" s="229"/>
      <c r="D94" s="224"/>
      <c r="E94" s="1072"/>
      <c r="F94" s="224"/>
      <c r="H94" s="185"/>
      <c r="I94" s="185"/>
      <c r="J94" s="185"/>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row>
    <row r="95" spans="1:43" s="1" customFormat="1" ht="19.5" customHeight="1">
      <c r="A95" s="1061"/>
      <c r="B95" s="1061"/>
      <c r="C95" s="197"/>
      <c r="D95" s="185"/>
      <c r="E95" s="223"/>
      <c r="F95" s="185"/>
      <c r="G95" s="185"/>
      <c r="H95" s="694"/>
      <c r="I95" s="694"/>
      <c r="J95" s="694"/>
      <c r="K95" s="694"/>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row>
    <row r="96" spans="1:43" s="1" customFormat="1" ht="10.5" customHeight="1">
      <c r="A96" s="1070"/>
      <c r="B96" s="1070"/>
      <c r="C96" s="224"/>
      <c r="D96" s="185"/>
      <c r="E96" s="229"/>
      <c r="F96" s="3926"/>
      <c r="G96" s="3926"/>
      <c r="H96" s="185"/>
      <c r="I96" s="185"/>
      <c r="J96" s="185"/>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row>
    <row r="97" spans="1:43" s="1" customFormat="1" ht="19.5" customHeight="1">
      <c r="A97" s="1061"/>
      <c r="B97" s="1061"/>
      <c r="C97" s="185"/>
      <c r="D97" s="185"/>
      <c r="E97" s="185"/>
      <c r="F97" s="3926"/>
      <c r="G97" s="3926"/>
      <c r="H97" s="185"/>
      <c r="I97" s="185"/>
      <c r="J97" s="185"/>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row>
    <row r="98" spans="1:43" s="1" customFormat="1" ht="165" customHeight="1">
      <c r="A98" s="1070"/>
      <c r="B98" s="1070"/>
      <c r="C98" s="224"/>
      <c r="D98" s="185"/>
      <c r="E98" s="229"/>
      <c r="F98" s="3961"/>
      <c r="G98" s="3961"/>
      <c r="H98" s="185"/>
      <c r="I98" s="185"/>
      <c r="J98" s="185"/>
      <c r="K98" s="217"/>
      <c r="L98" s="217"/>
      <c r="M98" s="217"/>
      <c r="N98" s="217"/>
      <c r="O98" s="217"/>
      <c r="P98" s="217"/>
      <c r="Q98" s="217"/>
      <c r="R98" s="217"/>
      <c r="S98" s="217"/>
      <c r="T98" s="217"/>
      <c r="U98" s="217"/>
      <c r="V98" s="217"/>
      <c r="W98" s="217"/>
      <c r="X98" s="217"/>
      <c r="Y98" s="217"/>
      <c r="Z98" s="217"/>
      <c r="AA98" s="217"/>
      <c r="AB98" s="217"/>
      <c r="AC98" s="217"/>
      <c r="AD98" s="217"/>
      <c r="AE98" s="217"/>
      <c r="AF98" s="217"/>
      <c r="AG98" s="217"/>
      <c r="AH98" s="217"/>
      <c r="AI98" s="217"/>
      <c r="AJ98" s="217"/>
      <c r="AK98" s="217"/>
      <c r="AL98" s="217"/>
      <c r="AM98" s="217"/>
      <c r="AN98" s="217"/>
      <c r="AO98" s="217"/>
      <c r="AP98" s="217"/>
      <c r="AQ98" s="217"/>
    </row>
    <row r="99" spans="1:43" s="1" customFormat="1" ht="18" customHeight="1">
      <c r="A99" s="3962"/>
      <c r="B99" s="3962"/>
      <c r="C99" s="2946"/>
      <c r="D99" s="2946"/>
      <c r="E99" s="1071"/>
      <c r="F99" s="1071"/>
      <c r="G99" s="1071"/>
      <c r="H99" s="185"/>
      <c r="I99" s="185"/>
      <c r="J99" s="185"/>
      <c r="K99" s="217"/>
      <c r="L99" s="217"/>
      <c r="M99" s="217"/>
      <c r="N99" s="217"/>
      <c r="O99" s="217"/>
      <c r="P99" s="217"/>
      <c r="Q99" s="217"/>
      <c r="R99" s="217"/>
      <c r="S99" s="217"/>
      <c r="T99" s="217"/>
      <c r="U99" s="217"/>
      <c r="V99" s="217"/>
      <c r="W99" s="217"/>
      <c r="X99" s="217"/>
      <c r="Y99" s="217"/>
      <c r="Z99" s="217"/>
      <c r="AA99" s="217"/>
      <c r="AB99" s="217"/>
      <c r="AC99" s="217"/>
      <c r="AD99" s="217"/>
      <c r="AE99" s="217"/>
      <c r="AF99" s="217"/>
      <c r="AG99" s="217"/>
      <c r="AH99" s="217"/>
      <c r="AI99" s="217"/>
      <c r="AJ99" s="217"/>
      <c r="AK99" s="217"/>
      <c r="AL99" s="217"/>
      <c r="AM99" s="217"/>
      <c r="AN99" s="217"/>
      <c r="AO99" s="217"/>
      <c r="AP99" s="217"/>
      <c r="AQ99" s="217"/>
    </row>
    <row r="100" spans="1:43" s="1" customFormat="1" ht="10.5" customHeight="1">
      <c r="A100" s="1071"/>
      <c r="B100" s="1071"/>
      <c r="C100" s="192"/>
      <c r="D100" s="185"/>
      <c r="E100" s="185"/>
      <c r="F100" s="185"/>
      <c r="G100" s="185"/>
      <c r="H100" s="185"/>
      <c r="I100" s="185"/>
      <c r="J100" s="185"/>
      <c r="K100" s="185"/>
      <c r="L100" s="185"/>
      <c r="M100" s="217"/>
      <c r="N100" s="217"/>
      <c r="O100" s="217"/>
      <c r="P100" s="217"/>
      <c r="Q100" s="217"/>
      <c r="R100" s="217"/>
      <c r="S100" s="217"/>
      <c r="T100" s="217"/>
      <c r="U100" s="217"/>
      <c r="V100" s="217"/>
      <c r="W100" s="217"/>
      <c r="X100" s="217"/>
      <c r="Y100" s="217"/>
      <c r="Z100" s="217"/>
      <c r="AA100" s="217"/>
      <c r="AB100" s="217"/>
      <c r="AC100" s="217"/>
      <c r="AD100" s="217"/>
      <c r="AE100" s="217"/>
      <c r="AF100" s="217"/>
      <c r="AG100" s="217"/>
      <c r="AH100" s="217"/>
      <c r="AI100" s="217"/>
      <c r="AJ100" s="217"/>
      <c r="AK100" s="217"/>
      <c r="AL100" s="217"/>
      <c r="AM100" s="217"/>
      <c r="AN100" s="217"/>
      <c r="AO100" s="217"/>
      <c r="AP100" s="217"/>
      <c r="AQ100" s="217"/>
    </row>
    <row r="101" spans="1:43" s="1" customFormat="1" ht="19.5" customHeight="1">
      <c r="A101" s="1061"/>
      <c r="B101" s="1061"/>
      <c r="C101" s="185"/>
      <c r="D101" s="192"/>
      <c r="E101" s="192"/>
      <c r="F101" s="185"/>
      <c r="G101" s="185"/>
      <c r="H101" s="185"/>
      <c r="I101" s="185"/>
      <c r="K101" s="185"/>
      <c r="L101" s="185"/>
      <c r="M101" s="217"/>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217"/>
      <c r="AK101" s="217"/>
      <c r="AL101" s="217"/>
      <c r="AM101" s="217"/>
      <c r="AN101" s="217"/>
      <c r="AO101" s="217"/>
      <c r="AP101" s="217"/>
      <c r="AQ101" s="217"/>
    </row>
    <row r="102" spans="1:43" s="1" customFormat="1" ht="10.5" customHeight="1">
      <c r="A102" s="1070"/>
      <c r="B102" s="1070"/>
      <c r="C102" s="224"/>
      <c r="D102" s="192"/>
      <c r="E102" s="3963"/>
      <c r="F102" s="3964"/>
      <c r="G102" s="3964"/>
      <c r="H102" s="185"/>
      <c r="I102" s="185"/>
      <c r="K102" s="185"/>
      <c r="L102" s="185"/>
      <c r="M102" s="217"/>
      <c r="N102" s="217"/>
      <c r="O102" s="217"/>
      <c r="P102" s="217"/>
      <c r="Q102" s="217"/>
      <c r="R102" s="217"/>
      <c r="S102" s="217"/>
      <c r="T102" s="217"/>
      <c r="U102" s="217"/>
      <c r="V102" s="217"/>
      <c r="W102" s="217"/>
      <c r="X102" s="217"/>
      <c r="Y102" s="217"/>
      <c r="Z102" s="217"/>
      <c r="AA102" s="217"/>
      <c r="AB102" s="217"/>
      <c r="AC102" s="217"/>
      <c r="AD102" s="217"/>
      <c r="AE102" s="217"/>
      <c r="AF102" s="217"/>
      <c r="AG102" s="217"/>
      <c r="AH102" s="217"/>
      <c r="AI102" s="217"/>
      <c r="AJ102" s="217"/>
      <c r="AK102" s="217"/>
      <c r="AL102" s="217"/>
      <c r="AM102" s="217"/>
      <c r="AN102" s="217"/>
      <c r="AO102" s="217"/>
      <c r="AP102" s="217"/>
      <c r="AQ102" s="217"/>
    </row>
    <row r="103" spans="1:43" s="1" customFormat="1" ht="19.5" customHeight="1">
      <c r="A103" s="1061"/>
      <c r="B103" s="1061"/>
      <c r="C103" s="185"/>
      <c r="D103" s="192"/>
      <c r="E103" s="185"/>
      <c r="F103" s="185"/>
      <c r="G103" s="185"/>
      <c r="H103" s="185"/>
      <c r="I103" s="185"/>
      <c r="J103" s="185"/>
      <c r="K103" s="185"/>
      <c r="L103" s="185"/>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row>
    <row r="104" spans="1:43" s="1" customFormat="1" ht="10.5" customHeight="1">
      <c r="A104" s="1070"/>
      <c r="B104" s="1070"/>
      <c r="C104" s="224"/>
      <c r="D104" s="224"/>
      <c r="E104" s="229"/>
      <c r="F104" s="224"/>
      <c r="G104" s="218"/>
      <c r="H104" s="185"/>
      <c r="I104" s="185"/>
      <c r="J104" s="185"/>
      <c r="K104" s="185"/>
      <c r="L104" s="185"/>
      <c r="M104" s="217"/>
      <c r="N104" s="217"/>
      <c r="O104" s="217"/>
      <c r="P104" s="217"/>
      <c r="Q104" s="217"/>
      <c r="R104" s="217"/>
      <c r="S104" s="217"/>
      <c r="T104" s="217"/>
      <c r="U104" s="217"/>
      <c r="V104" s="217"/>
      <c r="W104" s="217"/>
      <c r="X104" s="217"/>
      <c r="Y104" s="217"/>
      <c r="Z104" s="217"/>
      <c r="AA104" s="217"/>
      <c r="AB104" s="217"/>
      <c r="AC104" s="217"/>
      <c r="AD104" s="217"/>
      <c r="AE104" s="217"/>
      <c r="AF104" s="217"/>
      <c r="AG104" s="217"/>
      <c r="AH104" s="217"/>
      <c r="AI104" s="217"/>
      <c r="AJ104" s="217"/>
      <c r="AK104" s="217"/>
      <c r="AL104" s="217"/>
      <c r="AM104" s="217"/>
      <c r="AN104" s="217"/>
      <c r="AO104" s="217"/>
      <c r="AP104" s="217"/>
      <c r="AQ104" s="217"/>
    </row>
    <row r="105" spans="1:43" s="1" customFormat="1" ht="18" customHeight="1">
      <c r="A105" s="1061"/>
      <c r="B105" s="1061"/>
      <c r="C105" s="211"/>
      <c r="D105" s="192"/>
      <c r="E105" s="192"/>
      <c r="F105" s="185"/>
      <c r="G105" s="185"/>
      <c r="H105" s="185"/>
      <c r="I105" s="185"/>
      <c r="J105" s="185"/>
      <c r="K105" s="185"/>
      <c r="L105" s="185"/>
      <c r="M105" s="217"/>
      <c r="N105" s="217"/>
      <c r="O105" s="217"/>
      <c r="P105" s="217"/>
      <c r="Q105" s="217"/>
      <c r="R105" s="217"/>
      <c r="S105" s="217"/>
      <c r="T105" s="217"/>
      <c r="U105" s="217"/>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c r="AQ105" s="217"/>
    </row>
    <row r="106" spans="1:43" s="1" customFormat="1" ht="10.5" customHeight="1">
      <c r="A106" s="1061"/>
      <c r="B106" s="1061"/>
      <c r="C106" s="185"/>
      <c r="D106" s="185"/>
      <c r="E106" s="185"/>
      <c r="F106" s="185"/>
      <c r="G106" s="185"/>
      <c r="H106" s="185"/>
      <c r="I106" s="185"/>
      <c r="J106" s="185"/>
      <c r="K106" s="185"/>
      <c r="L106" s="185"/>
      <c r="M106" s="217"/>
      <c r="N106" s="217"/>
      <c r="O106" s="217"/>
      <c r="P106" s="217"/>
      <c r="Q106" s="217"/>
      <c r="R106" s="217"/>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c r="AQ106" s="217"/>
    </row>
    <row r="107" spans="1:43" s="1" customFormat="1" ht="19.5" customHeight="1">
      <c r="A107" s="1061"/>
      <c r="B107" s="1061"/>
      <c r="C107" s="185"/>
      <c r="D107" s="185"/>
      <c r="E107" s="185"/>
      <c r="F107" s="185"/>
      <c r="G107" s="185"/>
      <c r="H107" s="185"/>
      <c r="I107" s="185"/>
      <c r="J107" s="185"/>
      <c r="K107" s="185"/>
      <c r="L107" s="185"/>
      <c r="M107" s="217"/>
      <c r="N107" s="217"/>
      <c r="O107" s="217"/>
      <c r="P107" s="217"/>
      <c r="Q107" s="217"/>
      <c r="R107" s="217"/>
      <c r="S107" s="217"/>
      <c r="T107" s="217"/>
      <c r="U107" s="217"/>
      <c r="V107" s="217"/>
      <c r="W107" s="217"/>
      <c r="X107" s="217"/>
      <c r="Y107" s="217"/>
      <c r="Z107" s="217"/>
      <c r="AA107" s="217"/>
      <c r="AB107" s="217"/>
      <c r="AC107" s="217"/>
      <c r="AD107" s="217"/>
      <c r="AE107" s="217"/>
      <c r="AF107" s="217"/>
      <c r="AG107" s="217"/>
      <c r="AH107" s="217"/>
      <c r="AI107" s="217"/>
      <c r="AJ107" s="217"/>
      <c r="AK107" s="217"/>
      <c r="AL107" s="217"/>
      <c r="AM107" s="217"/>
      <c r="AN107" s="217"/>
      <c r="AO107" s="217"/>
      <c r="AP107" s="217"/>
      <c r="AQ107" s="217"/>
    </row>
    <row r="108" spans="1:43" s="1" customFormat="1" ht="18" customHeight="1">
      <c r="A108" s="1061"/>
      <c r="B108" s="1061"/>
      <c r="C108" s="229"/>
      <c r="D108" s="224"/>
      <c r="E108" s="229"/>
      <c r="F108" s="224"/>
      <c r="G108" s="229"/>
      <c r="H108" s="185"/>
      <c r="I108" s="185"/>
      <c r="J108" s="185"/>
      <c r="K108" s="185"/>
      <c r="L108" s="185"/>
      <c r="M108" s="217"/>
      <c r="N108" s="217"/>
      <c r="O108" s="217"/>
      <c r="P108" s="217"/>
      <c r="Q108" s="217"/>
      <c r="R108" s="217"/>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row>
    <row r="109" spans="1:43" s="1" customFormat="1" ht="10.5" customHeight="1">
      <c r="A109" s="1061"/>
      <c r="B109" s="1061"/>
      <c r="C109" s="185"/>
      <c r="D109" s="185"/>
      <c r="E109" s="192"/>
      <c r="F109" s="185"/>
      <c r="G109" s="214"/>
      <c r="H109" s="185"/>
      <c r="I109" s="185"/>
      <c r="J109" s="185"/>
      <c r="K109" s="185"/>
      <c r="L109" s="185"/>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row>
    <row r="110" spans="1:43" s="1" customFormat="1" ht="19.5" customHeight="1">
      <c r="A110" s="1061"/>
      <c r="B110" s="1061"/>
      <c r="C110" s="185"/>
      <c r="D110" s="185"/>
      <c r="E110" s="192"/>
      <c r="F110" s="185"/>
      <c r="G110" s="214"/>
      <c r="H110" s="185"/>
      <c r="I110" s="185"/>
      <c r="J110" s="185"/>
      <c r="K110" s="185"/>
      <c r="L110" s="185"/>
      <c r="M110" s="217"/>
      <c r="N110" s="217"/>
      <c r="O110" s="217"/>
      <c r="P110" s="217"/>
      <c r="Q110" s="217"/>
      <c r="R110" s="217"/>
      <c r="S110" s="217"/>
      <c r="T110" s="217"/>
      <c r="U110" s="217"/>
      <c r="V110" s="217"/>
      <c r="W110" s="217"/>
      <c r="X110" s="217"/>
      <c r="Y110" s="217"/>
      <c r="Z110" s="217"/>
      <c r="AA110" s="217"/>
      <c r="AB110" s="217"/>
      <c r="AC110" s="217"/>
      <c r="AD110" s="217"/>
      <c r="AE110" s="217"/>
      <c r="AF110" s="217"/>
      <c r="AG110" s="217"/>
      <c r="AH110" s="217"/>
      <c r="AI110" s="217"/>
      <c r="AJ110" s="217"/>
      <c r="AK110" s="217"/>
      <c r="AL110" s="217"/>
      <c r="AM110" s="217"/>
      <c r="AN110" s="217"/>
      <c r="AO110" s="217"/>
      <c r="AP110" s="217"/>
      <c r="AQ110" s="217"/>
    </row>
    <row r="111" spans="1:43" s="1" customFormat="1" ht="10.5" customHeight="1">
      <c r="A111" s="1061"/>
      <c r="B111" s="1061"/>
      <c r="C111" s="229"/>
      <c r="D111" s="224"/>
      <c r="E111" s="1072"/>
      <c r="F111" s="224"/>
      <c r="H111" s="185"/>
      <c r="I111" s="185"/>
      <c r="J111" s="185"/>
      <c r="K111" s="185"/>
      <c r="L111" s="185"/>
      <c r="M111" s="217"/>
      <c r="N111" s="217"/>
      <c r="O111" s="217"/>
      <c r="P111" s="217"/>
      <c r="Q111" s="217"/>
      <c r="R111" s="217"/>
      <c r="S111" s="217"/>
      <c r="T111" s="217"/>
      <c r="U111" s="217"/>
      <c r="V111" s="217"/>
      <c r="W111" s="217"/>
      <c r="X111" s="217"/>
      <c r="Y111" s="217"/>
      <c r="Z111" s="217"/>
      <c r="AA111" s="217"/>
      <c r="AB111" s="217"/>
      <c r="AC111" s="217"/>
      <c r="AD111" s="217"/>
      <c r="AE111" s="217"/>
      <c r="AF111" s="217"/>
      <c r="AG111" s="217"/>
      <c r="AH111" s="217"/>
      <c r="AI111" s="217"/>
      <c r="AJ111" s="217"/>
      <c r="AK111" s="217"/>
      <c r="AL111" s="217"/>
      <c r="AM111" s="217"/>
      <c r="AN111" s="217"/>
      <c r="AO111" s="217"/>
      <c r="AP111" s="217"/>
      <c r="AQ111" s="217"/>
    </row>
    <row r="112" spans="1:43" s="1" customFormat="1" ht="18" customHeight="1">
      <c r="A112" s="1061"/>
      <c r="B112" s="1061"/>
      <c r="C112" s="211"/>
      <c r="D112" s="192"/>
      <c r="E112" s="192"/>
      <c r="F112" s="185"/>
      <c r="G112" s="185"/>
      <c r="H112" s="185"/>
      <c r="I112" s="185"/>
      <c r="J112" s="229"/>
      <c r="K112" s="217"/>
      <c r="L112" s="217"/>
      <c r="M112" s="217"/>
      <c r="N112" s="217"/>
      <c r="O112" s="217"/>
      <c r="P112" s="217"/>
      <c r="Q112" s="217"/>
      <c r="R112" s="217"/>
      <c r="S112" s="217"/>
      <c r="T112" s="217"/>
      <c r="U112" s="217"/>
      <c r="V112" s="217"/>
      <c r="W112" s="217"/>
      <c r="X112" s="217"/>
      <c r="Y112" s="217"/>
      <c r="Z112" s="217"/>
      <c r="AA112" s="217"/>
      <c r="AB112" s="217"/>
      <c r="AC112" s="217"/>
      <c r="AD112" s="217"/>
      <c r="AE112" s="217"/>
      <c r="AF112" s="217"/>
      <c r="AG112" s="217"/>
      <c r="AH112" s="217"/>
      <c r="AI112" s="217"/>
      <c r="AJ112" s="217"/>
      <c r="AK112" s="217"/>
      <c r="AL112" s="217"/>
      <c r="AM112" s="217"/>
      <c r="AN112" s="217"/>
      <c r="AO112" s="217"/>
      <c r="AP112" s="217"/>
      <c r="AQ112" s="217"/>
    </row>
    <row r="113" spans="1:43" s="1" customFormat="1" ht="10.5" customHeight="1">
      <c r="A113" s="1071"/>
      <c r="B113" s="1071"/>
      <c r="C113" s="192"/>
      <c r="D113" s="192"/>
      <c r="E113" s="185"/>
      <c r="F113" s="185"/>
      <c r="G113" s="185"/>
      <c r="H113" s="185"/>
      <c r="I113" s="185"/>
      <c r="J113" s="229"/>
      <c r="K113" s="217"/>
      <c r="L113" s="217"/>
      <c r="M113" s="217"/>
      <c r="N113" s="217"/>
      <c r="O113" s="217"/>
      <c r="P113" s="217"/>
      <c r="Q113" s="217"/>
      <c r="R113" s="217"/>
      <c r="S113" s="217"/>
      <c r="T113" s="217"/>
      <c r="U113" s="217"/>
      <c r="V113" s="217"/>
      <c r="W113" s="217"/>
      <c r="X113" s="217"/>
      <c r="Y113" s="217"/>
      <c r="Z113" s="217"/>
      <c r="AA113" s="217"/>
      <c r="AB113" s="217"/>
      <c r="AC113" s="217"/>
      <c r="AD113" s="217"/>
      <c r="AE113" s="217"/>
      <c r="AF113" s="217"/>
      <c r="AG113" s="217"/>
      <c r="AH113" s="217"/>
      <c r="AI113" s="217"/>
      <c r="AJ113" s="217"/>
      <c r="AK113" s="217"/>
      <c r="AL113" s="217"/>
      <c r="AM113" s="217"/>
      <c r="AN113" s="217"/>
      <c r="AO113" s="217"/>
      <c r="AP113" s="217"/>
      <c r="AQ113" s="217"/>
    </row>
    <row r="114" spans="1:43" s="1" customFormat="1" ht="19.5" customHeight="1">
      <c r="A114" s="1071"/>
      <c r="B114" s="1071"/>
      <c r="C114" s="197"/>
      <c r="D114" s="185"/>
      <c r="E114" s="223"/>
      <c r="F114" s="185"/>
      <c r="G114" s="185"/>
      <c r="H114" s="185"/>
      <c r="I114" s="185"/>
      <c r="J114" s="229"/>
      <c r="K114" s="217"/>
      <c r="L114" s="217"/>
      <c r="M114" s="217"/>
      <c r="N114" s="217"/>
      <c r="O114" s="217"/>
      <c r="P114" s="217"/>
      <c r="Q114" s="217"/>
      <c r="R114" s="217"/>
      <c r="S114" s="217"/>
      <c r="T114" s="217"/>
      <c r="U114" s="217"/>
      <c r="V114" s="217"/>
      <c r="W114" s="217"/>
      <c r="X114" s="217"/>
      <c r="Y114" s="217"/>
      <c r="Z114" s="217"/>
      <c r="AA114" s="217"/>
      <c r="AB114" s="217"/>
      <c r="AC114" s="217"/>
      <c r="AD114" s="217"/>
      <c r="AE114" s="217"/>
      <c r="AF114" s="217"/>
      <c r="AG114" s="217"/>
      <c r="AH114" s="217"/>
      <c r="AI114" s="217"/>
      <c r="AJ114" s="217"/>
      <c r="AK114" s="217"/>
      <c r="AL114" s="217"/>
      <c r="AM114" s="217"/>
      <c r="AN114" s="217"/>
      <c r="AO114" s="217"/>
      <c r="AP114" s="217"/>
      <c r="AQ114" s="217"/>
    </row>
    <row r="115" spans="1:43" s="1" customFormat="1" ht="10.5" customHeight="1">
      <c r="A115" s="1061"/>
      <c r="B115" s="1061"/>
      <c r="C115" s="185"/>
      <c r="D115" s="185"/>
      <c r="E115" s="3965"/>
      <c r="F115" s="3966"/>
      <c r="G115" s="3966"/>
      <c r="H115" s="185"/>
      <c r="I115" s="185"/>
      <c r="J115" s="229"/>
      <c r="K115" s="217"/>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row>
    <row r="116" spans="1:43" s="1" customFormat="1" ht="19.5" customHeight="1">
      <c r="A116" s="1061"/>
      <c r="B116" s="1061"/>
      <c r="C116" s="185"/>
      <c r="D116" s="185"/>
      <c r="E116" s="1064"/>
      <c r="F116" s="1064"/>
      <c r="G116" s="1064"/>
      <c r="H116" s="185"/>
      <c r="I116" s="185"/>
      <c r="J116" s="229"/>
      <c r="K116" s="217"/>
      <c r="L116" s="217"/>
      <c r="M116" s="217"/>
      <c r="N116" s="217"/>
      <c r="O116" s="217"/>
      <c r="P116" s="217"/>
      <c r="Q116" s="217"/>
      <c r="R116" s="217"/>
      <c r="S116" s="217"/>
      <c r="T116" s="217"/>
      <c r="U116" s="217"/>
      <c r="V116" s="217"/>
      <c r="W116" s="217"/>
      <c r="X116" s="217"/>
      <c r="Y116" s="217"/>
      <c r="Z116" s="217"/>
      <c r="AA116" s="217"/>
      <c r="AB116" s="217"/>
      <c r="AC116" s="217"/>
      <c r="AD116" s="217"/>
      <c r="AE116" s="217"/>
      <c r="AF116" s="217"/>
      <c r="AG116" s="217"/>
      <c r="AH116" s="217"/>
      <c r="AI116" s="217"/>
      <c r="AJ116" s="217"/>
      <c r="AK116" s="217"/>
      <c r="AL116" s="217"/>
      <c r="AM116" s="217"/>
      <c r="AN116" s="217"/>
      <c r="AO116" s="217"/>
      <c r="AP116" s="217"/>
      <c r="AQ116" s="217"/>
    </row>
    <row r="117" spans="1:43" s="1" customFormat="1" ht="10.5" customHeight="1">
      <c r="A117" s="1061"/>
      <c r="B117" s="1061"/>
      <c r="C117" s="185"/>
      <c r="D117" s="185"/>
      <c r="E117" s="3965"/>
      <c r="F117" s="3965"/>
      <c r="G117" s="3965"/>
      <c r="H117" s="185"/>
      <c r="I117" s="185"/>
      <c r="J117" s="229"/>
      <c r="K117" s="217"/>
      <c r="L117" s="217"/>
      <c r="M117" s="217"/>
      <c r="N117" s="217"/>
      <c r="O117" s="217"/>
      <c r="P117" s="217"/>
      <c r="Q117" s="217"/>
      <c r="R117" s="217"/>
      <c r="S117" s="217"/>
      <c r="T117" s="217"/>
      <c r="U117" s="217"/>
      <c r="V117" s="217"/>
      <c r="W117" s="217"/>
      <c r="X117" s="217"/>
      <c r="Y117" s="217"/>
      <c r="Z117" s="217"/>
      <c r="AA117" s="217"/>
      <c r="AB117" s="217"/>
      <c r="AC117" s="217"/>
      <c r="AD117" s="217"/>
      <c r="AE117" s="217"/>
      <c r="AF117" s="217"/>
      <c r="AG117" s="217"/>
      <c r="AH117" s="217"/>
      <c r="AI117" s="217"/>
      <c r="AJ117" s="217"/>
      <c r="AK117" s="217"/>
      <c r="AL117" s="217"/>
      <c r="AM117" s="217"/>
      <c r="AN117" s="217"/>
      <c r="AO117" s="217"/>
      <c r="AP117" s="217"/>
      <c r="AQ117" s="217"/>
    </row>
    <row r="118" spans="1:43" s="1" customFormat="1" ht="19.5" customHeight="1">
      <c r="A118" s="1061"/>
      <c r="B118" s="1061"/>
      <c r="C118" s="185"/>
      <c r="D118" s="185"/>
      <c r="E118" s="185"/>
      <c r="F118" s="185"/>
      <c r="G118" s="185"/>
      <c r="H118" s="185"/>
      <c r="I118" s="185"/>
      <c r="J118" s="229"/>
      <c r="K118" s="217"/>
      <c r="L118" s="217"/>
      <c r="M118" s="217"/>
      <c r="N118" s="217"/>
      <c r="O118" s="217"/>
      <c r="P118" s="217"/>
      <c r="Q118" s="217"/>
      <c r="R118" s="217"/>
      <c r="S118" s="217"/>
      <c r="T118" s="217"/>
      <c r="U118" s="217"/>
      <c r="V118" s="217"/>
      <c r="W118" s="217"/>
      <c r="X118" s="217"/>
      <c r="Y118" s="217"/>
      <c r="Z118" s="217"/>
      <c r="AA118" s="217"/>
      <c r="AB118" s="217"/>
      <c r="AC118" s="217"/>
      <c r="AD118" s="217"/>
      <c r="AE118" s="217"/>
      <c r="AF118" s="217"/>
      <c r="AG118" s="217"/>
      <c r="AH118" s="217"/>
      <c r="AI118" s="217"/>
      <c r="AJ118" s="217"/>
      <c r="AK118" s="217"/>
      <c r="AL118" s="217"/>
      <c r="AM118" s="217"/>
      <c r="AN118" s="217"/>
      <c r="AO118" s="217"/>
      <c r="AP118" s="217"/>
      <c r="AQ118" s="217"/>
    </row>
    <row r="119" spans="1:43" s="1" customFormat="1" ht="10.5" customHeight="1">
      <c r="A119" s="1061"/>
      <c r="B119" s="1061"/>
      <c r="C119" s="185"/>
      <c r="D119" s="185"/>
      <c r="E119" s="185"/>
      <c r="F119" s="229"/>
      <c r="G119" s="185"/>
      <c r="H119" s="185"/>
      <c r="I119" s="185"/>
      <c r="J119" s="229"/>
      <c r="K119" s="217"/>
      <c r="L119" s="217"/>
      <c r="M119" s="217"/>
      <c r="N119" s="217"/>
      <c r="O119" s="217"/>
      <c r="P119" s="217"/>
      <c r="Q119" s="217"/>
      <c r="R119" s="217"/>
      <c r="S119" s="217"/>
      <c r="T119" s="217"/>
      <c r="U119" s="217"/>
      <c r="V119" s="217"/>
      <c r="W119" s="217"/>
      <c r="X119" s="217"/>
      <c r="Y119" s="217"/>
      <c r="Z119" s="217"/>
      <c r="AA119" s="217"/>
      <c r="AB119" s="217"/>
      <c r="AC119" s="217"/>
      <c r="AD119" s="217"/>
      <c r="AE119" s="217"/>
      <c r="AF119" s="217"/>
      <c r="AG119" s="217"/>
      <c r="AH119" s="217"/>
      <c r="AI119" s="217"/>
      <c r="AJ119" s="217"/>
      <c r="AK119" s="217"/>
      <c r="AL119" s="217"/>
      <c r="AM119" s="217"/>
      <c r="AN119" s="217"/>
      <c r="AO119" s="217"/>
      <c r="AP119" s="217"/>
      <c r="AQ119" s="217"/>
    </row>
    <row r="120" spans="1:43" s="1" customFormat="1" ht="18" customHeight="1">
      <c r="A120" s="1061"/>
      <c r="B120" s="1061"/>
      <c r="C120" s="185"/>
      <c r="D120" s="185"/>
      <c r="E120" s="185"/>
      <c r="F120" s="197"/>
      <c r="G120" s="185"/>
      <c r="H120" s="185"/>
      <c r="I120" s="185"/>
      <c r="J120" s="229"/>
      <c r="K120" s="217"/>
      <c r="L120" s="217"/>
      <c r="M120" s="217"/>
      <c r="N120" s="217"/>
      <c r="O120" s="217"/>
      <c r="P120" s="217"/>
      <c r="Q120" s="217"/>
      <c r="R120" s="217"/>
      <c r="S120" s="217"/>
      <c r="T120" s="217"/>
      <c r="U120" s="217"/>
      <c r="V120" s="217"/>
      <c r="W120" s="217"/>
      <c r="X120" s="217"/>
      <c r="Y120" s="217"/>
      <c r="Z120" s="217"/>
      <c r="AA120" s="217"/>
      <c r="AB120" s="217"/>
      <c r="AC120" s="217"/>
      <c r="AD120" s="217"/>
      <c r="AE120" s="217"/>
      <c r="AF120" s="217"/>
      <c r="AG120" s="217"/>
      <c r="AH120" s="217"/>
      <c r="AI120" s="217"/>
      <c r="AJ120" s="217"/>
      <c r="AK120" s="217"/>
      <c r="AL120" s="217"/>
      <c r="AM120" s="217"/>
      <c r="AN120" s="217"/>
      <c r="AO120" s="217"/>
      <c r="AP120" s="217"/>
      <c r="AQ120" s="217"/>
    </row>
    <row r="121" spans="1:43" s="1" customFormat="1" ht="10.5" customHeight="1">
      <c r="A121" s="1061"/>
      <c r="B121" s="1061"/>
      <c r="C121" s="3959"/>
      <c r="D121" s="3959"/>
      <c r="E121" s="3959"/>
      <c r="F121" s="3959"/>
      <c r="G121" s="185"/>
      <c r="H121" s="185"/>
      <c r="I121" s="185"/>
      <c r="J121" s="229"/>
      <c r="K121" s="217"/>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row>
    <row r="122" spans="1:43" s="1" customFormat="1" ht="18" customHeight="1">
      <c r="A122" s="1061"/>
      <c r="B122" s="1061"/>
      <c r="C122" s="3959"/>
      <c r="D122" s="3959"/>
      <c r="E122" s="3959"/>
      <c r="F122" s="3959"/>
      <c r="G122" s="185"/>
      <c r="H122" s="185"/>
      <c r="I122" s="185"/>
      <c r="J122" s="229"/>
      <c r="K122" s="217"/>
      <c r="L122" s="217"/>
      <c r="M122" s="217"/>
      <c r="N122" s="217"/>
      <c r="O122" s="217"/>
      <c r="P122" s="217"/>
      <c r="Q122" s="217"/>
      <c r="R122" s="217"/>
      <c r="S122" s="217"/>
      <c r="T122" s="217"/>
      <c r="U122" s="217"/>
      <c r="V122" s="217"/>
      <c r="W122" s="217"/>
      <c r="X122" s="217"/>
      <c r="Y122" s="217"/>
      <c r="Z122" s="217"/>
      <c r="AA122" s="217"/>
      <c r="AB122" s="217"/>
      <c r="AC122" s="217"/>
      <c r="AD122" s="217"/>
      <c r="AE122" s="217"/>
      <c r="AF122" s="217"/>
      <c r="AG122" s="217"/>
      <c r="AH122" s="217"/>
      <c r="AI122" s="217"/>
      <c r="AJ122" s="217"/>
      <c r="AK122" s="217"/>
      <c r="AL122" s="217"/>
      <c r="AM122" s="217"/>
      <c r="AN122" s="217"/>
      <c r="AO122" s="217"/>
      <c r="AP122" s="217"/>
      <c r="AQ122" s="217"/>
    </row>
    <row r="123" spans="1:43" s="1" customFormat="1" ht="18" customHeight="1">
      <c r="A123" s="1070"/>
      <c r="B123" s="1070"/>
      <c r="C123" s="3960"/>
      <c r="D123" s="3960"/>
      <c r="E123" s="3960"/>
      <c r="F123" s="3960"/>
      <c r="G123" s="3960"/>
      <c r="H123" s="185"/>
      <c r="I123" s="185"/>
      <c r="J123" s="229"/>
      <c r="K123" s="185"/>
      <c r="L123" s="185"/>
      <c r="M123" s="185"/>
      <c r="N123" s="185"/>
      <c r="O123" s="185"/>
      <c r="P123" s="217"/>
      <c r="Q123" s="217"/>
      <c r="R123" s="217"/>
      <c r="S123" s="217"/>
      <c r="T123" s="217"/>
      <c r="U123" s="217"/>
      <c r="V123" s="217"/>
      <c r="W123" s="217"/>
      <c r="X123" s="217"/>
      <c r="Y123" s="217"/>
      <c r="Z123" s="217"/>
      <c r="AA123" s="217"/>
      <c r="AB123" s="217"/>
      <c r="AC123" s="217"/>
      <c r="AD123" s="217"/>
      <c r="AE123" s="217"/>
      <c r="AF123" s="217"/>
      <c r="AG123" s="217"/>
      <c r="AH123" s="217"/>
      <c r="AI123" s="217"/>
      <c r="AJ123" s="217"/>
      <c r="AK123" s="217"/>
      <c r="AL123" s="217"/>
      <c r="AM123" s="217"/>
      <c r="AN123" s="217"/>
      <c r="AO123" s="217"/>
      <c r="AP123" s="217"/>
      <c r="AQ123" s="217"/>
    </row>
    <row r="124" spans="1:43" s="1" customFormat="1" ht="19.5" customHeight="1">
      <c r="A124" s="1073"/>
      <c r="B124" s="1073"/>
      <c r="C124" s="3960"/>
      <c r="D124" s="3960"/>
      <c r="E124" s="3960"/>
      <c r="F124" s="3960"/>
      <c r="G124" s="3960"/>
      <c r="H124" s="185"/>
      <c r="I124" s="185"/>
      <c r="J124" s="229"/>
      <c r="K124" s="185"/>
      <c r="L124" s="185"/>
      <c r="M124" s="185"/>
      <c r="N124" s="185"/>
      <c r="O124" s="185"/>
      <c r="P124" s="217"/>
      <c r="Q124" s="217"/>
      <c r="R124" s="217"/>
      <c r="S124" s="217"/>
      <c r="T124" s="217"/>
      <c r="U124" s="217"/>
      <c r="V124" s="217"/>
      <c r="W124" s="217"/>
      <c r="X124" s="217"/>
      <c r="Y124" s="217"/>
      <c r="Z124" s="217"/>
      <c r="AA124" s="217"/>
      <c r="AB124" s="217"/>
      <c r="AC124" s="217"/>
      <c r="AD124" s="217"/>
      <c r="AE124" s="217"/>
      <c r="AF124" s="217"/>
      <c r="AG124" s="217"/>
      <c r="AH124" s="217"/>
      <c r="AI124" s="217"/>
      <c r="AJ124" s="217"/>
      <c r="AK124" s="217"/>
      <c r="AL124" s="217"/>
      <c r="AM124" s="217"/>
      <c r="AN124" s="217"/>
      <c r="AO124" s="217"/>
      <c r="AP124" s="217"/>
      <c r="AQ124" s="217"/>
    </row>
    <row r="125" spans="1:43" s="1" customFormat="1" ht="10.5" customHeight="1">
      <c r="A125" s="1073"/>
      <c r="B125" s="1073"/>
      <c r="C125" s="229"/>
      <c r="D125" s="224"/>
      <c r="E125" s="229"/>
      <c r="F125" s="224"/>
      <c r="G125" s="229"/>
      <c r="H125" s="185"/>
      <c r="I125" s="185"/>
      <c r="J125" s="229"/>
      <c r="K125" s="185"/>
      <c r="L125" s="185"/>
      <c r="M125" s="185"/>
      <c r="N125" s="185"/>
      <c r="O125" s="185"/>
      <c r="P125" s="217"/>
      <c r="Q125" s="217"/>
      <c r="R125" s="217"/>
      <c r="S125" s="217"/>
      <c r="T125" s="217"/>
      <c r="U125" s="217"/>
      <c r="V125" s="217"/>
      <c r="W125" s="217"/>
      <c r="X125" s="217"/>
      <c r="Y125" s="217"/>
      <c r="Z125" s="217"/>
      <c r="AA125" s="217"/>
      <c r="AB125" s="217"/>
      <c r="AC125" s="217"/>
      <c r="AD125" s="217"/>
      <c r="AE125" s="217"/>
      <c r="AF125" s="217"/>
      <c r="AG125" s="217"/>
      <c r="AH125" s="217"/>
      <c r="AI125" s="217"/>
      <c r="AJ125" s="217"/>
      <c r="AK125" s="217"/>
      <c r="AL125" s="217"/>
      <c r="AM125" s="217"/>
      <c r="AN125" s="217"/>
      <c r="AO125" s="217"/>
      <c r="AP125" s="217"/>
      <c r="AQ125" s="217"/>
    </row>
    <row r="126" spans="1:43" s="1" customFormat="1" ht="18" customHeight="1">
      <c r="A126" s="1073"/>
      <c r="B126" s="1073"/>
      <c r="C126" s="225"/>
      <c r="D126" s="197"/>
      <c r="E126" s="185"/>
      <c r="F126" s="197"/>
      <c r="G126" s="185"/>
      <c r="H126" s="185"/>
      <c r="I126" s="185"/>
      <c r="J126" s="229"/>
      <c r="K126" s="185"/>
      <c r="L126" s="185"/>
      <c r="M126" s="185"/>
      <c r="N126" s="185"/>
      <c r="O126" s="185"/>
      <c r="P126" s="217"/>
      <c r="Q126" s="217"/>
      <c r="R126" s="217"/>
      <c r="S126" s="217"/>
      <c r="T126" s="217"/>
      <c r="U126" s="217"/>
      <c r="V126" s="217"/>
      <c r="W126" s="217"/>
      <c r="X126" s="217"/>
      <c r="Y126" s="217"/>
      <c r="Z126" s="217"/>
      <c r="AA126" s="217"/>
      <c r="AB126" s="217"/>
      <c r="AC126" s="217"/>
      <c r="AD126" s="217"/>
      <c r="AE126" s="217"/>
      <c r="AF126" s="217"/>
      <c r="AG126" s="217"/>
      <c r="AH126" s="217"/>
      <c r="AI126" s="217"/>
      <c r="AJ126" s="217"/>
      <c r="AK126" s="217"/>
      <c r="AL126" s="217"/>
      <c r="AM126" s="217"/>
      <c r="AN126" s="217"/>
      <c r="AO126" s="217"/>
      <c r="AP126" s="217"/>
      <c r="AQ126" s="217"/>
    </row>
    <row r="127" spans="1:43" s="1" customFormat="1" ht="19.5" customHeight="1">
      <c r="A127" s="1061"/>
      <c r="B127" s="1061"/>
      <c r="C127" s="185"/>
      <c r="D127" s="185"/>
      <c r="E127" s="185"/>
      <c r="F127" s="185"/>
      <c r="G127" s="185"/>
      <c r="H127" s="185"/>
      <c r="I127" s="185"/>
      <c r="J127" s="229"/>
      <c r="K127" s="185"/>
      <c r="L127" s="185"/>
      <c r="M127" s="185"/>
      <c r="N127" s="185"/>
      <c r="O127" s="185"/>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row>
    <row r="128" spans="1:43" s="1" customFormat="1" ht="10.5" customHeight="1">
      <c r="A128" s="1071"/>
      <c r="B128" s="1071"/>
      <c r="C128" s="229"/>
      <c r="D128" s="224"/>
      <c r="E128" s="1072"/>
      <c r="F128" s="224"/>
      <c r="H128" s="185"/>
      <c r="I128" s="185"/>
      <c r="J128" s="229"/>
      <c r="K128" s="185"/>
      <c r="L128" s="185"/>
      <c r="M128" s="185"/>
      <c r="N128" s="185"/>
      <c r="O128" s="185"/>
      <c r="P128" s="217"/>
      <c r="Q128" s="217"/>
      <c r="R128" s="217"/>
      <c r="S128" s="217"/>
      <c r="T128" s="217"/>
      <c r="U128" s="217"/>
      <c r="V128" s="217"/>
      <c r="W128" s="217"/>
      <c r="X128" s="217"/>
      <c r="Y128" s="217"/>
      <c r="Z128" s="217"/>
      <c r="AA128" s="217"/>
      <c r="AB128" s="217"/>
      <c r="AC128" s="217"/>
      <c r="AD128" s="217"/>
      <c r="AE128" s="217"/>
      <c r="AF128" s="217"/>
      <c r="AG128" s="217"/>
      <c r="AH128" s="217"/>
      <c r="AI128" s="217"/>
      <c r="AJ128" s="217"/>
      <c r="AK128" s="217"/>
      <c r="AL128" s="217"/>
      <c r="AM128" s="217"/>
      <c r="AN128" s="217"/>
      <c r="AO128" s="217"/>
      <c r="AP128" s="217"/>
      <c r="AQ128" s="217"/>
    </row>
    <row r="129" spans="1:43" s="1" customFormat="1" ht="18" customHeight="1">
      <c r="A129" s="1071"/>
      <c r="B129" s="1071"/>
      <c r="C129" s="185"/>
      <c r="D129" s="197"/>
      <c r="E129" s="185"/>
      <c r="F129" s="223"/>
      <c r="G129" s="185"/>
      <c r="H129" s="185"/>
      <c r="I129" s="185"/>
      <c r="J129" s="185"/>
      <c r="K129" s="185"/>
      <c r="L129" s="185"/>
      <c r="M129" s="185"/>
      <c r="N129" s="185"/>
      <c r="O129" s="185"/>
      <c r="P129" s="217"/>
      <c r="Q129" s="217"/>
      <c r="R129" s="217"/>
      <c r="S129" s="217"/>
      <c r="T129" s="217"/>
      <c r="U129" s="217"/>
      <c r="V129" s="217"/>
      <c r="W129" s="217"/>
      <c r="X129" s="217"/>
      <c r="Y129" s="217"/>
      <c r="Z129" s="217"/>
      <c r="AA129" s="217"/>
      <c r="AB129" s="217"/>
      <c r="AC129" s="217"/>
      <c r="AD129" s="217"/>
      <c r="AE129" s="217"/>
      <c r="AF129" s="217"/>
      <c r="AG129" s="217"/>
      <c r="AH129" s="217"/>
      <c r="AI129" s="217"/>
      <c r="AJ129" s="217"/>
      <c r="AK129" s="217"/>
      <c r="AL129" s="217"/>
      <c r="AM129" s="217"/>
      <c r="AN129" s="217"/>
      <c r="AO129" s="217"/>
      <c r="AP129" s="217"/>
      <c r="AQ129" s="217"/>
    </row>
    <row r="130" spans="1:43" s="1" customFormat="1" ht="10.5" customHeight="1">
      <c r="A130" s="1071"/>
      <c r="B130" s="1071"/>
      <c r="C130" s="192"/>
      <c r="D130" s="192"/>
      <c r="E130" s="185"/>
      <c r="F130" s="185"/>
      <c r="G130" s="185"/>
      <c r="H130" s="185"/>
      <c r="I130" s="185"/>
      <c r="J130" s="185"/>
      <c r="K130" s="185"/>
      <c r="L130" s="185"/>
      <c r="M130" s="185"/>
      <c r="N130" s="185"/>
      <c r="O130" s="185"/>
      <c r="P130" s="217"/>
      <c r="Q130" s="217"/>
      <c r="R130" s="217"/>
      <c r="S130" s="217"/>
      <c r="T130" s="217"/>
      <c r="U130" s="217"/>
      <c r="V130" s="217"/>
      <c r="W130" s="217"/>
      <c r="X130" s="217"/>
      <c r="Y130" s="217"/>
      <c r="Z130" s="217"/>
      <c r="AA130" s="217"/>
      <c r="AB130" s="217"/>
      <c r="AC130" s="217"/>
      <c r="AD130" s="217"/>
      <c r="AE130" s="217"/>
      <c r="AF130" s="217"/>
      <c r="AG130" s="217"/>
      <c r="AH130" s="217"/>
      <c r="AI130" s="217"/>
      <c r="AJ130" s="217"/>
      <c r="AK130" s="217"/>
      <c r="AL130" s="217"/>
      <c r="AM130" s="217"/>
      <c r="AN130" s="217"/>
      <c r="AO130" s="217"/>
      <c r="AP130" s="217"/>
      <c r="AQ130" s="217"/>
    </row>
    <row r="131" spans="1:43" s="1" customFormat="1" ht="18" customHeight="1">
      <c r="A131" s="1061"/>
      <c r="B131" s="1061"/>
      <c r="C131" s="197"/>
      <c r="D131" s="185"/>
      <c r="E131" s="197"/>
      <c r="F131" s="185"/>
      <c r="G131" s="197"/>
      <c r="H131" s="192"/>
      <c r="I131" s="185"/>
      <c r="J131" s="185"/>
      <c r="K131" s="185"/>
      <c r="L131" s="185"/>
      <c r="M131" s="185"/>
      <c r="N131" s="185"/>
      <c r="O131" s="185"/>
      <c r="P131" s="217"/>
      <c r="Q131" s="217"/>
      <c r="R131" s="217"/>
      <c r="S131" s="217"/>
      <c r="T131" s="217"/>
      <c r="U131" s="217"/>
      <c r="V131" s="217"/>
      <c r="W131" s="217"/>
      <c r="X131" s="217"/>
      <c r="Y131" s="217"/>
      <c r="Z131" s="217"/>
      <c r="AA131" s="217"/>
      <c r="AB131" s="217"/>
      <c r="AC131" s="217"/>
      <c r="AD131" s="217"/>
      <c r="AE131" s="217"/>
      <c r="AF131" s="217"/>
      <c r="AG131" s="217"/>
      <c r="AH131" s="217"/>
      <c r="AI131" s="217"/>
      <c r="AJ131" s="217"/>
      <c r="AK131" s="217"/>
      <c r="AL131" s="217"/>
      <c r="AM131" s="217"/>
      <c r="AN131" s="217"/>
      <c r="AO131" s="217"/>
      <c r="AP131" s="217"/>
      <c r="AQ131" s="217"/>
    </row>
    <row r="132" spans="1:43" s="1" customFormat="1" ht="10.5" customHeight="1">
      <c r="A132" s="1061"/>
      <c r="B132" s="1061"/>
      <c r="C132" s="201"/>
      <c r="D132" s="293"/>
      <c r="E132" s="293"/>
      <c r="F132" s="185"/>
      <c r="G132" s="185"/>
      <c r="H132" s="192"/>
      <c r="I132" s="185"/>
      <c r="J132" s="185"/>
      <c r="K132" s="185"/>
      <c r="L132" s="185"/>
      <c r="M132" s="185"/>
      <c r="N132" s="185"/>
      <c r="O132" s="185"/>
      <c r="P132" s="217"/>
      <c r="Q132" s="217"/>
      <c r="R132" s="217"/>
      <c r="S132" s="217"/>
      <c r="T132" s="217"/>
      <c r="U132" s="217"/>
      <c r="V132" s="217"/>
      <c r="W132" s="217"/>
      <c r="X132" s="217"/>
      <c r="Y132" s="217"/>
      <c r="Z132" s="217"/>
      <c r="AA132" s="217"/>
      <c r="AB132" s="217"/>
      <c r="AC132" s="217"/>
      <c r="AD132" s="217"/>
      <c r="AE132" s="217"/>
      <c r="AF132" s="217"/>
      <c r="AG132" s="217"/>
      <c r="AH132" s="217"/>
      <c r="AI132" s="217"/>
      <c r="AJ132" s="217"/>
      <c r="AK132" s="217"/>
      <c r="AL132" s="217"/>
      <c r="AM132" s="217"/>
      <c r="AN132" s="217"/>
      <c r="AO132" s="217"/>
      <c r="AP132" s="217"/>
      <c r="AQ132" s="217"/>
    </row>
    <row r="133" spans="1:43" s="1" customFormat="1" ht="19.5" customHeight="1">
      <c r="A133" s="1061"/>
      <c r="B133" s="1061"/>
      <c r="C133" s="293"/>
      <c r="D133" s="293"/>
      <c r="E133" s="293"/>
      <c r="F133" s="185"/>
      <c r="G133" s="185"/>
      <c r="H133" s="185"/>
      <c r="I133" s="192"/>
      <c r="J133" s="185"/>
      <c r="K133" s="185"/>
      <c r="L133" s="185"/>
      <c r="M133" s="185"/>
      <c r="N133" s="185"/>
      <c r="O133" s="185"/>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row>
    <row r="134" spans="1:43" s="1" customFormat="1" ht="24" customHeight="1">
      <c r="A134" s="1061"/>
      <c r="B134" s="1061"/>
      <c r="C134" s="185"/>
      <c r="D134" s="197"/>
      <c r="E134" s="229"/>
      <c r="F134" s="185"/>
      <c r="H134" s="185"/>
      <c r="I134" s="192"/>
      <c r="J134" s="185"/>
      <c r="K134" s="185"/>
      <c r="L134" s="185"/>
      <c r="M134" s="185"/>
      <c r="N134" s="185"/>
      <c r="O134" s="185"/>
      <c r="P134" s="217"/>
      <c r="Q134" s="217"/>
      <c r="R134" s="217"/>
      <c r="S134" s="217"/>
      <c r="T134" s="217"/>
      <c r="U134" s="217"/>
      <c r="V134" s="217"/>
      <c r="W134" s="217"/>
      <c r="X134" s="217"/>
      <c r="Y134" s="217"/>
      <c r="Z134" s="217"/>
      <c r="AA134" s="217"/>
      <c r="AB134" s="217"/>
      <c r="AC134" s="217"/>
      <c r="AD134" s="217"/>
      <c r="AE134" s="217"/>
      <c r="AF134" s="217"/>
      <c r="AG134" s="217"/>
      <c r="AH134" s="217"/>
      <c r="AI134" s="217"/>
      <c r="AJ134" s="217"/>
      <c r="AK134" s="217"/>
      <c r="AL134" s="217"/>
      <c r="AM134" s="217"/>
      <c r="AN134" s="217"/>
      <c r="AO134" s="217"/>
      <c r="AP134" s="217"/>
      <c r="AQ134" s="217"/>
    </row>
    <row r="135" spans="1:43" s="1" customFormat="1" ht="45.75" customHeight="1">
      <c r="A135" s="1061"/>
      <c r="B135" s="1061"/>
      <c r="C135" s="3945"/>
      <c r="D135" s="3945"/>
      <c r="E135" s="3945"/>
      <c r="F135" s="3945"/>
      <c r="G135" s="3945"/>
      <c r="H135" s="185"/>
      <c r="I135" s="192"/>
      <c r="J135" s="185"/>
      <c r="K135" s="185"/>
      <c r="L135" s="185"/>
      <c r="M135" s="185"/>
      <c r="N135" s="185"/>
      <c r="O135" s="185"/>
      <c r="P135" s="217"/>
      <c r="Q135" s="217"/>
      <c r="R135" s="217"/>
      <c r="S135" s="217"/>
      <c r="T135" s="217"/>
      <c r="U135" s="217"/>
      <c r="V135" s="217"/>
      <c r="W135" s="217"/>
      <c r="X135" s="217"/>
      <c r="Y135" s="217"/>
      <c r="Z135" s="217"/>
      <c r="AA135" s="217"/>
      <c r="AB135" s="217"/>
      <c r="AC135" s="217"/>
      <c r="AD135" s="217"/>
      <c r="AE135" s="217"/>
      <c r="AF135" s="217"/>
      <c r="AG135" s="217"/>
      <c r="AH135" s="217"/>
      <c r="AI135" s="217"/>
      <c r="AJ135" s="217"/>
      <c r="AK135" s="217"/>
      <c r="AL135" s="217"/>
      <c r="AM135" s="217"/>
      <c r="AN135" s="217"/>
      <c r="AO135" s="217"/>
      <c r="AP135" s="217"/>
      <c r="AQ135" s="217"/>
    </row>
    <row r="136" spans="1:43" s="1" customFormat="1" ht="10.5" customHeight="1">
      <c r="A136" s="1061"/>
      <c r="B136" s="1061"/>
      <c r="C136" s="3945"/>
      <c r="D136" s="3945"/>
      <c r="E136" s="3945"/>
      <c r="F136" s="3945"/>
      <c r="G136" s="3945"/>
      <c r="H136" s="185"/>
      <c r="I136" s="185"/>
      <c r="J136" s="185"/>
      <c r="K136" s="185"/>
      <c r="L136" s="185"/>
      <c r="M136" s="185"/>
      <c r="N136" s="185"/>
      <c r="O136" s="185"/>
      <c r="P136" s="217"/>
      <c r="Q136" s="217"/>
      <c r="R136" s="217"/>
      <c r="S136" s="217"/>
      <c r="T136" s="217"/>
      <c r="U136" s="217"/>
      <c r="V136" s="217"/>
      <c r="W136" s="217"/>
      <c r="X136" s="217"/>
      <c r="Y136" s="217"/>
      <c r="Z136" s="217"/>
      <c r="AA136" s="217"/>
      <c r="AB136" s="217"/>
      <c r="AC136" s="217"/>
      <c r="AD136" s="217"/>
      <c r="AE136" s="217"/>
      <c r="AF136" s="217"/>
      <c r="AG136" s="217"/>
      <c r="AH136" s="217"/>
      <c r="AI136" s="217"/>
      <c r="AJ136" s="217"/>
      <c r="AK136" s="217"/>
      <c r="AL136" s="217"/>
      <c r="AM136" s="217"/>
      <c r="AN136" s="217"/>
      <c r="AO136" s="217"/>
      <c r="AP136" s="217"/>
      <c r="AQ136" s="217"/>
    </row>
    <row r="137" spans="1:43" s="1" customFormat="1" ht="18" customHeight="1">
      <c r="A137" s="1061"/>
      <c r="B137" s="1061"/>
      <c r="C137" s="185"/>
      <c r="D137" s="185"/>
      <c r="E137" s="185"/>
      <c r="F137" s="185"/>
      <c r="G137" s="185"/>
      <c r="H137" s="224"/>
      <c r="I137" s="185"/>
      <c r="J137" s="185"/>
      <c r="K137" s="185"/>
      <c r="L137" s="185"/>
      <c r="M137" s="185"/>
      <c r="N137" s="185"/>
      <c r="O137" s="185"/>
      <c r="P137" s="217"/>
      <c r="Q137" s="217"/>
      <c r="R137" s="217"/>
      <c r="S137" s="217"/>
      <c r="T137" s="217"/>
      <c r="U137" s="217"/>
      <c r="V137" s="217"/>
      <c r="W137" s="217"/>
      <c r="X137" s="217"/>
      <c r="Y137" s="217"/>
      <c r="Z137" s="217"/>
      <c r="AA137" s="217"/>
      <c r="AB137" s="217"/>
      <c r="AC137" s="217"/>
      <c r="AD137" s="217"/>
      <c r="AE137" s="217"/>
      <c r="AF137" s="217"/>
      <c r="AG137" s="217"/>
      <c r="AH137" s="217"/>
      <c r="AI137" s="217"/>
      <c r="AJ137" s="217"/>
      <c r="AK137" s="217"/>
      <c r="AL137" s="217"/>
      <c r="AM137" s="217"/>
      <c r="AN137" s="217"/>
      <c r="AO137" s="217"/>
      <c r="AP137" s="217"/>
      <c r="AQ137" s="217"/>
    </row>
    <row r="138" spans="1:43" s="1" customFormat="1" ht="10.5" customHeight="1">
      <c r="A138" s="1071"/>
      <c r="B138" s="1071"/>
      <c r="C138" s="192"/>
      <c r="D138" s="185"/>
      <c r="E138" s="185"/>
      <c r="F138" s="185"/>
      <c r="G138" s="185"/>
      <c r="H138" s="224"/>
      <c r="I138" s="185"/>
      <c r="J138" s="185"/>
      <c r="K138" s="185"/>
      <c r="L138" s="185"/>
      <c r="M138" s="185"/>
      <c r="N138" s="185"/>
      <c r="O138" s="185"/>
      <c r="P138" s="217"/>
      <c r="Q138" s="217"/>
      <c r="R138" s="217"/>
      <c r="S138" s="217"/>
      <c r="T138" s="217"/>
      <c r="U138" s="217"/>
      <c r="V138" s="217"/>
      <c r="W138" s="217"/>
      <c r="X138" s="217"/>
      <c r="Y138" s="217"/>
      <c r="Z138" s="217"/>
      <c r="AA138" s="217"/>
      <c r="AB138" s="217"/>
      <c r="AC138" s="217"/>
      <c r="AD138" s="217"/>
      <c r="AE138" s="217"/>
      <c r="AF138" s="217"/>
      <c r="AG138" s="217"/>
      <c r="AH138" s="217"/>
      <c r="AI138" s="217"/>
      <c r="AJ138" s="217"/>
      <c r="AK138" s="217"/>
      <c r="AL138" s="217"/>
      <c r="AM138" s="217"/>
      <c r="AN138" s="217"/>
      <c r="AO138" s="217"/>
      <c r="AP138" s="217"/>
      <c r="AQ138" s="217"/>
    </row>
    <row r="139" spans="1:43" s="1" customFormat="1" ht="18" customHeight="1">
      <c r="A139" s="1071"/>
      <c r="B139" s="1071"/>
      <c r="C139" s="192"/>
      <c r="D139" s="185"/>
      <c r="E139" s="185"/>
      <c r="F139" s="185"/>
      <c r="G139" s="185"/>
      <c r="H139" s="185"/>
      <c r="I139" s="224"/>
      <c r="J139" s="224"/>
      <c r="K139" s="185"/>
      <c r="L139" s="185"/>
      <c r="M139" s="185"/>
      <c r="N139" s="185"/>
      <c r="O139" s="185"/>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row>
    <row r="140" spans="1:43" s="1" customFormat="1" ht="10.5" customHeight="1">
      <c r="A140" s="1071"/>
      <c r="B140" s="1071"/>
      <c r="C140" s="3943"/>
      <c r="D140" s="3943"/>
      <c r="E140" s="3943"/>
      <c r="F140" s="3943"/>
      <c r="G140" s="3943"/>
      <c r="H140" s="185"/>
      <c r="I140" s="185"/>
      <c r="J140" s="233"/>
      <c r="K140" s="224"/>
      <c r="L140" s="185"/>
      <c r="M140" s="185"/>
      <c r="N140" s="185"/>
      <c r="O140" s="185"/>
      <c r="P140" s="217"/>
      <c r="Q140" s="217"/>
      <c r="R140" s="217"/>
      <c r="S140" s="217"/>
      <c r="T140" s="217"/>
      <c r="U140" s="217"/>
      <c r="V140" s="217"/>
      <c r="W140" s="217"/>
      <c r="X140" s="217"/>
      <c r="Y140" s="217"/>
      <c r="Z140" s="217"/>
      <c r="AA140" s="217"/>
      <c r="AB140" s="217"/>
      <c r="AC140" s="217"/>
      <c r="AD140" s="217"/>
      <c r="AE140" s="217"/>
      <c r="AF140" s="217"/>
      <c r="AG140" s="217"/>
      <c r="AH140" s="217"/>
      <c r="AI140" s="217"/>
      <c r="AJ140" s="217"/>
      <c r="AK140" s="217"/>
      <c r="AL140" s="217"/>
      <c r="AM140" s="217"/>
      <c r="AN140" s="217"/>
      <c r="AO140" s="217"/>
      <c r="AP140" s="217"/>
      <c r="AQ140" s="217"/>
    </row>
    <row r="141" spans="1:43" s="1" customFormat="1" ht="19.5" customHeight="1">
      <c r="A141" s="1073"/>
      <c r="B141" s="1073"/>
      <c r="C141" s="224"/>
      <c r="D141" s="224"/>
      <c r="E141" s="224"/>
      <c r="F141" s="224"/>
      <c r="G141" s="224"/>
      <c r="H141" s="185"/>
      <c r="I141" s="185"/>
      <c r="J141" s="185"/>
      <c r="K141" s="185"/>
      <c r="L141" s="224"/>
      <c r="M141" s="185"/>
      <c r="N141" s="185"/>
      <c r="O141" s="185"/>
      <c r="P141" s="217"/>
      <c r="Q141" s="217"/>
      <c r="R141" s="217"/>
      <c r="S141" s="217"/>
      <c r="T141" s="217"/>
      <c r="U141" s="217"/>
      <c r="V141" s="217"/>
      <c r="W141" s="217"/>
      <c r="X141" s="217"/>
      <c r="Y141" s="217"/>
      <c r="Z141" s="217"/>
      <c r="AA141" s="217"/>
      <c r="AB141" s="217"/>
      <c r="AC141" s="217"/>
      <c r="AD141" s="217"/>
      <c r="AE141" s="217"/>
      <c r="AF141" s="217"/>
      <c r="AG141" s="217"/>
      <c r="AH141" s="217"/>
      <c r="AI141" s="217"/>
      <c r="AJ141" s="217"/>
      <c r="AK141" s="217"/>
      <c r="AL141" s="217"/>
      <c r="AM141" s="217"/>
      <c r="AN141" s="217"/>
      <c r="AO141" s="217"/>
      <c r="AP141" s="217"/>
      <c r="AQ141" s="217"/>
    </row>
    <row r="142" spans="1:43" s="1" customFormat="1" ht="10.5" customHeight="1">
      <c r="A142" s="1073"/>
      <c r="B142" s="1073"/>
      <c r="C142" s="1072"/>
      <c r="D142" s="224"/>
      <c r="E142" s="1072"/>
      <c r="F142" s="224"/>
      <c r="G142" s="1072"/>
      <c r="H142" s="185"/>
      <c r="I142" s="185"/>
      <c r="J142" s="185"/>
      <c r="K142" s="185"/>
      <c r="L142" s="185"/>
      <c r="M142" s="185"/>
      <c r="N142" s="185"/>
      <c r="O142" s="185"/>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K142" s="217"/>
      <c r="AL142" s="217"/>
      <c r="AM142" s="217"/>
      <c r="AN142" s="217"/>
      <c r="AO142" s="217"/>
      <c r="AP142" s="217"/>
      <c r="AQ142" s="217"/>
    </row>
    <row r="143" spans="1:43" s="1" customFormat="1" ht="19.5" customHeight="1">
      <c r="A143" s="185"/>
      <c r="B143" s="185"/>
      <c r="C143" s="185"/>
      <c r="D143" s="185"/>
      <c r="E143" s="185"/>
      <c r="F143" s="185"/>
      <c r="G143" s="185"/>
      <c r="H143" s="185"/>
      <c r="I143" s="185"/>
      <c r="J143" s="185"/>
      <c r="K143" s="185"/>
      <c r="L143" s="185"/>
      <c r="M143" s="185"/>
      <c r="N143" s="185"/>
      <c r="O143" s="185"/>
      <c r="P143" s="185"/>
      <c r="Q143" s="185"/>
      <c r="R143" s="185"/>
      <c r="S143" s="185"/>
      <c r="T143" s="217"/>
      <c r="U143" s="217"/>
      <c r="V143" s="217"/>
      <c r="W143" s="217"/>
      <c r="X143" s="217"/>
      <c r="Y143" s="217"/>
      <c r="Z143" s="217"/>
      <c r="AA143" s="217"/>
      <c r="AB143" s="217"/>
      <c r="AC143" s="217"/>
      <c r="AD143" s="217"/>
      <c r="AE143" s="217"/>
      <c r="AF143" s="217"/>
      <c r="AG143" s="217"/>
      <c r="AH143" s="217"/>
      <c r="AI143" s="217"/>
      <c r="AJ143" s="217"/>
      <c r="AK143" s="217"/>
      <c r="AL143" s="217"/>
      <c r="AM143" s="217"/>
      <c r="AN143" s="217"/>
      <c r="AO143" s="217"/>
      <c r="AP143" s="217"/>
      <c r="AQ143" s="217"/>
    </row>
    <row r="144" spans="1:43" s="1" customFormat="1" ht="10.5" customHeight="1">
      <c r="A144" s="185"/>
      <c r="B144" s="185"/>
      <c r="C144" s="1072"/>
      <c r="D144" s="224"/>
      <c r="E144" s="1072"/>
      <c r="F144" s="233"/>
      <c r="H144" s="185"/>
      <c r="I144" s="185"/>
      <c r="J144" s="185"/>
      <c r="K144" s="185"/>
      <c r="L144" s="185"/>
      <c r="M144" s="185"/>
      <c r="N144" s="185"/>
      <c r="O144" s="185"/>
      <c r="P144" s="185"/>
      <c r="Q144" s="185"/>
      <c r="R144" s="185"/>
      <c r="S144" s="185"/>
      <c r="T144" s="217"/>
      <c r="U144" s="217"/>
      <c r="V144" s="217"/>
      <c r="W144" s="217"/>
      <c r="X144" s="217"/>
      <c r="Y144" s="217"/>
      <c r="Z144" s="217"/>
      <c r="AA144" s="217"/>
      <c r="AB144" s="217"/>
      <c r="AC144" s="217"/>
      <c r="AD144" s="217"/>
      <c r="AE144" s="217"/>
      <c r="AF144" s="217"/>
      <c r="AG144" s="217"/>
      <c r="AH144" s="217"/>
      <c r="AI144" s="217"/>
      <c r="AJ144" s="217"/>
      <c r="AK144" s="217"/>
      <c r="AL144" s="217"/>
      <c r="AM144" s="217"/>
      <c r="AN144" s="217"/>
      <c r="AO144" s="217"/>
      <c r="AP144" s="217"/>
      <c r="AQ144" s="217"/>
    </row>
    <row r="145" spans="1:43" s="1" customFormat="1" ht="32.25" customHeight="1">
      <c r="A145" s="185"/>
      <c r="B145" s="185"/>
      <c r="C145" s="185"/>
      <c r="D145" s="185"/>
      <c r="E145" s="185"/>
      <c r="F145" s="185"/>
      <c r="G145" s="185"/>
      <c r="H145" s="201"/>
      <c r="I145" s="185"/>
      <c r="J145" s="185"/>
      <c r="K145" s="185"/>
      <c r="L145" s="185"/>
      <c r="M145" s="185"/>
      <c r="N145" s="185"/>
      <c r="O145" s="185"/>
      <c r="P145" s="185"/>
      <c r="Q145" s="185"/>
      <c r="R145" s="185"/>
      <c r="S145" s="185"/>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row>
    <row r="146" spans="1:43" s="1" customFormat="1" ht="10.5" customHeight="1">
      <c r="A146" s="1074"/>
      <c r="B146" s="1074"/>
      <c r="C146" s="3933"/>
      <c r="D146" s="3944"/>
      <c r="E146" s="3944"/>
      <c r="F146" s="3944"/>
      <c r="G146" s="3944"/>
      <c r="H146" s="185"/>
      <c r="I146" s="185"/>
      <c r="J146" s="185"/>
      <c r="K146" s="185"/>
      <c r="L146" s="185"/>
      <c r="M146" s="185"/>
      <c r="N146" s="185"/>
      <c r="O146" s="185"/>
      <c r="P146" s="185"/>
      <c r="Q146" s="185"/>
      <c r="R146" s="185"/>
      <c r="S146" s="185"/>
      <c r="T146" s="217"/>
      <c r="U146" s="217"/>
      <c r="V146" s="217"/>
      <c r="W146" s="217"/>
      <c r="X146" s="217"/>
      <c r="Y146" s="217"/>
      <c r="Z146" s="217"/>
      <c r="AA146" s="217"/>
      <c r="AB146" s="217"/>
      <c r="AC146" s="217"/>
      <c r="AD146" s="217"/>
      <c r="AE146" s="217"/>
      <c r="AF146" s="217"/>
      <c r="AG146" s="217"/>
      <c r="AH146" s="217"/>
      <c r="AI146" s="217"/>
      <c r="AJ146" s="217"/>
      <c r="AK146" s="217"/>
      <c r="AL146" s="217"/>
      <c r="AM146" s="217"/>
      <c r="AN146" s="217"/>
      <c r="AO146" s="217"/>
      <c r="AP146" s="217"/>
      <c r="AQ146" s="217"/>
    </row>
    <row r="147" spans="1:43" s="1" customFormat="1" ht="19.5" customHeight="1">
      <c r="A147" s="1074"/>
      <c r="B147" s="1074"/>
      <c r="C147" s="285"/>
      <c r="D147" s="217"/>
      <c r="E147" s="217"/>
      <c r="F147" s="217"/>
      <c r="G147" s="217"/>
      <c r="H147" s="185"/>
      <c r="I147" s="185"/>
      <c r="J147" s="185"/>
      <c r="K147" s="185"/>
      <c r="L147" s="185"/>
      <c r="M147" s="185"/>
      <c r="N147" s="185"/>
      <c r="O147" s="185"/>
      <c r="P147" s="185"/>
      <c r="Q147" s="185"/>
      <c r="R147" s="185"/>
      <c r="S147" s="185"/>
      <c r="T147" s="217"/>
      <c r="U147" s="217"/>
      <c r="V147" s="217"/>
      <c r="W147" s="217"/>
      <c r="X147" s="217"/>
      <c r="Y147" s="217"/>
      <c r="Z147" s="217"/>
      <c r="AA147" s="217"/>
      <c r="AB147" s="217"/>
      <c r="AC147" s="217"/>
      <c r="AD147" s="217"/>
      <c r="AE147" s="217"/>
      <c r="AF147" s="217"/>
      <c r="AG147" s="217"/>
      <c r="AH147" s="217"/>
      <c r="AI147" s="217"/>
      <c r="AJ147" s="217"/>
      <c r="AK147" s="217"/>
      <c r="AL147" s="217"/>
      <c r="AM147" s="217"/>
      <c r="AN147" s="217"/>
      <c r="AO147" s="217"/>
      <c r="AP147" s="217"/>
      <c r="AQ147" s="217"/>
    </row>
    <row r="148" spans="1:43" s="1" customFormat="1" ht="10.5" customHeight="1">
      <c r="A148" s="1071"/>
      <c r="B148" s="1071"/>
      <c r="C148" s="1072"/>
      <c r="D148" s="224"/>
      <c r="E148" s="1072"/>
      <c r="F148" s="224"/>
      <c r="G148" s="1072"/>
      <c r="H148" s="185"/>
      <c r="I148" s="185"/>
      <c r="J148" s="185"/>
      <c r="K148" s="185"/>
      <c r="L148" s="185"/>
      <c r="M148" s="185"/>
      <c r="N148" s="185"/>
      <c r="O148" s="185"/>
      <c r="P148" s="185"/>
      <c r="Q148" s="185"/>
      <c r="R148" s="185"/>
      <c r="S148" s="185"/>
      <c r="T148" s="217"/>
      <c r="U148" s="217"/>
      <c r="V148" s="217"/>
      <c r="W148" s="217"/>
      <c r="X148" s="217"/>
      <c r="Y148" s="217"/>
      <c r="Z148" s="217"/>
      <c r="AA148" s="217"/>
      <c r="AB148" s="217"/>
      <c r="AC148" s="217"/>
      <c r="AD148" s="217"/>
      <c r="AE148" s="217"/>
      <c r="AF148" s="217"/>
      <c r="AG148" s="217"/>
      <c r="AH148" s="217"/>
      <c r="AI148" s="217"/>
      <c r="AJ148" s="217"/>
      <c r="AK148" s="217"/>
      <c r="AL148" s="217"/>
      <c r="AM148" s="217"/>
      <c r="AN148" s="217"/>
      <c r="AO148" s="217"/>
      <c r="AP148" s="217"/>
      <c r="AQ148" s="217"/>
    </row>
    <row r="149" spans="1:43" s="1" customFormat="1" ht="28.5" customHeight="1">
      <c r="A149" s="185"/>
      <c r="B149" s="185"/>
      <c r="C149" s="185"/>
      <c r="D149" s="185"/>
      <c r="E149" s="185"/>
      <c r="F149" s="185"/>
      <c r="G149" s="185"/>
      <c r="H149" s="197"/>
      <c r="I149" s="185"/>
      <c r="J149" s="185"/>
      <c r="K149" s="185"/>
      <c r="L149" s="185"/>
      <c r="M149" s="185"/>
      <c r="N149" s="185"/>
      <c r="O149" s="185"/>
      <c r="P149" s="185"/>
      <c r="Q149" s="185"/>
      <c r="R149" s="185"/>
      <c r="S149" s="185"/>
      <c r="T149" s="217"/>
      <c r="U149" s="217"/>
      <c r="V149" s="217"/>
      <c r="W149" s="217"/>
      <c r="X149" s="217"/>
      <c r="Y149" s="217"/>
      <c r="Z149" s="217"/>
      <c r="AA149" s="217"/>
      <c r="AB149" s="217"/>
      <c r="AC149" s="217"/>
      <c r="AD149" s="217"/>
      <c r="AE149" s="217"/>
      <c r="AF149" s="217"/>
      <c r="AG149" s="217"/>
      <c r="AH149" s="217"/>
      <c r="AI149" s="217"/>
      <c r="AJ149" s="217"/>
      <c r="AK149" s="217"/>
      <c r="AL149" s="217"/>
      <c r="AM149" s="217"/>
      <c r="AN149" s="217"/>
      <c r="AO149" s="217"/>
      <c r="AP149" s="217"/>
      <c r="AQ149" s="217"/>
    </row>
    <row r="150" spans="1:43" s="1" customFormat="1" ht="10.5" customHeight="1">
      <c r="A150" s="1074"/>
      <c r="B150" s="1074"/>
      <c r="C150" s="3933"/>
      <c r="D150" s="3958"/>
      <c r="E150" s="3958"/>
      <c r="F150" s="3958"/>
      <c r="G150" s="3958"/>
      <c r="H150" s="197"/>
      <c r="I150" s="185"/>
      <c r="J150" s="185"/>
      <c r="K150" s="185"/>
      <c r="L150" s="185"/>
      <c r="M150" s="185"/>
      <c r="N150" s="185"/>
      <c r="O150" s="185"/>
      <c r="P150" s="185"/>
      <c r="Q150" s="185"/>
      <c r="R150" s="185"/>
      <c r="S150" s="185"/>
      <c r="T150" s="217"/>
      <c r="U150" s="217"/>
      <c r="V150" s="217"/>
      <c r="W150" s="217"/>
      <c r="X150" s="217"/>
      <c r="Y150" s="217"/>
      <c r="Z150" s="217"/>
      <c r="AA150" s="217"/>
      <c r="AB150" s="217"/>
      <c r="AC150" s="217"/>
      <c r="AD150" s="217"/>
      <c r="AE150" s="217"/>
      <c r="AF150" s="217"/>
      <c r="AG150" s="217"/>
      <c r="AH150" s="217"/>
      <c r="AI150" s="217"/>
      <c r="AJ150" s="217"/>
      <c r="AK150" s="217"/>
      <c r="AL150" s="217"/>
      <c r="AM150" s="217"/>
      <c r="AN150" s="217"/>
      <c r="AO150" s="217"/>
      <c r="AP150" s="217"/>
      <c r="AQ150" s="217"/>
    </row>
    <row r="151" spans="1:43" s="1" customFormat="1" ht="19.5" customHeight="1">
      <c r="A151" s="1074"/>
      <c r="B151" s="1074"/>
      <c r="C151" s="285"/>
      <c r="D151" s="217"/>
      <c r="E151" s="217"/>
      <c r="F151" s="217"/>
      <c r="G151" s="217"/>
      <c r="H151" s="185"/>
      <c r="I151" s="185"/>
      <c r="J151" s="185"/>
      <c r="K151" s="185"/>
      <c r="L151" s="185"/>
      <c r="M151" s="185"/>
      <c r="N151" s="185"/>
      <c r="O151" s="185"/>
      <c r="P151" s="185"/>
      <c r="Q151" s="185"/>
      <c r="R151" s="185"/>
      <c r="S151" s="185"/>
      <c r="T151" s="217"/>
      <c r="U151" s="217"/>
      <c r="V151" s="217"/>
      <c r="W151" s="217"/>
      <c r="X151" s="217"/>
      <c r="Y151" s="217"/>
      <c r="Z151" s="217"/>
      <c r="AA151" s="217"/>
      <c r="AB151" s="217"/>
      <c r="AC151" s="217"/>
      <c r="AD151" s="217"/>
      <c r="AE151" s="217"/>
      <c r="AF151" s="217"/>
      <c r="AG151" s="217"/>
      <c r="AH151" s="217"/>
      <c r="AI151" s="217"/>
      <c r="AJ151" s="217"/>
      <c r="AK151" s="217"/>
      <c r="AL151" s="217"/>
      <c r="AM151" s="217"/>
      <c r="AN151" s="217"/>
      <c r="AO151" s="217"/>
      <c r="AP151" s="217"/>
      <c r="AQ151" s="217"/>
    </row>
    <row r="152" spans="1:43" s="1" customFormat="1" ht="10.5" customHeight="1">
      <c r="A152" s="1071"/>
      <c r="B152" s="1071"/>
      <c r="C152" s="1072"/>
      <c r="D152" s="224"/>
      <c r="E152" s="1072"/>
      <c r="F152" s="224"/>
      <c r="G152" s="1072"/>
      <c r="H152" s="185"/>
      <c r="I152" s="185"/>
      <c r="J152" s="185"/>
      <c r="K152" s="185"/>
      <c r="L152" s="185"/>
      <c r="M152" s="185"/>
      <c r="N152" s="185"/>
      <c r="O152" s="185"/>
      <c r="P152" s="185"/>
      <c r="Q152" s="185"/>
      <c r="R152" s="185"/>
      <c r="S152" s="185"/>
      <c r="T152" s="217"/>
      <c r="U152" s="217"/>
      <c r="V152" s="217"/>
      <c r="W152" s="217"/>
      <c r="X152" s="217"/>
      <c r="Y152" s="217"/>
      <c r="Z152" s="217"/>
      <c r="AA152" s="217"/>
      <c r="AB152" s="217"/>
      <c r="AC152" s="217"/>
      <c r="AD152" s="217"/>
      <c r="AE152" s="217"/>
      <c r="AF152" s="217"/>
      <c r="AG152" s="217"/>
      <c r="AH152" s="217"/>
      <c r="AI152" s="217"/>
      <c r="AJ152" s="217"/>
      <c r="AK152" s="217"/>
      <c r="AL152" s="217"/>
      <c r="AM152" s="217"/>
      <c r="AN152" s="217"/>
      <c r="AO152" s="217"/>
      <c r="AP152" s="217"/>
      <c r="AQ152" s="217"/>
    </row>
    <row r="153" spans="1:43" s="1" customFormat="1" ht="18" customHeight="1">
      <c r="A153" s="185"/>
      <c r="B153" s="185"/>
      <c r="C153" s="185"/>
      <c r="D153" s="185"/>
      <c r="E153" s="185"/>
      <c r="F153" s="197"/>
      <c r="G153" s="185"/>
      <c r="H153" s="185"/>
      <c r="I153" s="185"/>
      <c r="J153" s="185"/>
      <c r="K153" s="185"/>
      <c r="L153" s="185"/>
      <c r="M153" s="185"/>
      <c r="N153" s="185"/>
      <c r="O153" s="185"/>
      <c r="P153" s="185"/>
      <c r="Q153" s="185"/>
      <c r="R153" s="185"/>
      <c r="S153" s="185"/>
      <c r="T153" s="217"/>
      <c r="U153" s="217"/>
      <c r="V153" s="217"/>
      <c r="W153" s="217"/>
      <c r="X153" s="217"/>
      <c r="Y153" s="217"/>
      <c r="Z153" s="217"/>
      <c r="AA153" s="217"/>
      <c r="AB153" s="217"/>
      <c r="AC153" s="217"/>
      <c r="AD153" s="217"/>
      <c r="AE153" s="217"/>
      <c r="AF153" s="217"/>
      <c r="AG153" s="217"/>
      <c r="AH153" s="217"/>
      <c r="AI153" s="217"/>
      <c r="AJ153" s="217"/>
      <c r="AK153" s="217"/>
      <c r="AL153" s="217"/>
      <c r="AM153" s="217"/>
      <c r="AN153" s="217"/>
      <c r="AO153" s="217"/>
      <c r="AP153" s="217"/>
      <c r="AQ153" s="217"/>
    </row>
    <row r="154" spans="1:43" s="1" customFormat="1" ht="10.5" customHeight="1">
      <c r="A154" s="1071"/>
      <c r="B154" s="1071"/>
      <c r="C154" s="185"/>
      <c r="D154" s="185"/>
      <c r="E154" s="185"/>
      <c r="F154" s="185"/>
      <c r="G154" s="185"/>
      <c r="H154" s="185"/>
      <c r="I154" s="185"/>
      <c r="J154" s="185"/>
      <c r="K154" s="185"/>
      <c r="L154" s="185"/>
      <c r="M154" s="185"/>
      <c r="N154" s="185"/>
      <c r="O154" s="185"/>
      <c r="P154" s="185"/>
      <c r="Q154" s="185"/>
      <c r="R154" s="185"/>
      <c r="S154" s="185"/>
      <c r="T154" s="217"/>
      <c r="U154" s="217"/>
      <c r="V154" s="217"/>
      <c r="W154" s="217"/>
      <c r="X154" s="217"/>
      <c r="Y154" s="217"/>
      <c r="Z154" s="217"/>
      <c r="AA154" s="217"/>
      <c r="AB154" s="217"/>
      <c r="AC154" s="217"/>
      <c r="AD154" s="217"/>
      <c r="AE154" s="217"/>
      <c r="AF154" s="217"/>
      <c r="AG154" s="217"/>
      <c r="AH154" s="217"/>
      <c r="AI154" s="217"/>
      <c r="AJ154" s="217"/>
      <c r="AK154" s="217"/>
      <c r="AL154" s="217"/>
      <c r="AM154" s="217"/>
      <c r="AN154" s="217"/>
      <c r="AO154" s="217"/>
      <c r="AP154" s="217"/>
      <c r="AQ154" s="217"/>
    </row>
    <row r="155" spans="1:43" s="1" customFormat="1" ht="19.5" customHeight="1">
      <c r="A155" s="1071"/>
      <c r="B155" s="1071"/>
      <c r="C155" s="185"/>
      <c r="D155" s="185"/>
      <c r="E155" s="185"/>
      <c r="F155" s="185"/>
      <c r="G155" s="185"/>
      <c r="H155" s="185"/>
      <c r="I155" s="185"/>
      <c r="J155" s="185"/>
      <c r="K155" s="185"/>
      <c r="L155" s="185"/>
      <c r="M155" s="185"/>
      <c r="N155" s="185"/>
      <c r="O155" s="185"/>
      <c r="P155" s="185"/>
      <c r="Q155" s="185"/>
      <c r="R155" s="185"/>
      <c r="S155" s="185"/>
      <c r="T155" s="217"/>
      <c r="U155" s="217"/>
      <c r="V155" s="217"/>
      <c r="W155" s="217"/>
      <c r="X155" s="217"/>
      <c r="Y155" s="217"/>
      <c r="Z155" s="217"/>
      <c r="AA155" s="217"/>
      <c r="AB155" s="217"/>
      <c r="AC155" s="217"/>
      <c r="AD155" s="217"/>
      <c r="AE155" s="217"/>
      <c r="AF155" s="217"/>
      <c r="AG155" s="217"/>
      <c r="AH155" s="217"/>
      <c r="AI155" s="217"/>
      <c r="AJ155" s="217"/>
      <c r="AK155" s="217"/>
      <c r="AL155" s="217"/>
      <c r="AM155" s="217"/>
      <c r="AN155" s="217"/>
      <c r="AO155" s="217"/>
      <c r="AP155" s="217"/>
      <c r="AQ155" s="217"/>
    </row>
    <row r="156" spans="1:43" ht="10.5" customHeight="1">
      <c r="A156" s="813"/>
      <c r="B156" s="813"/>
      <c r="C156" s="814"/>
      <c r="D156" s="812"/>
      <c r="E156" s="814"/>
      <c r="F156" s="812"/>
      <c r="G156" s="814"/>
      <c r="H156" s="815"/>
      <c r="I156" s="221"/>
      <c r="J156" s="221"/>
      <c r="K156" s="221"/>
      <c r="L156" s="221"/>
      <c r="M156" s="221"/>
      <c r="N156" s="221"/>
      <c r="O156" s="221"/>
      <c r="P156" s="221"/>
      <c r="Q156" s="221"/>
      <c r="R156" s="221"/>
      <c r="S156" s="221"/>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row>
    <row r="157" spans="1:43">
      <c r="A157" s="811"/>
      <c r="B157" s="811"/>
      <c r="C157" s="816"/>
      <c r="D157" s="221"/>
      <c r="E157" s="221"/>
      <c r="F157" s="221"/>
      <c r="G157" s="221"/>
      <c r="H157" s="221"/>
      <c r="I157" s="221"/>
      <c r="J157" s="221"/>
      <c r="K157" s="221"/>
      <c r="L157" s="221"/>
      <c r="M157" s="221"/>
      <c r="N157" s="221"/>
      <c r="O157" s="221"/>
      <c r="P157" s="221"/>
      <c r="Q157" s="221"/>
      <c r="R157" s="221"/>
      <c r="S157" s="221"/>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row>
    <row r="158" spans="1:43">
      <c r="A158" s="811"/>
      <c r="B158" s="811"/>
      <c r="C158" s="816"/>
      <c r="D158" s="221"/>
      <c r="E158" s="221"/>
      <c r="F158" s="221"/>
      <c r="G158" s="221"/>
      <c r="H158" s="212"/>
      <c r="I158" s="212"/>
      <c r="J158" s="212"/>
      <c r="K158" s="212"/>
      <c r="L158" s="212"/>
      <c r="M158" s="221"/>
      <c r="N158" s="221"/>
      <c r="O158" s="221"/>
      <c r="P158" s="221"/>
      <c r="Q158" s="221"/>
      <c r="R158" s="221"/>
      <c r="S158" s="221"/>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row>
    <row r="159" spans="1:43">
      <c r="A159" s="212"/>
      <c r="B159" s="212"/>
      <c r="C159" s="212"/>
      <c r="D159" s="212"/>
      <c r="E159" s="212"/>
      <c r="F159" s="212"/>
      <c r="G159" s="212"/>
      <c r="H159" s="212"/>
      <c r="I159" s="212"/>
      <c r="J159" s="212"/>
      <c r="K159" s="212"/>
      <c r="L159" s="212"/>
      <c r="M159" s="221"/>
      <c r="N159" s="221"/>
      <c r="O159" s="221"/>
      <c r="P159" s="221"/>
      <c r="Q159" s="221"/>
      <c r="R159" s="221"/>
      <c r="S159" s="221"/>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row>
    <row r="160" spans="1:43">
      <c r="A160" s="212"/>
      <c r="B160" s="212"/>
      <c r="C160" s="212"/>
      <c r="D160" s="212"/>
      <c r="E160" s="212"/>
      <c r="F160" s="212"/>
      <c r="G160" s="212"/>
      <c r="H160" s="212"/>
      <c r="I160" s="817"/>
      <c r="J160" s="212"/>
      <c r="K160" s="212"/>
      <c r="L160" s="212"/>
      <c r="M160" s="221"/>
      <c r="N160" s="221"/>
      <c r="O160" s="221"/>
      <c r="P160" s="221"/>
      <c r="Q160" s="221"/>
      <c r="R160" s="221"/>
      <c r="S160" s="221"/>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row>
    <row r="161" spans="1:43">
      <c r="A161" s="212"/>
      <c r="B161" s="212"/>
      <c r="C161" s="212"/>
      <c r="D161" s="212"/>
      <c r="E161" s="212"/>
      <c r="F161" s="212"/>
      <c r="G161" s="212"/>
      <c r="H161" s="212"/>
      <c r="I161" s="817"/>
      <c r="J161" s="212"/>
      <c r="K161" s="212"/>
      <c r="L161" s="212"/>
      <c r="M161" s="221"/>
      <c r="N161" s="221"/>
      <c r="O161" s="221"/>
      <c r="P161" s="221"/>
      <c r="Q161" s="221"/>
      <c r="R161" s="221"/>
      <c r="S161" s="221"/>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row>
    <row r="162" spans="1:43">
      <c r="A162" s="212"/>
      <c r="B162" s="212"/>
      <c r="C162" s="212"/>
      <c r="D162" s="212"/>
      <c r="E162" s="212"/>
      <c r="F162" s="212"/>
      <c r="G162" s="212"/>
      <c r="H162" s="212"/>
      <c r="I162" s="817"/>
      <c r="K162" s="212"/>
      <c r="L162" s="212"/>
      <c r="M162" s="221"/>
      <c r="N162" s="221"/>
      <c r="O162" s="221"/>
      <c r="P162" s="221"/>
      <c r="Q162" s="221"/>
      <c r="R162" s="221"/>
      <c r="S162" s="221"/>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row>
    <row r="163" spans="1:43">
      <c r="A163" s="212"/>
      <c r="B163" s="212"/>
      <c r="C163" s="212"/>
      <c r="D163" s="212"/>
      <c r="E163" s="212"/>
      <c r="F163" s="212"/>
      <c r="G163" s="212"/>
      <c r="H163" s="212"/>
      <c r="I163" s="817"/>
      <c r="J163" s="221"/>
      <c r="K163" s="212"/>
      <c r="L163" s="212"/>
      <c r="M163" s="221"/>
      <c r="N163" s="221"/>
      <c r="O163" s="221"/>
      <c r="P163" s="221"/>
      <c r="Q163" s="221"/>
      <c r="R163" s="221"/>
      <c r="S163" s="221"/>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row>
    <row r="164" spans="1:43">
      <c r="A164" s="212"/>
      <c r="B164" s="212"/>
      <c r="C164" s="212"/>
      <c r="D164" s="212"/>
      <c r="E164" s="212"/>
      <c r="F164" s="212"/>
      <c r="G164" s="212"/>
      <c r="H164" s="212"/>
      <c r="J164" s="212"/>
      <c r="K164" s="212"/>
      <c r="L164" s="212"/>
      <c r="M164" s="221"/>
      <c r="N164" s="221"/>
      <c r="O164" s="221"/>
      <c r="P164" s="221"/>
      <c r="Q164" s="221"/>
      <c r="R164" s="221"/>
      <c r="S164" s="221"/>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row>
    <row r="165" spans="1:43">
      <c r="A165" s="212"/>
      <c r="B165" s="212"/>
      <c r="C165" s="212"/>
      <c r="D165" s="212"/>
      <c r="E165" s="212"/>
      <c r="F165" s="212"/>
      <c r="G165" s="212"/>
    </row>
  </sheetData>
  <sheetProtection sheet="1" objects="1" scenarios="1"/>
  <mergeCells count="38">
    <mergeCell ref="F98:G98"/>
    <mergeCell ref="A99:D99"/>
    <mergeCell ref="E102:G102"/>
    <mergeCell ref="E115:G115"/>
    <mergeCell ref="E117:G117"/>
    <mergeCell ref="C150:G150"/>
    <mergeCell ref="C121:F122"/>
    <mergeCell ref="C123:G124"/>
    <mergeCell ref="C135:G136"/>
    <mergeCell ref="C140:G140"/>
    <mergeCell ref="C146:G146"/>
    <mergeCell ref="H2:J2"/>
    <mergeCell ref="L44:M44"/>
    <mergeCell ref="C46:G46"/>
    <mergeCell ref="F48:G48"/>
    <mergeCell ref="C76:G77"/>
    <mergeCell ref="B36:E36"/>
    <mergeCell ref="A38:B38"/>
    <mergeCell ref="A39:G39"/>
    <mergeCell ref="B34:E34"/>
    <mergeCell ref="C30:E30"/>
    <mergeCell ref="A19:C19"/>
    <mergeCell ref="A21:C21"/>
    <mergeCell ref="A23:C23"/>
    <mergeCell ref="A15:C15"/>
    <mergeCell ref="A17:C17"/>
    <mergeCell ref="D1:F1"/>
    <mergeCell ref="F96:G97"/>
    <mergeCell ref="F72:G72"/>
    <mergeCell ref="C73:G73"/>
    <mergeCell ref="C59:F59"/>
    <mergeCell ref="C55:G55"/>
    <mergeCell ref="C83:G83"/>
    <mergeCell ref="C89:G89"/>
    <mergeCell ref="G6:G7"/>
    <mergeCell ref="A4:E4"/>
    <mergeCell ref="E2:F2"/>
    <mergeCell ref="E15:F15"/>
  </mergeCells>
  <dataValidations disablePrompts="1" count="1">
    <dataValidation allowBlank="1" showInputMessage="1" showErrorMessage="1" promptTitle="20% minimum" prompt="This should incorporate potential growth in the system.  As peak to average flow ratio increases, peaking should increase. " sqref="F28" xr:uid="{00000000-0002-0000-2000-000000000000}"/>
  </dataValidations>
  <pageMargins left="0.7" right="0.7" top="0.5" bottom="0.5" header="0.3" footer="0.3"/>
  <pageSetup orientation="portrait" blackAndWhite="1" verticalDpi="12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5231-6C66-43F2-B5CE-C8B7777AA24F}">
  <sheetPr codeName="Sheet44">
    <tabColor rgb="FFFF6600"/>
    <pageSetUpPr fitToPage="1"/>
  </sheetPr>
  <dimension ref="A1:AQ167"/>
  <sheetViews>
    <sheetView view="pageBreakPreview" zoomScaleNormal="100" zoomScaleSheetLayoutView="100" workbookViewId="0">
      <selection activeCell="E4" sqref="E4:F4"/>
    </sheetView>
  </sheetViews>
  <sheetFormatPr defaultColWidth="8.42578125" defaultRowHeight="16.5"/>
  <cols>
    <col min="1" max="1" width="3.140625" style="810" customWidth="1"/>
    <col min="2" max="2" width="11.140625" style="810" customWidth="1"/>
    <col min="3" max="3" width="9" style="810" customWidth="1"/>
    <col min="4" max="6" width="13.85546875" style="810" customWidth="1"/>
    <col min="7" max="7" width="25.42578125" style="810" customWidth="1"/>
    <col min="8" max="16384" width="8.42578125" style="810"/>
  </cols>
  <sheetData>
    <row r="1" spans="1:43" ht="54.95" customHeight="1" thickBot="1">
      <c r="A1" s="809"/>
      <c r="D1" s="3925" t="s">
        <v>2321</v>
      </c>
      <c r="E1" s="3925"/>
      <c r="F1" s="3925"/>
      <c r="G1" s="1013"/>
      <c r="H1" s="811"/>
      <c r="I1" s="81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row>
    <row r="2" spans="1:43" s="1" customFormat="1" ht="18" customHeight="1" thickBot="1">
      <c r="A2" s="1019"/>
      <c r="B2" s="445"/>
      <c r="C2" s="445"/>
      <c r="D2" s="445" t="s">
        <v>1164</v>
      </c>
      <c r="E2" s="3937" t="str">
        <f>IF(ISBLANK('Design Details &amp; Summary'!L3)," ",'Design Details &amp; Summary'!L3)</f>
        <v xml:space="preserve"> </v>
      </c>
      <c r="F2" s="3937"/>
      <c r="G2" s="761" t="str">
        <f>'Drop-Down Lists'!A2</f>
        <v>v 05.01.2026</v>
      </c>
      <c r="H2" s="3940"/>
      <c r="I2" s="3940"/>
      <c r="J2" s="3940"/>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row>
    <row r="3" spans="1:43" s="1027" customFormat="1" ht="6" customHeight="1">
      <c r="A3" s="1461"/>
      <c r="B3" s="1462"/>
      <c r="C3" s="1463"/>
      <c r="D3" s="1463"/>
      <c r="E3" s="1463"/>
      <c r="F3" s="1463"/>
      <c r="G3" s="1464"/>
      <c r="H3" s="1024"/>
      <c r="I3" s="1025"/>
      <c r="J3" s="1025"/>
      <c r="K3" s="1022"/>
      <c r="L3" s="1022"/>
      <c r="M3" s="1022"/>
      <c r="N3" s="1026"/>
      <c r="O3" s="1026"/>
      <c r="P3" s="1026"/>
      <c r="Q3" s="1026"/>
      <c r="R3" s="1026"/>
      <c r="S3" s="1026"/>
      <c r="T3" s="1026"/>
      <c r="U3" s="1026"/>
      <c r="V3" s="1026"/>
      <c r="W3" s="1026"/>
      <c r="X3" s="1026"/>
      <c r="Y3" s="1026"/>
      <c r="Z3" s="1026"/>
      <c r="AA3" s="1026"/>
      <c r="AB3" s="1026"/>
      <c r="AC3" s="1026"/>
      <c r="AD3" s="1026"/>
      <c r="AE3" s="1026"/>
      <c r="AF3" s="1026"/>
      <c r="AG3" s="1026"/>
      <c r="AH3" s="1026"/>
      <c r="AI3" s="1026"/>
      <c r="AJ3" s="1026"/>
      <c r="AK3" s="1026"/>
      <c r="AL3" s="1026"/>
      <c r="AM3" s="1026"/>
      <c r="AN3" s="1026"/>
      <c r="AO3" s="1026"/>
      <c r="AP3" s="1026"/>
      <c r="AQ3" s="1026"/>
    </row>
    <row r="4" spans="1:43" s="1027" customFormat="1" ht="19.5" customHeight="1">
      <c r="A4" s="1020"/>
      <c r="B4" s="3967" t="s">
        <v>2322</v>
      </c>
      <c r="C4" s="3967"/>
      <c r="D4" s="3967"/>
      <c r="E4" s="3968"/>
      <c r="F4" s="3968"/>
      <c r="G4" s="1023"/>
      <c r="H4" s="1024"/>
      <c r="I4" s="1025"/>
      <c r="J4" s="1025"/>
      <c r="K4" s="1022"/>
      <c r="L4" s="1022"/>
      <c r="M4" s="1022"/>
      <c r="N4" s="1026"/>
      <c r="O4" s="1026"/>
      <c r="P4" s="1026"/>
      <c r="Q4" s="1026"/>
      <c r="R4" s="1026"/>
      <c r="S4" s="1026"/>
      <c r="T4" s="1026"/>
      <c r="U4" s="1026"/>
      <c r="V4" s="1026"/>
      <c r="W4" s="1026"/>
      <c r="X4" s="1026"/>
      <c r="Y4" s="1026"/>
      <c r="Z4" s="1026"/>
      <c r="AA4" s="1026"/>
      <c r="AB4" s="1026"/>
      <c r="AC4" s="1026"/>
      <c r="AD4" s="1026"/>
      <c r="AE4" s="1026"/>
      <c r="AF4" s="1026"/>
      <c r="AG4" s="1026"/>
      <c r="AH4" s="1026"/>
      <c r="AI4" s="1026"/>
      <c r="AJ4" s="1026"/>
      <c r="AK4" s="1026"/>
      <c r="AL4" s="1026"/>
      <c r="AM4" s="1026"/>
      <c r="AN4" s="1026"/>
      <c r="AO4" s="1026"/>
      <c r="AP4" s="1026"/>
      <c r="AQ4" s="1026"/>
    </row>
    <row r="5" spans="1:43" s="1027" customFormat="1" ht="6" customHeight="1">
      <c r="A5" s="1020"/>
      <c r="B5" s="1021"/>
      <c r="C5" s="1022"/>
      <c r="D5" s="1022"/>
      <c r="E5" s="1022"/>
      <c r="F5" s="1022"/>
      <c r="G5" s="1023"/>
      <c r="H5" s="1024"/>
      <c r="I5" s="1025"/>
      <c r="J5" s="1025"/>
      <c r="K5" s="1022"/>
      <c r="L5" s="1022"/>
      <c r="M5" s="1022"/>
      <c r="N5" s="1026"/>
      <c r="O5" s="1026"/>
      <c r="P5" s="1026"/>
      <c r="Q5" s="1026"/>
      <c r="R5" s="1026"/>
      <c r="S5" s="1026"/>
      <c r="T5" s="1026"/>
      <c r="U5" s="1026"/>
      <c r="V5" s="1026"/>
      <c r="W5" s="1026"/>
      <c r="X5" s="1026"/>
      <c r="Y5" s="1026"/>
      <c r="Z5" s="1026"/>
      <c r="AA5" s="1026"/>
      <c r="AB5" s="1026"/>
      <c r="AC5" s="1026"/>
      <c r="AD5" s="1026"/>
      <c r="AE5" s="1026"/>
      <c r="AF5" s="1026"/>
      <c r="AG5" s="1026"/>
      <c r="AH5" s="1026"/>
      <c r="AI5" s="1026"/>
      <c r="AJ5" s="1026"/>
      <c r="AK5" s="1026"/>
      <c r="AL5" s="1026"/>
      <c r="AM5" s="1026"/>
      <c r="AN5" s="1026"/>
      <c r="AO5" s="1026"/>
      <c r="AP5" s="1026"/>
      <c r="AQ5" s="1026"/>
    </row>
    <row r="6" spans="1:43" s="1027" customFormat="1" ht="19.5" customHeight="1">
      <c r="A6" s="3935" t="s">
        <v>2298</v>
      </c>
      <c r="B6" s="3936"/>
      <c r="C6" s="3936"/>
      <c r="D6" s="3936"/>
      <c r="E6" s="3936"/>
      <c r="F6" s="1022"/>
      <c r="G6" s="1023"/>
      <c r="H6" s="1024"/>
      <c r="I6" s="1025"/>
      <c r="J6" s="1025"/>
      <c r="K6" s="1022"/>
      <c r="L6" s="1022"/>
      <c r="M6" s="1022"/>
      <c r="N6" s="1026"/>
      <c r="O6" s="1026"/>
      <c r="P6" s="1026"/>
      <c r="Q6" s="1026"/>
      <c r="R6" s="1026"/>
      <c r="S6" s="1026"/>
      <c r="T6" s="1026"/>
      <c r="U6" s="1026"/>
      <c r="V6" s="1026"/>
      <c r="W6" s="1026"/>
      <c r="X6" s="1026"/>
      <c r="Y6" s="1026"/>
      <c r="Z6" s="1026"/>
      <c r="AA6" s="1026"/>
      <c r="AB6" s="1026"/>
      <c r="AC6" s="1026"/>
      <c r="AD6" s="1026"/>
      <c r="AE6" s="1026"/>
      <c r="AF6" s="1026"/>
      <c r="AG6" s="1026"/>
      <c r="AH6" s="1026"/>
      <c r="AI6" s="1026"/>
      <c r="AJ6" s="1026"/>
      <c r="AK6" s="1026"/>
      <c r="AL6" s="1026"/>
      <c r="AM6" s="1026"/>
      <c r="AN6" s="1026"/>
      <c r="AO6" s="1026"/>
      <c r="AP6" s="1026"/>
      <c r="AQ6" s="1026"/>
    </row>
    <row r="7" spans="1:43" s="1027" customFormat="1" ht="6" customHeight="1">
      <c r="A7" s="1020"/>
      <c r="B7" s="1021"/>
      <c r="C7" s="1022"/>
      <c r="D7" s="1022"/>
      <c r="E7" s="1022"/>
      <c r="F7" s="1022"/>
      <c r="G7" s="1023"/>
      <c r="H7" s="1024"/>
      <c r="I7" s="1025"/>
      <c r="J7" s="1025"/>
      <c r="K7" s="1022"/>
      <c r="L7" s="1022"/>
      <c r="M7" s="1022"/>
      <c r="N7" s="1026"/>
      <c r="O7" s="1026"/>
      <c r="P7" s="1026"/>
      <c r="Q7" s="1026"/>
      <c r="R7" s="1026"/>
      <c r="S7" s="1026"/>
      <c r="T7" s="1026"/>
      <c r="U7" s="1026"/>
      <c r="V7" s="1026"/>
      <c r="W7" s="1026"/>
      <c r="X7" s="1026"/>
      <c r="Y7" s="1026"/>
      <c r="Z7" s="1026"/>
      <c r="AA7" s="1026"/>
      <c r="AB7" s="1026"/>
      <c r="AC7" s="1026"/>
      <c r="AD7" s="1026"/>
      <c r="AE7" s="1026"/>
      <c r="AF7" s="1026"/>
      <c r="AG7" s="1026"/>
      <c r="AH7" s="1026"/>
      <c r="AI7" s="1026"/>
      <c r="AJ7" s="1026"/>
      <c r="AK7" s="1026"/>
      <c r="AL7" s="1026"/>
      <c r="AM7" s="1026"/>
      <c r="AN7" s="1026"/>
      <c r="AO7" s="1026"/>
      <c r="AP7" s="1026"/>
      <c r="AQ7" s="1026"/>
    </row>
    <row r="8" spans="1:43" s="1035" customFormat="1" ht="32.1" customHeight="1">
      <c r="A8" s="1028"/>
      <c r="B8" s="1451"/>
      <c r="C8" s="1029" t="s">
        <v>591</v>
      </c>
      <c r="D8" s="1030" t="s">
        <v>2299</v>
      </c>
      <c r="E8" s="1030" t="s">
        <v>2300</v>
      </c>
      <c r="F8" s="1030" t="s">
        <v>2301</v>
      </c>
      <c r="G8" s="3934" t="s">
        <v>2302</v>
      </c>
      <c r="H8" s="1031"/>
      <c r="I8" s="1032"/>
      <c r="J8" s="1033"/>
      <c r="K8" s="1034"/>
      <c r="L8" s="1034"/>
      <c r="M8" s="1034"/>
      <c r="N8" s="1034"/>
      <c r="O8" s="1034"/>
      <c r="P8" s="1034"/>
      <c r="Q8" s="1034"/>
      <c r="R8" s="1034"/>
      <c r="S8" s="1034"/>
      <c r="T8" s="1034"/>
      <c r="U8" s="1034"/>
      <c r="V8" s="1034"/>
      <c r="W8" s="1034"/>
      <c r="X8" s="1034"/>
      <c r="Y8" s="1034"/>
      <c r="Z8" s="1034"/>
      <c r="AA8" s="1034"/>
      <c r="AB8" s="1034"/>
      <c r="AC8" s="1034"/>
      <c r="AD8" s="1034"/>
      <c r="AE8" s="1034"/>
      <c r="AF8" s="1034"/>
      <c r="AG8" s="1034"/>
      <c r="AH8" s="1034"/>
      <c r="AI8" s="1034"/>
      <c r="AJ8" s="1034"/>
      <c r="AK8" s="1034"/>
      <c r="AL8" s="1034"/>
      <c r="AM8" s="1034"/>
      <c r="AN8" s="1034"/>
      <c r="AO8" s="1034"/>
      <c r="AP8" s="1034"/>
      <c r="AQ8" s="1034"/>
    </row>
    <row r="9" spans="1:43" s="1027" customFormat="1" ht="19.5" customHeight="1">
      <c r="A9" s="1036"/>
      <c r="B9" s="1452"/>
      <c r="C9" s="1037">
        <v>1</v>
      </c>
      <c r="D9" s="1038"/>
      <c r="E9" s="1039" t="str">
        <f t="shared" ref="E9:E15" si="0">$D$21</f>
        <v/>
      </c>
      <c r="F9" s="1040" t="str">
        <f>IF(ISBLANK(D9), "", D9-E9)</f>
        <v/>
      </c>
      <c r="G9" s="3934"/>
      <c r="H9" s="1022"/>
      <c r="I9" s="1033"/>
      <c r="J9" s="1033"/>
      <c r="K9" s="1033"/>
      <c r="L9" s="1033"/>
      <c r="M9" s="1022"/>
      <c r="N9" s="1022"/>
      <c r="O9" s="1022"/>
      <c r="P9" s="1022"/>
      <c r="Q9" s="1022"/>
      <c r="R9" s="1022"/>
      <c r="S9" s="1022"/>
      <c r="T9" s="1022"/>
      <c r="U9" s="1022"/>
      <c r="V9" s="1022"/>
      <c r="W9" s="1022"/>
      <c r="X9" s="1022"/>
      <c r="Y9" s="1022"/>
      <c r="Z9" s="1022"/>
      <c r="AA9" s="1022"/>
      <c r="AB9" s="1022"/>
      <c r="AC9" s="1022"/>
      <c r="AD9" s="1022"/>
      <c r="AE9" s="1022"/>
      <c r="AF9" s="1022"/>
      <c r="AG9" s="1022"/>
      <c r="AH9" s="1022"/>
      <c r="AI9" s="1022"/>
      <c r="AJ9" s="1022"/>
      <c r="AK9" s="1022"/>
      <c r="AL9" s="1022"/>
      <c r="AM9" s="1022"/>
      <c r="AN9" s="1022"/>
      <c r="AO9" s="1022"/>
      <c r="AP9" s="1022"/>
      <c r="AQ9" s="1022"/>
    </row>
    <row r="10" spans="1:43" s="1027" customFormat="1" ht="19.5" customHeight="1">
      <c r="A10" s="1036"/>
      <c r="B10" s="1452"/>
      <c r="C10" s="1037">
        <v>2</v>
      </c>
      <c r="D10" s="1042"/>
      <c r="E10" s="1043" t="str">
        <f t="shared" si="0"/>
        <v/>
      </c>
      <c r="F10" s="1044" t="str">
        <f t="shared" ref="F10:F15" si="1">IF(ISBLANK(D10), "", (D10+F9)-E10)</f>
        <v/>
      </c>
      <c r="G10" s="1041"/>
      <c r="H10" s="1045"/>
      <c r="I10" s="1045"/>
      <c r="J10" s="1045"/>
      <c r="K10" s="1022"/>
      <c r="L10" s="1022"/>
      <c r="M10" s="1022"/>
      <c r="N10" s="1022"/>
      <c r="O10" s="1022"/>
      <c r="P10" s="1022"/>
      <c r="Q10" s="1022"/>
      <c r="R10" s="1022"/>
      <c r="S10" s="1022"/>
      <c r="T10" s="1022"/>
      <c r="U10" s="1022"/>
      <c r="V10" s="1022"/>
      <c r="W10" s="1022"/>
      <c r="X10" s="1022"/>
      <c r="Y10" s="1022"/>
      <c r="Z10" s="1022"/>
      <c r="AA10" s="1022"/>
      <c r="AB10" s="1022"/>
      <c r="AC10" s="1022"/>
      <c r="AD10" s="1022"/>
      <c r="AE10" s="1022"/>
      <c r="AF10" s="1022"/>
      <c r="AG10" s="1022"/>
      <c r="AH10" s="1022"/>
      <c r="AI10" s="1022"/>
      <c r="AJ10" s="1022"/>
      <c r="AK10" s="1022"/>
      <c r="AL10" s="1022"/>
      <c r="AM10" s="1022"/>
      <c r="AN10" s="1022"/>
      <c r="AO10" s="1022"/>
    </row>
    <row r="11" spans="1:43" s="1027" customFormat="1" ht="19.5" customHeight="1">
      <c r="A11" s="1036"/>
      <c r="B11" s="1452"/>
      <c r="C11" s="1037">
        <v>3</v>
      </c>
      <c r="D11" s="1042"/>
      <c r="E11" s="1043" t="str">
        <f t="shared" si="0"/>
        <v/>
      </c>
      <c r="F11" s="1044" t="str">
        <f t="shared" si="1"/>
        <v/>
      </c>
      <c r="G11" s="1046"/>
      <c r="H11" s="1045"/>
      <c r="I11" s="1045"/>
      <c r="J11" s="1045"/>
      <c r="K11" s="1022"/>
      <c r="L11" s="1022"/>
      <c r="M11" s="1022"/>
      <c r="N11" s="1022"/>
      <c r="O11" s="1022"/>
      <c r="P11" s="1022"/>
      <c r="Q11" s="1022"/>
      <c r="R11" s="1022"/>
      <c r="S11" s="1022"/>
      <c r="T11" s="1022"/>
      <c r="U11" s="1022"/>
      <c r="V11" s="1022"/>
      <c r="W11" s="1022"/>
      <c r="X11" s="1022"/>
      <c r="Y11" s="1022"/>
      <c r="Z11" s="1022"/>
      <c r="AA11" s="1022"/>
      <c r="AB11" s="1022"/>
      <c r="AC11" s="1022"/>
      <c r="AD11" s="1022"/>
      <c r="AE11" s="1022"/>
      <c r="AF11" s="1022"/>
      <c r="AG11" s="1022"/>
      <c r="AH11" s="1022"/>
      <c r="AI11" s="1022"/>
      <c r="AJ11" s="1022"/>
      <c r="AK11" s="1022"/>
      <c r="AL11" s="1022"/>
      <c r="AM11" s="1022"/>
      <c r="AN11" s="1022"/>
      <c r="AO11" s="1022"/>
    </row>
    <row r="12" spans="1:43" s="1027" customFormat="1" ht="19.5" customHeight="1">
      <c r="A12" s="1036"/>
      <c r="B12" s="1452"/>
      <c r="C12" s="1037">
        <v>4</v>
      </c>
      <c r="D12" s="1042"/>
      <c r="E12" s="1043" t="str">
        <f t="shared" si="0"/>
        <v/>
      </c>
      <c r="F12" s="1044" t="str">
        <f t="shared" si="1"/>
        <v/>
      </c>
      <c r="G12" s="1046"/>
      <c r="H12" s="1022"/>
      <c r="I12" s="1022"/>
      <c r="J12" s="1022"/>
      <c r="K12" s="1022"/>
      <c r="L12" s="1022"/>
      <c r="M12" s="1022"/>
      <c r="N12" s="1022"/>
      <c r="O12" s="1022"/>
      <c r="P12" s="1022"/>
      <c r="Q12" s="1022"/>
      <c r="R12" s="1022"/>
      <c r="S12" s="1022"/>
      <c r="T12" s="1022"/>
      <c r="U12" s="1022"/>
      <c r="V12" s="1022"/>
      <c r="W12" s="1022"/>
      <c r="X12" s="1022"/>
      <c r="Y12" s="1022"/>
      <c r="Z12" s="1022"/>
      <c r="AA12" s="1022"/>
      <c r="AB12" s="1022"/>
      <c r="AC12" s="1022"/>
      <c r="AD12" s="1022"/>
      <c r="AE12" s="1022"/>
      <c r="AF12" s="1022"/>
      <c r="AG12" s="1022"/>
      <c r="AH12" s="1022"/>
      <c r="AI12" s="1022"/>
      <c r="AJ12" s="1022"/>
      <c r="AK12" s="1022"/>
      <c r="AL12" s="1022"/>
      <c r="AM12" s="1022"/>
      <c r="AN12" s="1022"/>
      <c r="AO12" s="1022"/>
    </row>
    <row r="13" spans="1:43" s="1027" customFormat="1" ht="19.5" customHeight="1">
      <c r="A13" s="1036"/>
      <c r="B13" s="1452"/>
      <c r="C13" s="1037">
        <v>5</v>
      </c>
      <c r="D13" s="1042"/>
      <c r="E13" s="1043" t="str">
        <f t="shared" si="0"/>
        <v/>
      </c>
      <c r="F13" s="1044" t="str">
        <f t="shared" si="1"/>
        <v/>
      </c>
      <c r="G13" s="1041"/>
      <c r="H13" s="1025"/>
      <c r="I13" s="1022"/>
      <c r="J13" s="1022"/>
      <c r="K13" s="1047"/>
      <c r="L13" s="1047"/>
      <c r="M13" s="1047"/>
      <c r="N13" s="1047"/>
      <c r="O13" s="1047"/>
      <c r="P13" s="1047"/>
      <c r="Q13" s="1047"/>
      <c r="R13" s="1047"/>
      <c r="S13" s="1022"/>
      <c r="T13" s="1048"/>
      <c r="U13" s="1049"/>
      <c r="V13" s="1049"/>
      <c r="W13" s="1050"/>
      <c r="X13" s="1050"/>
      <c r="Y13" s="1050"/>
      <c r="Z13" s="1050"/>
      <c r="AA13" s="1050"/>
      <c r="AB13" s="1048"/>
      <c r="AC13" s="1048"/>
      <c r="AD13" s="1048"/>
      <c r="AE13" s="1048"/>
      <c r="AF13" s="1048"/>
      <c r="AG13" s="1048"/>
      <c r="AH13" s="1048"/>
      <c r="AI13" s="1048"/>
      <c r="AJ13" s="1048"/>
      <c r="AK13" s="1048"/>
      <c r="AL13" s="1048"/>
      <c r="AM13" s="1048"/>
      <c r="AN13" s="1048"/>
      <c r="AO13" s="1048"/>
    </row>
    <row r="14" spans="1:43" s="1027" customFormat="1" ht="19.5" customHeight="1">
      <c r="A14" s="1036"/>
      <c r="B14" s="1452"/>
      <c r="C14" s="1037">
        <v>6</v>
      </c>
      <c r="D14" s="1042"/>
      <c r="E14" s="1043" t="str">
        <f t="shared" si="0"/>
        <v/>
      </c>
      <c r="F14" s="1044" t="str">
        <f t="shared" si="1"/>
        <v/>
      </c>
      <c r="G14" s="1046"/>
      <c r="H14" s="1051"/>
      <c r="I14" s="1022"/>
      <c r="J14" s="1022"/>
      <c r="K14" s="1022"/>
      <c r="L14" s="1022"/>
      <c r="M14" s="1022"/>
      <c r="N14" s="1022"/>
      <c r="O14" s="1022"/>
      <c r="P14" s="1022"/>
      <c r="Q14" s="1022"/>
      <c r="R14" s="1022"/>
      <c r="S14" s="1022"/>
      <c r="T14" s="1022"/>
      <c r="U14" s="1022"/>
      <c r="V14" s="1022"/>
      <c r="W14" s="1022"/>
      <c r="X14" s="1022"/>
      <c r="Y14" s="1022"/>
      <c r="Z14" s="1022"/>
      <c r="AA14" s="1022"/>
      <c r="AB14" s="1022"/>
      <c r="AC14" s="1022"/>
      <c r="AD14" s="1022"/>
      <c r="AE14" s="1022"/>
      <c r="AF14" s="1022"/>
      <c r="AG14" s="1022"/>
      <c r="AH14" s="1022"/>
      <c r="AI14" s="1022"/>
      <c r="AJ14" s="1022"/>
      <c r="AK14" s="1022"/>
      <c r="AL14" s="1022"/>
      <c r="AM14" s="1022"/>
      <c r="AN14" s="1022"/>
      <c r="AO14" s="1022"/>
    </row>
    <row r="15" spans="1:43" s="1027" customFormat="1" ht="19.5" customHeight="1">
      <c r="A15" s="1036"/>
      <c r="B15" s="1452"/>
      <c r="C15" s="1037">
        <v>7</v>
      </c>
      <c r="D15" s="1042"/>
      <c r="E15" s="1043" t="str">
        <f t="shared" si="0"/>
        <v/>
      </c>
      <c r="F15" s="1044" t="str">
        <f t="shared" si="1"/>
        <v/>
      </c>
      <c r="G15" s="1046"/>
      <c r="H15" s="1051"/>
      <c r="I15" s="1022"/>
      <c r="J15" s="1022"/>
      <c r="K15" s="1022"/>
      <c r="L15" s="1022"/>
      <c r="M15" s="1022"/>
      <c r="N15" s="1022"/>
      <c r="O15" s="1022"/>
      <c r="P15" s="1022"/>
      <c r="Q15" s="1022"/>
      <c r="R15" s="1022"/>
      <c r="S15" s="1022"/>
      <c r="T15" s="1022"/>
      <c r="U15" s="1022"/>
      <c r="V15" s="1022"/>
      <c r="W15" s="1022"/>
      <c r="X15" s="1022"/>
      <c r="Y15" s="1022"/>
      <c r="Z15" s="1022"/>
      <c r="AA15" s="1022"/>
      <c r="AB15" s="1022"/>
      <c r="AC15" s="1022"/>
      <c r="AD15" s="1022"/>
      <c r="AE15" s="1022"/>
      <c r="AF15" s="1022"/>
      <c r="AG15" s="1022"/>
      <c r="AH15" s="1022"/>
      <c r="AI15" s="1022"/>
      <c r="AJ15" s="1022"/>
      <c r="AK15" s="1022"/>
      <c r="AL15" s="1022"/>
      <c r="AM15" s="1022"/>
      <c r="AN15" s="1022"/>
      <c r="AO15" s="1022"/>
    </row>
    <row r="16" spans="1:43" s="1027" customFormat="1" ht="6" customHeight="1">
      <c r="A16" s="1020"/>
      <c r="B16" s="1021"/>
      <c r="C16" s="1022"/>
      <c r="D16" s="1022"/>
      <c r="E16" s="1022"/>
      <c r="F16" s="1022"/>
      <c r="G16" s="1023"/>
      <c r="H16" s="1024"/>
      <c r="I16" s="1025"/>
      <c r="J16" s="1025"/>
      <c r="K16" s="1022"/>
      <c r="L16" s="1022"/>
      <c r="M16" s="1022"/>
      <c r="N16" s="1026"/>
      <c r="O16" s="1026"/>
      <c r="P16" s="1026"/>
      <c r="Q16" s="1026"/>
      <c r="R16" s="1026"/>
      <c r="S16" s="1026"/>
      <c r="T16" s="1026"/>
      <c r="U16" s="1026"/>
      <c r="V16" s="1026"/>
      <c r="W16" s="1026"/>
      <c r="X16" s="1026"/>
      <c r="Y16" s="1026"/>
      <c r="Z16" s="1026"/>
      <c r="AA16" s="1026"/>
      <c r="AB16" s="1026"/>
      <c r="AC16" s="1026"/>
      <c r="AD16" s="1026"/>
      <c r="AE16" s="1026"/>
      <c r="AF16" s="1026"/>
      <c r="AG16" s="1026"/>
      <c r="AH16" s="1026"/>
      <c r="AI16" s="1026"/>
      <c r="AJ16" s="1026"/>
      <c r="AK16" s="1026"/>
      <c r="AL16" s="1026"/>
      <c r="AM16" s="1026"/>
      <c r="AN16" s="1026"/>
      <c r="AO16" s="1026"/>
      <c r="AP16" s="1026"/>
      <c r="AQ16" s="1026"/>
    </row>
    <row r="17" spans="1:43" s="1027" customFormat="1" ht="18" customHeight="1">
      <c r="A17" s="3955" t="s">
        <v>2303</v>
      </c>
      <c r="B17" s="2846"/>
      <c r="C17" s="2860"/>
      <c r="D17" s="1052" t="str">
        <f>IF(ISBLANK(D9),"",SUM(D9:D15))</f>
        <v/>
      </c>
      <c r="E17" s="3938" t="s">
        <v>2304</v>
      </c>
      <c r="F17" s="3939"/>
      <c r="G17" s="1053"/>
      <c r="H17" s="1024"/>
      <c r="I17" s="1025"/>
      <c r="J17" s="1051"/>
      <c r="K17" s="1022"/>
      <c r="L17" s="1022"/>
      <c r="M17" s="1022"/>
      <c r="N17" s="1022"/>
      <c r="O17" s="1022"/>
      <c r="P17" s="1022"/>
      <c r="Q17" s="1022"/>
      <c r="R17" s="1022"/>
      <c r="S17" s="1022"/>
      <c r="T17" s="1022"/>
      <c r="U17" s="1022"/>
      <c r="V17" s="1022"/>
      <c r="W17" s="1022"/>
      <c r="X17" s="1022"/>
      <c r="Y17" s="1022"/>
      <c r="Z17" s="1022"/>
      <c r="AA17" s="1022"/>
      <c r="AB17" s="1022"/>
      <c r="AC17" s="1022"/>
      <c r="AD17" s="1022"/>
      <c r="AE17" s="1022"/>
      <c r="AF17" s="1022"/>
      <c r="AG17" s="1022"/>
      <c r="AH17" s="1022"/>
      <c r="AI17" s="1022"/>
      <c r="AJ17" s="1022"/>
      <c r="AK17" s="1022"/>
      <c r="AL17" s="1022"/>
      <c r="AM17" s="1022"/>
      <c r="AN17" s="1022"/>
      <c r="AO17" s="1022"/>
      <c r="AP17" s="1022"/>
      <c r="AQ17" s="1022"/>
    </row>
    <row r="18" spans="1:43" s="1027" customFormat="1" ht="6" customHeight="1">
      <c r="A18" s="1020"/>
      <c r="B18" s="1021"/>
      <c r="C18" s="1022"/>
      <c r="D18" s="1051"/>
      <c r="E18" s="1022"/>
      <c r="F18" s="1022"/>
      <c r="G18" s="1023"/>
      <c r="H18" s="1024"/>
      <c r="I18" s="1025"/>
      <c r="J18" s="1025"/>
      <c r="K18" s="1022"/>
      <c r="L18" s="1022"/>
      <c r="M18" s="1022"/>
      <c r="N18" s="1026"/>
      <c r="O18" s="1026"/>
      <c r="P18" s="1026"/>
      <c r="Q18" s="1026"/>
      <c r="R18" s="1026"/>
      <c r="S18" s="1026"/>
      <c r="T18" s="1026"/>
      <c r="U18" s="1026"/>
      <c r="V18" s="1026"/>
      <c r="W18" s="1026"/>
      <c r="X18" s="1026"/>
      <c r="Y18" s="1026"/>
      <c r="Z18" s="1026"/>
      <c r="AA18" s="1026"/>
      <c r="AB18" s="1026"/>
      <c r="AC18" s="1026"/>
      <c r="AD18" s="1026"/>
      <c r="AE18" s="1026"/>
      <c r="AF18" s="1026"/>
      <c r="AG18" s="1026"/>
      <c r="AH18" s="1026"/>
      <c r="AI18" s="1026"/>
      <c r="AJ18" s="1026"/>
      <c r="AK18" s="1026"/>
      <c r="AL18" s="1026"/>
      <c r="AM18" s="1026"/>
      <c r="AN18" s="1026"/>
      <c r="AO18" s="1026"/>
      <c r="AP18" s="1026"/>
      <c r="AQ18" s="1026"/>
    </row>
    <row r="19" spans="1:43" s="1027" customFormat="1" ht="19.5" customHeight="1">
      <c r="A19" s="3955" t="s">
        <v>2305</v>
      </c>
      <c r="B19" s="2846"/>
      <c r="C19" s="2860"/>
      <c r="D19" s="1052" t="str">
        <f>IF(ISBLANK(D9),  "", MAX(D9:D15))</f>
        <v/>
      </c>
      <c r="E19" s="1027" t="s">
        <v>2306</v>
      </c>
      <c r="F19" s="1022"/>
      <c r="G19" s="1023"/>
      <c r="H19" s="1024"/>
      <c r="I19" s="1025"/>
      <c r="J19" s="1051"/>
      <c r="K19" s="1022"/>
      <c r="L19" s="1022"/>
      <c r="M19" s="1022"/>
      <c r="N19" s="1026"/>
      <c r="O19" s="1026"/>
      <c r="P19" s="1026"/>
      <c r="Q19" s="1026"/>
      <c r="R19" s="1026"/>
      <c r="S19" s="1026"/>
      <c r="T19" s="1026"/>
      <c r="U19" s="1026"/>
      <c r="V19" s="1026"/>
      <c r="W19" s="1026"/>
      <c r="X19" s="1026"/>
      <c r="Y19" s="1026"/>
      <c r="Z19" s="1026"/>
      <c r="AA19" s="1026"/>
      <c r="AB19" s="1026"/>
      <c r="AC19" s="1026"/>
      <c r="AD19" s="1026"/>
      <c r="AE19" s="1026"/>
      <c r="AF19" s="1026"/>
      <c r="AG19" s="1026"/>
      <c r="AH19" s="1026"/>
      <c r="AI19" s="1026"/>
      <c r="AJ19" s="1026"/>
      <c r="AK19" s="1026"/>
      <c r="AL19" s="1026"/>
      <c r="AM19" s="1026"/>
      <c r="AN19" s="1026"/>
      <c r="AO19" s="1026"/>
      <c r="AP19" s="1026"/>
      <c r="AQ19" s="1026"/>
    </row>
    <row r="20" spans="1:43" s="1027" customFormat="1" ht="6" customHeight="1">
      <c r="A20" s="1020"/>
      <c r="B20" s="1021"/>
      <c r="C20" s="1022"/>
      <c r="D20" s="1051"/>
      <c r="E20" s="1022"/>
      <c r="F20" s="1022"/>
      <c r="G20" s="1023"/>
      <c r="H20" s="1024"/>
      <c r="I20" s="1025"/>
      <c r="J20" s="1025"/>
      <c r="K20" s="1022"/>
      <c r="L20" s="1022"/>
      <c r="M20" s="1022"/>
      <c r="N20" s="1026"/>
      <c r="O20" s="1026"/>
      <c r="P20" s="1026"/>
      <c r="Q20" s="1026"/>
      <c r="R20" s="1026"/>
      <c r="S20" s="1026"/>
      <c r="T20" s="1026"/>
      <c r="U20" s="1026"/>
      <c r="V20" s="1026"/>
      <c r="W20" s="1026"/>
      <c r="X20" s="1026"/>
      <c r="Y20" s="1026"/>
      <c r="Z20" s="1026"/>
      <c r="AA20" s="1026"/>
      <c r="AB20" s="1026"/>
      <c r="AC20" s="1026"/>
      <c r="AD20" s="1026"/>
      <c r="AE20" s="1026"/>
      <c r="AF20" s="1026"/>
      <c r="AG20" s="1026"/>
      <c r="AH20" s="1026"/>
      <c r="AI20" s="1026"/>
      <c r="AJ20" s="1026"/>
      <c r="AK20" s="1026"/>
      <c r="AL20" s="1026"/>
      <c r="AM20" s="1026"/>
      <c r="AN20" s="1026"/>
      <c r="AO20" s="1026"/>
      <c r="AP20" s="1026"/>
      <c r="AQ20" s="1026"/>
    </row>
    <row r="21" spans="1:43" s="1027" customFormat="1" ht="19.5" customHeight="1">
      <c r="A21" s="3952" t="s">
        <v>2307</v>
      </c>
      <c r="B21" s="3953"/>
      <c r="C21" s="3954"/>
      <c r="D21" s="1054" t="str">
        <f>IF(ISBLANK(D9),  "",D17/C15)</f>
        <v/>
      </c>
      <c r="E21" s="1027" t="s">
        <v>2308</v>
      </c>
      <c r="F21" s="1022"/>
      <c r="G21" s="1023"/>
      <c r="H21" s="1024"/>
      <c r="I21" s="1025"/>
      <c r="J21" s="1025"/>
      <c r="K21" s="1022"/>
      <c r="L21" s="1022"/>
      <c r="M21" s="1022"/>
      <c r="N21" s="1026"/>
      <c r="O21" s="1026"/>
      <c r="P21" s="1026"/>
      <c r="Q21" s="1026"/>
      <c r="R21" s="1026"/>
      <c r="S21" s="1026"/>
      <c r="T21" s="1026"/>
      <c r="U21" s="1026"/>
      <c r="V21" s="1026"/>
      <c r="W21" s="1026"/>
      <c r="X21" s="1026"/>
      <c r="Y21" s="1026"/>
      <c r="Z21" s="1026"/>
      <c r="AA21" s="1026"/>
      <c r="AB21" s="1026"/>
      <c r="AC21" s="1026"/>
      <c r="AD21" s="1026"/>
      <c r="AE21" s="1026"/>
      <c r="AF21" s="1026"/>
      <c r="AG21" s="1026"/>
      <c r="AH21" s="1026"/>
      <c r="AI21" s="1026"/>
      <c r="AJ21" s="1026"/>
      <c r="AK21" s="1026"/>
      <c r="AL21" s="1026"/>
      <c r="AM21" s="1026"/>
      <c r="AN21" s="1026"/>
      <c r="AO21" s="1026"/>
      <c r="AP21" s="1026"/>
      <c r="AQ21" s="1026"/>
    </row>
    <row r="22" spans="1:43" s="1027" customFormat="1" ht="6" customHeight="1">
      <c r="A22" s="1020"/>
      <c r="B22" s="1021"/>
      <c r="C22" s="1022"/>
      <c r="D22" s="1051"/>
      <c r="E22" s="1022"/>
      <c r="F22" s="1022"/>
      <c r="G22" s="1023"/>
      <c r="H22" s="1024"/>
      <c r="I22" s="1025"/>
      <c r="J22" s="1025"/>
      <c r="K22" s="1022"/>
      <c r="L22" s="1022"/>
      <c r="M22" s="1022"/>
      <c r="N22" s="1026"/>
      <c r="O22" s="1026"/>
      <c r="P22" s="1026"/>
      <c r="Q22" s="1026"/>
      <c r="R22" s="1026"/>
      <c r="S22" s="1026"/>
      <c r="T22" s="1026"/>
      <c r="U22" s="1026"/>
      <c r="V22" s="1026"/>
      <c r="W22" s="1026"/>
      <c r="X22" s="1026"/>
      <c r="Y22" s="1026"/>
      <c r="Z22" s="1026"/>
      <c r="AA22" s="1026"/>
      <c r="AB22" s="1026"/>
      <c r="AC22" s="1026"/>
      <c r="AD22" s="1026"/>
      <c r="AE22" s="1026"/>
      <c r="AF22" s="1026"/>
      <c r="AG22" s="1026"/>
      <c r="AH22" s="1026"/>
      <c r="AI22" s="1026"/>
      <c r="AJ22" s="1026"/>
      <c r="AK22" s="1026"/>
      <c r="AL22" s="1026"/>
      <c r="AM22" s="1026"/>
      <c r="AN22" s="1026"/>
      <c r="AO22" s="1026"/>
      <c r="AP22" s="1026"/>
      <c r="AQ22" s="1026"/>
    </row>
    <row r="23" spans="1:43" s="1027" customFormat="1" ht="19.5" customHeight="1">
      <c r="A23" s="3955" t="s">
        <v>2309</v>
      </c>
      <c r="B23" s="2846"/>
      <c r="C23" s="2860"/>
      <c r="D23" s="1055" t="str">
        <f>IF(ISBLANK(D9), "", D19/D21)</f>
        <v/>
      </c>
      <c r="F23" s="1022"/>
      <c r="G23" s="1023"/>
      <c r="H23" s="1024"/>
      <c r="I23" s="1025"/>
      <c r="J23" s="1025"/>
      <c r="K23" s="1022"/>
      <c r="L23" s="1022"/>
      <c r="M23" s="1022"/>
      <c r="N23" s="1026"/>
      <c r="O23" s="1026"/>
      <c r="P23" s="1026"/>
      <c r="Q23" s="1026"/>
      <c r="R23" s="1026"/>
      <c r="S23" s="1026"/>
      <c r="T23" s="1026"/>
      <c r="U23" s="1026"/>
      <c r="V23" s="1026"/>
      <c r="W23" s="1026"/>
      <c r="X23" s="1026"/>
      <c r="Y23" s="1026"/>
      <c r="Z23" s="1026"/>
      <c r="AA23" s="1026"/>
      <c r="AB23" s="1026"/>
      <c r="AC23" s="1026"/>
      <c r="AD23" s="1026"/>
      <c r="AE23" s="1026"/>
      <c r="AF23" s="1026"/>
      <c r="AG23" s="1026"/>
      <c r="AH23" s="1026"/>
      <c r="AI23" s="1026"/>
      <c r="AJ23" s="1026"/>
      <c r="AK23" s="1026"/>
      <c r="AL23" s="1026"/>
      <c r="AM23" s="1026"/>
      <c r="AN23" s="1026"/>
      <c r="AO23" s="1026"/>
      <c r="AP23" s="1026"/>
      <c r="AQ23" s="1026"/>
    </row>
    <row r="24" spans="1:43" s="1027" customFormat="1" ht="6" customHeight="1">
      <c r="A24" s="1020"/>
      <c r="B24" s="1021"/>
      <c r="C24" s="1022"/>
      <c r="D24" s="1022"/>
      <c r="E24" s="1022"/>
      <c r="F24" s="1022"/>
      <c r="G24" s="1023"/>
      <c r="H24" s="1024"/>
      <c r="I24" s="1025"/>
      <c r="J24" s="1025"/>
      <c r="K24" s="1022"/>
      <c r="L24" s="1022"/>
      <c r="M24" s="1022"/>
      <c r="N24" s="1026"/>
      <c r="O24" s="1026"/>
      <c r="P24" s="1026"/>
      <c r="Q24" s="1026"/>
      <c r="R24" s="1026"/>
      <c r="S24" s="1026"/>
      <c r="T24" s="1026"/>
      <c r="U24" s="1026"/>
      <c r="V24" s="1026"/>
      <c r="W24" s="1026"/>
      <c r="X24" s="1026"/>
      <c r="Y24" s="1026"/>
      <c r="Z24" s="1026"/>
      <c r="AA24" s="1026"/>
      <c r="AB24" s="1026"/>
      <c r="AC24" s="1026"/>
      <c r="AD24" s="1026"/>
      <c r="AE24" s="1026"/>
      <c r="AF24" s="1026"/>
      <c r="AG24" s="1026"/>
      <c r="AH24" s="1026"/>
      <c r="AI24" s="1026"/>
      <c r="AJ24" s="1026"/>
      <c r="AK24" s="1026"/>
      <c r="AL24" s="1026"/>
      <c r="AM24" s="1026"/>
      <c r="AN24" s="1026"/>
      <c r="AO24" s="1026"/>
      <c r="AP24" s="1026"/>
      <c r="AQ24" s="1026"/>
    </row>
    <row r="25" spans="1:43" s="1027" customFormat="1" ht="19.5" customHeight="1">
      <c r="A25" s="3956"/>
      <c r="B25" s="3957"/>
      <c r="C25" s="3957"/>
      <c r="D25" s="1454"/>
      <c r="E25" s="1455" t="s">
        <v>2310</v>
      </c>
      <c r="F25" s="1056" t="str">
        <f>IF(ISBLANK(D9),"",MAX(F9:F15))</f>
        <v/>
      </c>
      <c r="G25" s="1041" t="s">
        <v>2311</v>
      </c>
      <c r="H25" s="1024"/>
      <c r="I25" s="1025"/>
      <c r="J25" s="1025"/>
      <c r="K25" s="1022"/>
      <c r="L25" s="1022"/>
      <c r="M25" s="1022"/>
      <c r="N25" s="1026"/>
      <c r="O25" s="1026"/>
      <c r="P25" s="1026"/>
      <c r="Q25" s="1026"/>
      <c r="R25" s="1026"/>
      <c r="S25" s="1026"/>
      <c r="T25" s="1026"/>
      <c r="U25" s="1026"/>
      <c r="V25" s="1026"/>
      <c r="W25" s="1026"/>
      <c r="X25" s="1026"/>
      <c r="Y25" s="1026"/>
      <c r="Z25" s="1026"/>
      <c r="AA25" s="1026"/>
      <c r="AB25" s="1026"/>
      <c r="AC25" s="1026"/>
      <c r="AD25" s="1026"/>
      <c r="AE25" s="1026"/>
      <c r="AF25" s="1026"/>
      <c r="AG25" s="1026"/>
      <c r="AH25" s="1026"/>
      <c r="AI25" s="1026"/>
      <c r="AJ25" s="1026"/>
      <c r="AK25" s="1026"/>
      <c r="AL25" s="1026"/>
      <c r="AM25" s="1026"/>
      <c r="AN25" s="1026"/>
      <c r="AO25" s="1026"/>
      <c r="AP25" s="1026"/>
      <c r="AQ25" s="1026"/>
    </row>
    <row r="26" spans="1:43" s="1027" customFormat="1" ht="6" customHeight="1">
      <c r="A26" s="1020"/>
      <c r="B26" s="1021"/>
      <c r="C26" s="1022"/>
      <c r="D26" s="1022"/>
      <c r="E26" s="1022"/>
      <c r="F26" s="1456"/>
      <c r="G26" s="1023"/>
      <c r="H26" s="1024"/>
      <c r="I26" s="1025"/>
      <c r="J26" s="1025"/>
      <c r="K26" s="1022"/>
      <c r="L26" s="1022"/>
      <c r="M26" s="1022"/>
      <c r="N26" s="1026"/>
      <c r="O26" s="1026"/>
      <c r="P26" s="1026"/>
      <c r="Q26" s="1026"/>
      <c r="R26" s="1026"/>
      <c r="S26" s="1026"/>
      <c r="T26" s="1026"/>
      <c r="U26" s="1026"/>
      <c r="V26" s="1026"/>
      <c r="W26" s="1026"/>
      <c r="X26" s="1026"/>
      <c r="Y26" s="1026"/>
      <c r="Z26" s="1026"/>
      <c r="AA26" s="1026"/>
      <c r="AB26" s="1026"/>
      <c r="AC26" s="1026"/>
      <c r="AD26" s="1026"/>
      <c r="AE26" s="1026"/>
      <c r="AF26" s="1026"/>
      <c r="AG26" s="1026"/>
      <c r="AH26" s="1026"/>
      <c r="AI26" s="1026"/>
      <c r="AJ26" s="1026"/>
      <c r="AK26" s="1026"/>
      <c r="AL26" s="1026"/>
      <c r="AM26" s="1026"/>
      <c r="AN26" s="1026"/>
      <c r="AO26" s="1026"/>
      <c r="AP26" s="1026"/>
      <c r="AQ26" s="1026"/>
    </row>
    <row r="27" spans="1:43" s="1027" customFormat="1" ht="6" customHeight="1">
      <c r="A27" s="1020"/>
      <c r="B27" s="1021"/>
      <c r="C27" s="1022"/>
      <c r="D27" s="1022"/>
      <c r="E27" s="1022"/>
      <c r="F27" s="1022"/>
      <c r="G27" s="1023"/>
      <c r="H27" s="1024"/>
      <c r="I27" s="1025"/>
      <c r="J27" s="1025"/>
      <c r="K27" s="1022"/>
      <c r="L27" s="1022"/>
      <c r="M27" s="1022"/>
      <c r="N27" s="1026"/>
      <c r="O27" s="1026"/>
      <c r="P27" s="1026"/>
      <c r="Q27" s="1026"/>
      <c r="R27" s="1026"/>
      <c r="S27" s="1026"/>
      <c r="T27" s="1026"/>
      <c r="U27" s="1026"/>
      <c r="V27" s="1026"/>
      <c r="W27" s="1026"/>
      <c r="X27" s="1026"/>
      <c r="Y27" s="1026"/>
      <c r="Z27" s="1026"/>
      <c r="AA27" s="1026"/>
      <c r="AB27" s="1026"/>
      <c r="AC27" s="1026"/>
      <c r="AD27" s="1026"/>
      <c r="AE27" s="1026"/>
      <c r="AF27" s="1026"/>
      <c r="AG27" s="1026"/>
      <c r="AH27" s="1026"/>
      <c r="AI27" s="1026"/>
      <c r="AJ27" s="1026"/>
      <c r="AK27" s="1026"/>
      <c r="AL27" s="1026"/>
      <c r="AM27" s="1026"/>
      <c r="AN27" s="1026"/>
      <c r="AO27" s="1026"/>
      <c r="AP27" s="1026"/>
      <c r="AQ27" s="1026"/>
    </row>
    <row r="28" spans="1:43" s="1027" customFormat="1" ht="19.5" customHeight="1">
      <c r="A28" s="1057"/>
      <c r="B28" s="520"/>
      <c r="C28" s="520"/>
      <c r="D28" s="1457"/>
      <c r="E28" s="1453" t="s">
        <v>2323</v>
      </c>
      <c r="F28" s="1056" t="str">
        <f>IF(ISBLANK(D9), " ",D21+F25)</f>
        <v xml:space="preserve"> </v>
      </c>
      <c r="G28" s="1023" t="s">
        <v>1038</v>
      </c>
      <c r="H28" s="1024"/>
      <c r="I28" s="1025"/>
      <c r="J28" s="1025"/>
      <c r="K28" s="1022"/>
      <c r="L28" s="1022"/>
      <c r="M28" s="1022"/>
      <c r="N28" s="1026"/>
      <c r="O28" s="1026"/>
      <c r="P28" s="1026"/>
      <c r="Q28" s="1026"/>
      <c r="R28" s="1026"/>
      <c r="S28" s="1026"/>
      <c r="T28" s="1026"/>
      <c r="U28" s="1026"/>
      <c r="V28" s="1026"/>
      <c r="W28" s="1026"/>
      <c r="X28" s="1026"/>
      <c r="Y28" s="1026"/>
      <c r="Z28" s="1026"/>
      <c r="AA28" s="1026"/>
      <c r="AB28" s="1026"/>
      <c r="AC28" s="1026"/>
      <c r="AD28" s="1026"/>
      <c r="AE28" s="1026"/>
      <c r="AF28" s="1026"/>
      <c r="AG28" s="1026"/>
      <c r="AH28" s="1026"/>
      <c r="AI28" s="1026"/>
      <c r="AJ28" s="1026"/>
      <c r="AK28" s="1026"/>
      <c r="AL28" s="1026"/>
      <c r="AM28" s="1026"/>
      <c r="AN28" s="1026"/>
      <c r="AO28" s="1026"/>
      <c r="AP28" s="1026"/>
      <c r="AQ28" s="1026"/>
    </row>
    <row r="29" spans="1:43" s="1027" customFormat="1" ht="6" customHeight="1">
      <c r="A29" s="1020"/>
      <c r="B29" s="1021"/>
      <c r="C29" s="1022"/>
      <c r="D29" s="1022"/>
      <c r="E29" s="1022"/>
      <c r="F29" s="1022"/>
      <c r="G29" s="1023"/>
      <c r="H29" s="1024"/>
      <c r="I29" s="1025"/>
      <c r="J29" s="1025"/>
      <c r="K29" s="1022"/>
      <c r="L29" s="1022"/>
      <c r="M29" s="1022"/>
      <c r="N29" s="1026"/>
      <c r="O29" s="1026"/>
      <c r="P29" s="1026"/>
      <c r="Q29" s="1026"/>
      <c r="R29" s="1026"/>
      <c r="S29" s="1026"/>
      <c r="T29" s="1026"/>
      <c r="U29" s="1026"/>
      <c r="V29" s="1026"/>
      <c r="W29" s="1026"/>
      <c r="X29" s="1026"/>
      <c r="Y29" s="1026"/>
      <c r="Z29" s="1026"/>
      <c r="AA29" s="1026"/>
      <c r="AB29" s="1026"/>
      <c r="AC29" s="1026"/>
      <c r="AD29" s="1026"/>
      <c r="AE29" s="1026"/>
      <c r="AF29" s="1026"/>
      <c r="AG29" s="1026"/>
      <c r="AH29" s="1026"/>
      <c r="AI29" s="1026"/>
      <c r="AJ29" s="1026"/>
      <c r="AK29" s="1026"/>
      <c r="AL29" s="1026"/>
      <c r="AM29" s="1026"/>
      <c r="AN29" s="1026"/>
      <c r="AO29" s="1026"/>
      <c r="AP29" s="1026"/>
      <c r="AQ29" s="1026"/>
    </row>
    <row r="30" spans="1:43" s="1027" customFormat="1" ht="19.5" customHeight="1">
      <c r="A30" s="834" t="s">
        <v>2313</v>
      </c>
      <c r="B30" s="1457"/>
      <c r="C30" s="1457"/>
      <c r="D30" s="1458"/>
      <c r="E30" s="1058"/>
      <c r="F30" s="1059"/>
      <c r="G30" s="1023" t="s">
        <v>624</v>
      </c>
      <c r="H30" s="1024"/>
      <c r="I30" s="1025"/>
      <c r="J30" s="1025"/>
      <c r="K30" s="1022"/>
      <c r="L30" s="1022"/>
      <c r="M30" s="1022"/>
      <c r="N30" s="1026"/>
      <c r="O30" s="1026"/>
      <c r="P30" s="1026"/>
      <c r="Q30" s="1026"/>
      <c r="R30" s="1026"/>
      <c r="S30" s="1026"/>
      <c r="T30" s="1026"/>
      <c r="U30" s="1026"/>
      <c r="V30" s="1026"/>
      <c r="W30" s="1026"/>
      <c r="X30" s="1026"/>
      <c r="Y30" s="1026"/>
      <c r="Z30" s="1026"/>
      <c r="AA30" s="1026"/>
      <c r="AB30" s="1026"/>
      <c r="AC30" s="1026"/>
      <c r="AD30" s="1026"/>
      <c r="AE30" s="1026"/>
      <c r="AF30" s="1026"/>
      <c r="AG30" s="1026"/>
      <c r="AH30" s="1026"/>
      <c r="AI30" s="1026"/>
      <c r="AJ30" s="1026"/>
      <c r="AK30" s="1026"/>
      <c r="AL30" s="1026"/>
      <c r="AM30" s="1026"/>
      <c r="AN30" s="1026"/>
      <c r="AO30" s="1026"/>
      <c r="AP30" s="1026"/>
      <c r="AQ30" s="1026"/>
    </row>
    <row r="31" spans="1:43" s="1027" customFormat="1" ht="6" customHeight="1">
      <c r="A31" s="1020"/>
      <c r="B31" s="1021"/>
      <c r="C31" s="1022"/>
      <c r="D31" s="1022"/>
      <c r="E31" s="1022"/>
      <c r="F31" s="1022"/>
      <c r="G31" s="1023"/>
      <c r="H31" s="1024"/>
      <c r="I31" s="1025"/>
      <c r="J31" s="1025"/>
      <c r="K31" s="1022"/>
      <c r="L31" s="1022"/>
      <c r="M31" s="1022"/>
      <c r="N31" s="1026"/>
      <c r="O31" s="1026"/>
      <c r="P31" s="1026"/>
      <c r="Q31" s="1026"/>
      <c r="R31" s="1026"/>
      <c r="S31" s="1026"/>
      <c r="T31" s="1026"/>
      <c r="U31" s="1026"/>
      <c r="V31" s="1026"/>
      <c r="W31" s="1026"/>
      <c r="X31" s="1026"/>
      <c r="Y31" s="1026"/>
      <c r="Z31" s="1026"/>
      <c r="AA31" s="1026"/>
      <c r="AB31" s="1026"/>
      <c r="AC31" s="1026"/>
      <c r="AD31" s="1026"/>
      <c r="AE31" s="1026"/>
      <c r="AF31" s="1026"/>
      <c r="AG31" s="1026"/>
      <c r="AH31" s="1026"/>
      <c r="AI31" s="1026"/>
      <c r="AJ31" s="1026"/>
      <c r="AK31" s="1026"/>
      <c r="AL31" s="1026"/>
      <c r="AM31" s="1026"/>
      <c r="AN31" s="1026"/>
      <c r="AO31" s="1026"/>
      <c r="AP31" s="1026"/>
      <c r="AQ31" s="1026"/>
    </row>
    <row r="32" spans="1:43" s="1027" customFormat="1" ht="19.5" customHeight="1">
      <c r="A32" s="1060"/>
      <c r="B32" s="1022"/>
      <c r="C32" s="3950" t="s">
        <v>2314</v>
      </c>
      <c r="D32" s="3950"/>
      <c r="E32" s="3951"/>
      <c r="F32" s="1056" t="str">
        <f>IF(ISBLANK(D9), "",  F28*(1+F30/100))</f>
        <v/>
      </c>
      <c r="G32" s="1023" t="s">
        <v>1038</v>
      </c>
      <c r="H32" s="1024"/>
      <c r="I32" s="1025"/>
      <c r="J32" s="1025"/>
      <c r="K32" s="1022"/>
      <c r="L32" s="1022"/>
      <c r="M32" s="1022"/>
      <c r="N32" s="1026"/>
      <c r="O32" s="1026"/>
      <c r="P32" s="1026"/>
      <c r="Q32" s="1026"/>
      <c r="R32" s="1026"/>
      <c r="S32" s="1026"/>
      <c r="T32" s="1026"/>
      <c r="U32" s="1026"/>
      <c r="V32" s="1026"/>
      <c r="W32" s="1026"/>
      <c r="X32" s="1026"/>
      <c r="Y32" s="1026"/>
      <c r="Z32" s="1026"/>
      <c r="AA32" s="1026"/>
      <c r="AB32" s="1026"/>
      <c r="AC32" s="1026"/>
      <c r="AD32" s="1026"/>
      <c r="AE32" s="1026"/>
      <c r="AF32" s="1026"/>
      <c r="AG32" s="1026"/>
      <c r="AH32" s="1026"/>
      <c r="AI32" s="1026"/>
      <c r="AJ32" s="1026"/>
      <c r="AK32" s="1026"/>
      <c r="AL32" s="1026"/>
      <c r="AM32" s="1026"/>
      <c r="AN32" s="1026"/>
      <c r="AO32" s="1026"/>
      <c r="AP32" s="1026"/>
      <c r="AQ32" s="1026"/>
    </row>
    <row r="33" spans="1:43" s="1027" customFormat="1" ht="6" customHeight="1">
      <c r="A33" s="1020"/>
      <c r="B33" s="1021"/>
      <c r="C33" s="1022"/>
      <c r="D33" s="1022"/>
      <c r="E33" s="1022"/>
      <c r="F33" s="1022"/>
      <c r="G33" s="1023"/>
      <c r="H33" s="1024"/>
      <c r="I33" s="1025"/>
      <c r="J33" s="1025"/>
      <c r="K33" s="1022"/>
      <c r="L33" s="1022"/>
      <c r="M33" s="1022"/>
      <c r="N33" s="1026"/>
      <c r="O33" s="1026"/>
      <c r="P33" s="1026"/>
      <c r="Q33" s="1026"/>
      <c r="R33" s="1026"/>
      <c r="S33" s="1026"/>
      <c r="T33" s="1026"/>
      <c r="U33" s="1026"/>
      <c r="V33" s="1026"/>
      <c r="W33" s="1026"/>
      <c r="X33" s="1026"/>
      <c r="Y33" s="1026"/>
      <c r="Z33" s="1026"/>
      <c r="AA33" s="1026"/>
      <c r="AB33" s="1026"/>
      <c r="AC33" s="1026"/>
      <c r="AD33" s="1026"/>
      <c r="AE33" s="1026"/>
      <c r="AF33" s="1026"/>
      <c r="AG33" s="1026"/>
      <c r="AH33" s="1026"/>
      <c r="AI33" s="1026"/>
      <c r="AJ33" s="1026"/>
      <c r="AK33" s="1026"/>
      <c r="AL33" s="1026"/>
      <c r="AM33" s="1026"/>
      <c r="AN33" s="1026"/>
      <c r="AO33" s="1026"/>
      <c r="AP33" s="1026"/>
      <c r="AQ33" s="1026"/>
    </row>
    <row r="34" spans="1:43" s="1027" customFormat="1" ht="19.5" customHeight="1">
      <c r="A34" s="834" t="s">
        <v>2315</v>
      </c>
      <c r="B34" s="520"/>
      <c r="C34" s="520"/>
      <c r="D34" s="520"/>
      <c r="E34" s="1022"/>
      <c r="F34" s="1460" t="str">
        <f>'Pump-Tank(Other)Time'!M24</f>
        <v xml:space="preserve"> </v>
      </c>
      <c r="G34" s="1023" t="s">
        <v>2324</v>
      </c>
      <c r="H34" s="1024"/>
      <c r="I34" s="1025"/>
      <c r="J34" s="1025"/>
      <c r="K34" s="1022"/>
      <c r="L34" s="1022"/>
      <c r="M34" s="1022"/>
      <c r="N34" s="1026"/>
      <c r="O34" s="1026"/>
      <c r="P34" s="1026"/>
      <c r="Q34" s="1026"/>
      <c r="R34" s="1026"/>
      <c r="S34" s="1026"/>
      <c r="T34" s="1026"/>
      <c r="U34" s="1026"/>
      <c r="V34" s="1026"/>
      <c r="W34" s="1026"/>
      <c r="X34" s="1026"/>
      <c r="Y34" s="1026"/>
      <c r="Z34" s="1026"/>
      <c r="AA34" s="1026"/>
      <c r="AB34" s="1026"/>
      <c r="AC34" s="1026"/>
      <c r="AD34" s="1026"/>
      <c r="AE34" s="1026"/>
      <c r="AF34" s="1026"/>
      <c r="AG34" s="1026"/>
      <c r="AH34" s="1026"/>
      <c r="AI34" s="1026"/>
      <c r="AJ34" s="1026"/>
      <c r="AK34" s="1026"/>
      <c r="AL34" s="1026"/>
      <c r="AM34" s="1026"/>
      <c r="AN34" s="1026"/>
      <c r="AO34" s="1026"/>
      <c r="AP34" s="1026"/>
      <c r="AQ34" s="1026"/>
    </row>
    <row r="35" spans="1:43" s="1027" customFormat="1" ht="6" customHeight="1">
      <c r="A35" s="1020"/>
      <c r="B35" s="1021"/>
      <c r="C35" s="1022"/>
      <c r="D35" s="1022"/>
      <c r="E35" s="1022"/>
      <c r="F35" s="1022"/>
      <c r="G35" s="1023"/>
      <c r="H35" s="1024"/>
      <c r="I35" s="1025"/>
      <c r="J35" s="1025"/>
      <c r="K35" s="1022"/>
      <c r="L35" s="1022"/>
      <c r="M35" s="1022"/>
      <c r="N35" s="1026"/>
      <c r="O35" s="1026"/>
      <c r="P35" s="1026"/>
      <c r="Q35" s="1026"/>
      <c r="R35" s="1026"/>
      <c r="S35" s="1026"/>
      <c r="T35" s="1026"/>
      <c r="U35" s="1026"/>
      <c r="V35" s="1026"/>
      <c r="W35" s="1026"/>
      <c r="X35" s="1026"/>
      <c r="Y35" s="1026"/>
      <c r="Z35" s="1026"/>
      <c r="AA35" s="1026"/>
      <c r="AB35" s="1026"/>
      <c r="AC35" s="1026"/>
      <c r="AD35" s="1026"/>
      <c r="AE35" s="1026"/>
      <c r="AF35" s="1026"/>
      <c r="AG35" s="1026"/>
      <c r="AH35" s="1026"/>
      <c r="AI35" s="1026"/>
      <c r="AJ35" s="1026"/>
      <c r="AK35" s="1026"/>
      <c r="AL35" s="1026"/>
      <c r="AM35" s="1026"/>
      <c r="AN35" s="1026"/>
      <c r="AO35" s="1026"/>
      <c r="AP35" s="1026"/>
      <c r="AQ35" s="1026"/>
    </row>
    <row r="36" spans="1:43" s="1027" customFormat="1" ht="19.5" customHeight="1">
      <c r="A36" s="1036"/>
      <c r="B36" s="3949" t="s">
        <v>2317</v>
      </c>
      <c r="C36" s="3949"/>
      <c r="D36" s="3949"/>
      <c r="E36" s="3949"/>
      <c r="F36" s="1056" t="str">
        <f>IF(ISBLANK(D9), "", F32+F34)</f>
        <v/>
      </c>
      <c r="G36" s="1023" t="s">
        <v>1038</v>
      </c>
      <c r="H36" s="1024"/>
      <c r="I36" s="1025"/>
      <c r="J36" s="1025"/>
      <c r="K36" s="1022"/>
      <c r="L36" s="1022"/>
      <c r="M36" s="1022"/>
      <c r="N36" s="1026"/>
      <c r="O36" s="1026"/>
      <c r="P36" s="1026"/>
      <c r="Q36" s="1026"/>
      <c r="R36" s="1026"/>
      <c r="S36" s="1026"/>
      <c r="T36" s="1026"/>
      <c r="U36" s="1026"/>
      <c r="V36" s="1026"/>
      <c r="W36" s="1026"/>
      <c r="X36" s="1026"/>
      <c r="Y36" s="1026"/>
      <c r="Z36" s="1026"/>
      <c r="AA36" s="1026"/>
      <c r="AB36" s="1026"/>
      <c r="AC36" s="1026"/>
      <c r="AD36" s="1026"/>
      <c r="AE36" s="1026"/>
      <c r="AF36" s="1026"/>
      <c r="AG36" s="1026"/>
      <c r="AH36" s="1026"/>
      <c r="AI36" s="1026"/>
      <c r="AJ36" s="1026"/>
      <c r="AK36" s="1026"/>
      <c r="AL36" s="1026"/>
      <c r="AM36" s="1026"/>
      <c r="AN36" s="1026"/>
      <c r="AO36" s="1026"/>
      <c r="AP36" s="1026"/>
      <c r="AQ36" s="1026"/>
    </row>
    <row r="37" spans="1:43" s="1027" customFormat="1" ht="6" customHeight="1">
      <c r="A37" s="1020"/>
      <c r="B37" s="1021"/>
      <c r="C37" s="1022"/>
      <c r="D37" s="1022"/>
      <c r="E37" s="1022"/>
      <c r="F37" s="1022"/>
      <c r="G37" s="1023"/>
      <c r="H37" s="1024"/>
      <c r="I37" s="1025"/>
      <c r="J37" s="1025"/>
      <c r="K37" s="1022"/>
      <c r="L37" s="1022"/>
      <c r="M37" s="1022"/>
      <c r="N37" s="1026"/>
      <c r="O37" s="1026"/>
      <c r="P37" s="1026"/>
      <c r="Q37" s="1026"/>
      <c r="R37" s="1026"/>
      <c r="S37" s="1026"/>
      <c r="T37" s="1026"/>
      <c r="U37" s="1026"/>
      <c r="V37" s="1026"/>
      <c r="W37" s="1026"/>
      <c r="X37" s="1026"/>
      <c r="Y37" s="1026"/>
      <c r="Z37" s="1026"/>
      <c r="AA37" s="1026"/>
      <c r="AB37" s="1026"/>
      <c r="AC37" s="1026"/>
      <c r="AD37" s="1026"/>
      <c r="AE37" s="1026"/>
      <c r="AF37" s="1026"/>
      <c r="AG37" s="1026"/>
      <c r="AH37" s="1026"/>
      <c r="AI37" s="1026"/>
      <c r="AJ37" s="1026"/>
      <c r="AK37" s="1026"/>
      <c r="AL37" s="1026"/>
      <c r="AM37" s="1026"/>
      <c r="AN37" s="1026"/>
      <c r="AO37" s="1026"/>
      <c r="AP37" s="1026"/>
      <c r="AQ37" s="1026"/>
    </row>
    <row r="38" spans="1:43" s="1027" customFormat="1" ht="19.5" customHeight="1">
      <c r="A38" s="1020"/>
      <c r="B38" s="2846" t="s">
        <v>2325</v>
      </c>
      <c r="C38" s="2846"/>
      <c r="D38" s="2846"/>
      <c r="E38" s="2846"/>
      <c r="F38" s="1056" t="str">
        <f>IF(ISBLANK(D10)," ",D21/0.7)</f>
        <v xml:space="preserve"> </v>
      </c>
      <c r="G38" s="1023" t="s">
        <v>2319</v>
      </c>
      <c r="H38" s="1024"/>
      <c r="I38" s="1025"/>
      <c r="J38" s="1025"/>
      <c r="K38" s="1022"/>
      <c r="L38" s="1022"/>
      <c r="M38" s="1022"/>
      <c r="N38" s="1026"/>
      <c r="O38" s="1026"/>
      <c r="P38" s="1026"/>
      <c r="Q38" s="1026"/>
      <c r="R38" s="1026"/>
      <c r="S38" s="1026"/>
      <c r="T38" s="1026"/>
      <c r="U38" s="1026"/>
      <c r="V38" s="1026"/>
      <c r="W38" s="1026"/>
      <c r="X38" s="1026"/>
      <c r="Y38" s="1026"/>
      <c r="Z38" s="1026"/>
      <c r="AA38" s="1026"/>
      <c r="AB38" s="1026"/>
      <c r="AC38" s="1026"/>
      <c r="AD38" s="1026"/>
      <c r="AE38" s="1026"/>
      <c r="AF38" s="1026"/>
      <c r="AG38" s="1026"/>
      <c r="AH38" s="1026"/>
      <c r="AI38" s="1026"/>
      <c r="AJ38" s="1026"/>
      <c r="AK38" s="1026"/>
      <c r="AL38" s="1026"/>
      <c r="AM38" s="1026"/>
      <c r="AN38" s="1026"/>
      <c r="AO38" s="1026"/>
      <c r="AP38" s="1026"/>
      <c r="AQ38" s="1026"/>
    </row>
    <row r="39" spans="1:43" s="1027" customFormat="1" ht="19.5" customHeight="1">
      <c r="A39" s="1020"/>
      <c r="B39" s="3969" t="s">
        <v>2326</v>
      </c>
      <c r="C39" s="3969"/>
      <c r="D39" s="3969"/>
      <c r="E39" s="3969"/>
      <c r="F39" s="1051"/>
      <c r="G39" s="1023"/>
      <c r="H39" s="1024"/>
      <c r="I39" s="1025"/>
      <c r="J39" s="1025"/>
      <c r="K39" s="1022"/>
      <c r="L39" s="1022"/>
      <c r="M39" s="1022"/>
      <c r="N39" s="1026"/>
      <c r="O39" s="1026"/>
      <c r="P39" s="1026"/>
      <c r="Q39" s="1026"/>
      <c r="R39" s="1026"/>
      <c r="S39" s="1026"/>
      <c r="T39" s="1026"/>
      <c r="U39" s="1026"/>
      <c r="V39" s="1026"/>
      <c r="W39" s="1026"/>
      <c r="X39" s="1026"/>
      <c r="Y39" s="1026"/>
      <c r="Z39" s="1026"/>
      <c r="AA39" s="1026"/>
      <c r="AB39" s="1026"/>
      <c r="AC39" s="1026"/>
      <c r="AD39" s="1026"/>
      <c r="AE39" s="1026"/>
      <c r="AF39" s="1026"/>
      <c r="AG39" s="1026"/>
      <c r="AH39" s="1026"/>
      <c r="AI39" s="1026"/>
      <c r="AJ39" s="1026"/>
      <c r="AK39" s="1026"/>
      <c r="AL39" s="1026"/>
      <c r="AM39" s="1026"/>
      <c r="AN39" s="1026"/>
      <c r="AO39" s="1026"/>
      <c r="AP39" s="1026"/>
      <c r="AQ39" s="1026"/>
    </row>
    <row r="40" spans="1:43" s="1027" customFormat="1" ht="19.5" customHeight="1">
      <c r="A40" s="3947" t="s">
        <v>719</v>
      </c>
      <c r="B40" s="3948"/>
      <c r="C40" s="1022"/>
      <c r="D40" s="1022"/>
      <c r="E40" s="1022"/>
      <c r="F40" s="1022"/>
      <c r="G40" s="1023"/>
      <c r="H40" s="1024"/>
      <c r="I40" s="1025"/>
      <c r="J40" s="1025"/>
      <c r="K40" s="1022"/>
      <c r="L40" s="1022"/>
      <c r="M40" s="1022"/>
      <c r="N40" s="1026"/>
      <c r="O40" s="1026"/>
      <c r="P40" s="1026"/>
      <c r="Q40" s="1026"/>
      <c r="R40" s="1026"/>
      <c r="S40" s="1026"/>
      <c r="T40" s="1026"/>
      <c r="U40" s="1026"/>
      <c r="V40" s="1026"/>
      <c r="W40" s="1026"/>
      <c r="X40" s="1026"/>
      <c r="Y40" s="1026"/>
      <c r="Z40" s="1026"/>
      <c r="AA40" s="1026"/>
      <c r="AB40" s="1026"/>
      <c r="AC40" s="1026"/>
      <c r="AD40" s="1026"/>
      <c r="AE40" s="1026"/>
      <c r="AF40" s="1026"/>
      <c r="AG40" s="1026"/>
      <c r="AH40" s="1026"/>
      <c r="AI40" s="1026"/>
      <c r="AJ40" s="1026"/>
      <c r="AK40" s="1026"/>
      <c r="AL40" s="1026"/>
      <c r="AM40" s="1026"/>
      <c r="AN40" s="1026"/>
      <c r="AO40" s="1026"/>
      <c r="AP40" s="1026"/>
      <c r="AQ40" s="1026"/>
    </row>
    <row r="41" spans="1:43" s="8" customFormat="1" ht="81" customHeight="1" thickBot="1">
      <c r="A41" s="3865"/>
      <c r="B41" s="3907"/>
      <c r="C41" s="3907"/>
      <c r="D41" s="3907"/>
      <c r="E41" s="3907"/>
      <c r="F41" s="3907"/>
      <c r="G41" s="3908"/>
      <c r="H41" s="1187"/>
      <c r="I41" s="1187"/>
      <c r="J41" s="1187"/>
      <c r="K41" s="1187"/>
      <c r="L41" s="1187"/>
      <c r="M41" s="1187"/>
      <c r="N41" s="1187"/>
      <c r="O41" s="1187"/>
      <c r="P41" s="1187"/>
      <c r="Q41" s="1187"/>
      <c r="R41" s="1187"/>
      <c r="S41" s="1187"/>
      <c r="T41" s="1187"/>
    </row>
    <row r="42" spans="1:43" s="1027" customFormat="1" ht="19.5" customHeight="1">
      <c r="A42" s="1021"/>
      <c r="B42" s="1021"/>
      <c r="C42" s="1022"/>
      <c r="D42" s="1022"/>
      <c r="E42" s="1022"/>
      <c r="F42" s="1022"/>
      <c r="G42" s="1022"/>
      <c r="H42" s="1024"/>
      <c r="I42" s="1025"/>
      <c r="J42" s="1025"/>
      <c r="K42" s="1022"/>
      <c r="L42" s="1022"/>
      <c r="M42" s="1022"/>
      <c r="N42" s="1026"/>
      <c r="O42" s="1026"/>
      <c r="P42" s="1026"/>
      <c r="Q42" s="1026"/>
      <c r="R42" s="1026"/>
      <c r="S42" s="1026"/>
      <c r="T42" s="1026"/>
      <c r="U42" s="1026"/>
      <c r="V42" s="1026"/>
      <c r="W42" s="1026"/>
      <c r="X42" s="1026"/>
      <c r="Y42" s="1026"/>
      <c r="Z42" s="1026"/>
      <c r="AA42" s="1026"/>
      <c r="AB42" s="1026"/>
      <c r="AC42" s="1026"/>
      <c r="AD42" s="1026"/>
      <c r="AE42" s="1026"/>
      <c r="AF42" s="1026"/>
      <c r="AG42" s="1026"/>
      <c r="AH42" s="1026"/>
      <c r="AI42" s="1026"/>
      <c r="AJ42" s="1026"/>
      <c r="AK42" s="1026"/>
      <c r="AL42" s="1026"/>
      <c r="AM42" s="1026"/>
      <c r="AN42" s="1026"/>
      <c r="AO42" s="1026"/>
      <c r="AP42" s="1026"/>
      <c r="AQ42" s="1026"/>
    </row>
    <row r="43" spans="1:43" s="1" customFormat="1" ht="10.5" customHeight="1">
      <c r="A43" s="1021"/>
      <c r="B43" s="1021"/>
      <c r="C43" s="1022"/>
      <c r="D43" s="1022"/>
      <c r="E43" s="1022"/>
      <c r="F43" s="1022"/>
      <c r="G43" s="1022"/>
      <c r="H43" s="209"/>
      <c r="I43" s="203"/>
      <c r="J43" s="203"/>
      <c r="K43" s="185"/>
      <c r="L43" s="185"/>
      <c r="M43" s="185"/>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row>
    <row r="44" spans="1:43" s="1" customFormat="1" ht="19.5" customHeight="1">
      <c r="A44" s="1061"/>
      <c r="B44" s="1061"/>
      <c r="C44" s="185"/>
      <c r="D44" s="185"/>
      <c r="E44" s="185"/>
      <c r="F44" s="185"/>
      <c r="G44" s="185"/>
      <c r="H44" s="209"/>
      <c r="I44" s="203"/>
      <c r="J44" s="203"/>
      <c r="K44" s="185"/>
      <c r="L44" s="185"/>
      <c r="M44" s="185"/>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row>
    <row r="45" spans="1:43" s="1" customFormat="1" ht="10.5" customHeight="1">
      <c r="A45" s="1061"/>
      <c r="B45" s="1061"/>
      <c r="C45" s="229"/>
      <c r="D45" s="336"/>
      <c r="E45" s="229"/>
      <c r="F45" s="224"/>
      <c r="G45" s="229"/>
      <c r="H45" s="209"/>
      <c r="I45" s="203"/>
      <c r="J45" s="203"/>
      <c r="K45" s="185"/>
      <c r="L45" s="185"/>
      <c r="M45" s="185"/>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row>
    <row r="46" spans="1:43" s="1" customFormat="1" ht="18" customHeight="1">
      <c r="A46" s="1061"/>
      <c r="B46" s="1061"/>
      <c r="C46" s="197"/>
      <c r="D46" s="185"/>
      <c r="E46" s="197"/>
      <c r="F46" s="185"/>
      <c r="G46" s="197"/>
      <c r="H46" s="209"/>
      <c r="I46" s="1062"/>
      <c r="J46" s="203"/>
      <c r="K46" s="185"/>
      <c r="L46" s="3941"/>
      <c r="M46" s="3942"/>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row>
    <row r="47" spans="1:43" s="1" customFormat="1" ht="18" customHeight="1">
      <c r="A47" s="1061"/>
      <c r="B47" s="1061"/>
      <c r="C47" s="185"/>
      <c r="D47" s="185"/>
      <c r="E47" s="185"/>
      <c r="F47" s="185"/>
      <c r="G47" s="185"/>
      <c r="H47" s="209"/>
      <c r="I47" s="1062"/>
      <c r="J47" s="203"/>
      <c r="K47" s="185"/>
      <c r="L47" s="214"/>
      <c r="M47" s="1063"/>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row>
    <row r="48" spans="1:43" s="1" customFormat="1" ht="10.5" customHeight="1">
      <c r="A48" s="1061"/>
      <c r="B48" s="1061"/>
      <c r="C48" s="3943"/>
      <c r="D48" s="3944"/>
      <c r="E48" s="3944"/>
      <c r="F48" s="3944"/>
      <c r="G48" s="3944"/>
      <c r="H48" s="209"/>
      <c r="I48" s="1062"/>
      <c r="J48" s="203"/>
      <c r="K48" s="185"/>
      <c r="L48" s="214"/>
      <c r="M48" s="1063"/>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row>
    <row r="49" spans="1:43" s="1" customFormat="1" ht="19.5" customHeight="1">
      <c r="A49" s="1061"/>
      <c r="B49" s="1061"/>
      <c r="C49" s="293"/>
      <c r="D49" s="293"/>
      <c r="E49" s="293"/>
      <c r="F49" s="293"/>
      <c r="G49" s="293"/>
      <c r="H49" s="209"/>
      <c r="I49" s="203"/>
      <c r="J49" s="203"/>
      <c r="K49" s="185"/>
      <c r="L49" s="185"/>
      <c r="M49" s="185"/>
      <c r="N49" s="217"/>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7"/>
      <c r="AQ49" s="217"/>
    </row>
    <row r="50" spans="1:43" s="1" customFormat="1" ht="10.5" customHeight="1">
      <c r="A50" s="185"/>
      <c r="B50" s="185"/>
      <c r="C50" s="229"/>
      <c r="D50" s="336"/>
      <c r="E50" s="229"/>
      <c r="F50" s="3927"/>
      <c r="G50" s="3927"/>
      <c r="H50" s="209"/>
      <c r="I50" s="203"/>
      <c r="J50" s="203"/>
      <c r="K50" s="185"/>
      <c r="L50" s="185"/>
      <c r="M50" s="185"/>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row>
    <row r="51" spans="1:43" s="1" customFormat="1" ht="18" customHeight="1">
      <c r="A51" s="185"/>
      <c r="B51" s="185"/>
      <c r="C51" s="1064"/>
      <c r="D51" s="1065"/>
      <c r="E51" s="1064"/>
      <c r="F51" s="1066"/>
      <c r="G51" s="1066"/>
      <c r="H51" s="209"/>
      <c r="I51" s="203"/>
      <c r="J51" s="203"/>
      <c r="K51" s="185"/>
      <c r="L51" s="185"/>
      <c r="M51" s="185"/>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row>
    <row r="52" spans="1:43" s="1" customFormat="1" ht="10.5" customHeight="1">
      <c r="A52" s="1061"/>
      <c r="B52" s="1061"/>
      <c r="C52" s="185"/>
      <c r="D52" s="185"/>
      <c r="E52" s="217"/>
      <c r="F52" s="197"/>
      <c r="G52" s="185"/>
      <c r="H52" s="209"/>
      <c r="I52" s="203"/>
      <c r="J52" s="203"/>
      <c r="K52" s="185"/>
      <c r="L52" s="185"/>
      <c r="M52" s="185"/>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row>
    <row r="53" spans="1:43" s="1" customFormat="1" ht="19.5" customHeight="1">
      <c r="A53" s="1061"/>
      <c r="B53" s="1061"/>
      <c r="C53" s="185"/>
      <c r="D53" s="185"/>
      <c r="E53" s="217"/>
      <c r="F53" s="197"/>
      <c r="G53" s="185"/>
      <c r="H53" s="209"/>
      <c r="I53" s="203"/>
      <c r="J53" s="203"/>
      <c r="K53" s="185"/>
      <c r="L53" s="185"/>
      <c r="M53" s="185"/>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row>
    <row r="54" spans="1:43" s="1" customFormat="1" ht="10.5" customHeight="1">
      <c r="A54" s="1061"/>
      <c r="B54" s="1061"/>
      <c r="C54" s="229"/>
      <c r="D54" s="224"/>
      <c r="E54" s="229"/>
      <c r="F54" s="224"/>
      <c r="G54" s="1067"/>
      <c r="H54" s="209"/>
      <c r="I54" s="203"/>
      <c r="J54" s="203"/>
      <c r="K54" s="185"/>
      <c r="L54" s="185"/>
      <c r="M54" s="185"/>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row>
    <row r="55" spans="1:43" s="1" customFormat="1" ht="15" customHeight="1">
      <c r="A55" s="1061"/>
      <c r="B55" s="1061"/>
      <c r="C55" s="197"/>
      <c r="D55" s="192"/>
      <c r="E55" s="197"/>
      <c r="F55" s="192"/>
      <c r="G55" s="197"/>
      <c r="H55" s="209"/>
      <c r="I55" s="203"/>
      <c r="J55" s="203"/>
      <c r="K55" s="185"/>
      <c r="L55" s="185"/>
      <c r="M55" s="185"/>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row>
    <row r="56" spans="1:43" s="1" customFormat="1" ht="15" customHeight="1">
      <c r="A56" s="1061"/>
      <c r="B56" s="1061"/>
      <c r="C56" s="218"/>
      <c r="D56" s="192"/>
      <c r="E56" s="197"/>
      <c r="F56" s="192"/>
      <c r="G56" s="197"/>
      <c r="H56" s="209"/>
      <c r="I56" s="203"/>
      <c r="J56" s="203"/>
      <c r="K56" s="185"/>
      <c r="L56" s="185"/>
      <c r="M56" s="185"/>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row>
    <row r="57" spans="1:43" s="1" customFormat="1" ht="10.5" customHeight="1">
      <c r="A57" s="1061"/>
      <c r="B57" s="1061"/>
      <c r="C57" s="3931"/>
      <c r="D57" s="2866"/>
      <c r="E57" s="2866"/>
      <c r="F57" s="2866"/>
      <c r="G57" s="3932"/>
      <c r="H57" s="209"/>
      <c r="I57" s="203"/>
      <c r="J57" s="203"/>
      <c r="K57" s="185"/>
      <c r="L57" s="185"/>
      <c r="M57" s="185"/>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row>
    <row r="58" spans="1:43" s="1" customFormat="1" ht="19.5" customHeight="1">
      <c r="A58" s="1061"/>
      <c r="B58" s="1061"/>
      <c r="C58" s="185"/>
      <c r="D58" s="185"/>
      <c r="E58" s="217"/>
      <c r="F58" s="197"/>
      <c r="G58" s="185"/>
      <c r="H58" s="209"/>
      <c r="I58" s="203"/>
      <c r="J58" s="203"/>
      <c r="K58" s="185"/>
      <c r="L58" s="185"/>
      <c r="M58" s="185"/>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row>
    <row r="59" spans="1:43" s="1" customFormat="1" ht="10.5" customHeight="1">
      <c r="A59" s="1061"/>
      <c r="B59" s="1061"/>
      <c r="C59" s="1068"/>
      <c r="D59" s="224"/>
      <c r="E59" s="1064"/>
      <c r="F59" s="1069"/>
      <c r="G59" s="224"/>
      <c r="H59" s="209"/>
      <c r="I59" s="203"/>
      <c r="J59" s="203"/>
      <c r="K59" s="185"/>
      <c r="L59" s="185"/>
      <c r="M59" s="185"/>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row>
    <row r="60" spans="1:43" s="1" customFormat="1" ht="19.5" customHeight="1">
      <c r="A60" s="1061"/>
      <c r="B60" s="1061"/>
      <c r="C60" s="197"/>
      <c r="D60" s="185"/>
      <c r="E60" s="197"/>
      <c r="F60" s="185"/>
      <c r="G60" s="197"/>
      <c r="H60" s="209"/>
      <c r="I60" s="203"/>
      <c r="J60" s="203"/>
      <c r="K60" s="185"/>
      <c r="L60" s="185"/>
      <c r="M60" s="185"/>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row>
    <row r="61" spans="1:43" s="1" customFormat="1" ht="10.5" customHeight="1">
      <c r="A61" s="1061"/>
      <c r="B61" s="1061"/>
      <c r="C61" s="3931"/>
      <c r="D61" s="2866"/>
      <c r="E61" s="2866"/>
      <c r="F61" s="2866"/>
      <c r="G61" s="4"/>
      <c r="H61" s="209"/>
      <c r="I61" s="203"/>
      <c r="J61" s="203"/>
      <c r="K61" s="185"/>
      <c r="L61" s="185"/>
      <c r="M61" s="185"/>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row>
    <row r="62" spans="1:43" s="1" customFormat="1" ht="19.5" customHeight="1">
      <c r="A62" s="1061"/>
      <c r="B62" s="1061"/>
      <c r="C62" s="197"/>
      <c r="D62" s="185"/>
      <c r="E62" s="197"/>
      <c r="F62" s="185"/>
      <c r="G62" s="197"/>
      <c r="H62" s="209"/>
      <c r="I62" s="203"/>
      <c r="J62" s="203"/>
      <c r="K62" s="185"/>
      <c r="L62" s="185"/>
      <c r="M62" s="185"/>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row>
    <row r="63" spans="1:43" s="1" customFormat="1" ht="10.5" customHeight="1">
      <c r="A63" s="1070"/>
      <c r="B63" s="1070"/>
      <c r="C63" s="224"/>
      <c r="D63" s="185"/>
      <c r="E63" s="229"/>
      <c r="F63" s="224"/>
      <c r="H63" s="209"/>
      <c r="I63" s="203"/>
      <c r="J63" s="203"/>
      <c r="K63" s="185"/>
      <c r="L63" s="185"/>
      <c r="M63" s="185"/>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row>
    <row r="64" spans="1:43" s="1" customFormat="1" ht="18" customHeight="1">
      <c r="A64" s="1061"/>
      <c r="B64" s="1061"/>
      <c r="C64" s="185"/>
      <c r="D64" s="185"/>
      <c r="E64" s="185"/>
      <c r="F64" s="185"/>
      <c r="G64" s="185"/>
      <c r="H64" s="209"/>
      <c r="I64" s="203"/>
      <c r="J64" s="203"/>
      <c r="K64" s="185"/>
      <c r="L64" s="185"/>
      <c r="M64" s="185"/>
      <c r="N64" s="217"/>
      <c r="O64" s="217"/>
      <c r="P64" s="217"/>
      <c r="Q64" s="217"/>
      <c r="R64" s="217"/>
      <c r="S64" s="217"/>
      <c r="T64" s="217"/>
      <c r="U64" s="217"/>
      <c r="V64" s="217"/>
      <c r="W64" s="217"/>
      <c r="X64" s="217"/>
      <c r="Y64" s="217"/>
      <c r="Z64" s="217"/>
      <c r="AA64" s="217"/>
      <c r="AB64" s="217"/>
      <c r="AC64" s="217"/>
      <c r="AD64" s="217"/>
      <c r="AE64" s="217"/>
      <c r="AF64" s="217"/>
      <c r="AG64" s="217"/>
      <c r="AH64" s="217"/>
      <c r="AI64" s="217"/>
      <c r="AJ64" s="217"/>
      <c r="AK64" s="217"/>
      <c r="AL64" s="217"/>
      <c r="AM64" s="217"/>
      <c r="AN64" s="217"/>
      <c r="AO64" s="217"/>
      <c r="AP64" s="217"/>
      <c r="AQ64" s="217"/>
    </row>
    <row r="65" spans="1:43" s="1" customFormat="1" ht="10.5" customHeight="1">
      <c r="A65" s="1061"/>
      <c r="B65" s="1061"/>
      <c r="C65" s="185"/>
      <c r="D65" s="185"/>
      <c r="E65" s="185"/>
      <c r="F65" s="185"/>
      <c r="G65" s="185"/>
      <c r="H65" s="209"/>
      <c r="I65" s="203"/>
      <c r="J65" s="203"/>
      <c r="K65" s="185"/>
      <c r="L65" s="185"/>
      <c r="M65" s="185"/>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row>
    <row r="66" spans="1:43" s="1" customFormat="1" ht="24" customHeight="1">
      <c r="A66" s="1061"/>
      <c r="B66" s="1061"/>
      <c r="C66" s="185"/>
      <c r="D66" s="185"/>
      <c r="E66" s="185"/>
      <c r="F66" s="185"/>
      <c r="G66" s="185"/>
      <c r="H66" s="219"/>
      <c r="I66" s="220"/>
      <c r="J66" s="185"/>
      <c r="K66" s="185"/>
      <c r="L66" s="185"/>
      <c r="M66" s="185"/>
      <c r="N66" s="185"/>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row>
    <row r="67" spans="1:43" s="1" customFormat="1" ht="10.5" customHeight="1">
      <c r="A67" s="185"/>
      <c r="B67" s="185"/>
      <c r="C67" s="229"/>
      <c r="D67" s="224"/>
      <c r="E67" s="229"/>
      <c r="F67" s="224"/>
      <c r="G67" s="229"/>
      <c r="H67" s="220"/>
      <c r="I67" s="220"/>
      <c r="J67" s="185"/>
      <c r="K67" s="185"/>
      <c r="L67" s="185"/>
      <c r="M67" s="185"/>
      <c r="N67" s="185"/>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row>
    <row r="68" spans="1:43" s="1" customFormat="1" ht="24" customHeight="1">
      <c r="A68" s="185"/>
      <c r="B68" s="185"/>
      <c r="C68" s="197"/>
      <c r="D68" s="185"/>
      <c r="E68" s="197"/>
      <c r="F68" s="185"/>
      <c r="G68" s="197"/>
      <c r="H68" s="220"/>
      <c r="I68" s="220"/>
      <c r="J68" s="185"/>
      <c r="K68" s="185"/>
      <c r="L68" s="185"/>
      <c r="M68" s="185"/>
      <c r="N68" s="185"/>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row>
    <row r="69" spans="1:43" s="1" customFormat="1" ht="18" customHeight="1">
      <c r="A69" s="185"/>
      <c r="B69" s="185"/>
      <c r="C69" s="201"/>
      <c r="D69" s="185"/>
      <c r="E69" s="229"/>
      <c r="G69" s="185"/>
      <c r="H69" s="185"/>
      <c r="I69" s="185"/>
      <c r="J69" s="185"/>
      <c r="K69" s="185"/>
      <c r="L69" s="185"/>
      <c r="M69" s="185"/>
      <c r="N69" s="185"/>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row>
    <row r="70" spans="1:43" s="1" customFormat="1" ht="5.25" customHeight="1">
      <c r="A70" s="1071"/>
      <c r="B70" s="1071"/>
      <c r="C70" s="218"/>
      <c r="D70" s="185"/>
      <c r="E70" s="197"/>
      <c r="F70" s="185"/>
      <c r="G70" s="197"/>
      <c r="H70" s="185"/>
      <c r="I70" s="185"/>
      <c r="J70" s="185"/>
      <c r="K70" s="185"/>
      <c r="L70" s="185"/>
      <c r="M70" s="185"/>
      <c r="N70" s="185"/>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row>
    <row r="71" spans="1:43" s="1" customFormat="1" ht="18" customHeight="1">
      <c r="A71" s="1071"/>
      <c r="B71" s="1071"/>
      <c r="C71" s="197"/>
      <c r="D71" s="185"/>
      <c r="E71" s="197"/>
      <c r="F71" s="185"/>
      <c r="G71" s="197"/>
      <c r="H71" s="185"/>
      <c r="I71" s="185"/>
      <c r="J71" s="185"/>
      <c r="K71" s="185"/>
      <c r="L71" s="185"/>
      <c r="M71" s="185"/>
      <c r="N71" s="185"/>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row>
    <row r="72" spans="1:43" s="1" customFormat="1" ht="10.5" customHeight="1">
      <c r="A72" s="1071"/>
      <c r="B72" s="1071"/>
      <c r="C72" s="192"/>
      <c r="D72" s="185"/>
      <c r="E72" s="185"/>
      <c r="F72" s="185"/>
      <c r="G72" s="185"/>
      <c r="H72" s="197"/>
      <c r="I72" s="197"/>
      <c r="J72" s="185"/>
      <c r="K72" s="185"/>
      <c r="L72" s="185"/>
      <c r="M72" s="185"/>
      <c r="N72" s="185"/>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row>
    <row r="73" spans="1:43" s="1" customFormat="1" ht="19.5" customHeight="1">
      <c r="A73" s="1071"/>
      <c r="B73" s="1071"/>
      <c r="C73" s="192"/>
      <c r="D73" s="185"/>
      <c r="E73" s="185"/>
      <c r="F73" s="185"/>
      <c r="G73" s="185"/>
      <c r="H73" s="185"/>
      <c r="K73" s="185"/>
      <c r="L73" s="185"/>
      <c r="M73" s="185"/>
      <c r="N73" s="185"/>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row>
    <row r="74" spans="1:43" s="1" customFormat="1" ht="48.75" customHeight="1">
      <c r="A74" s="1061"/>
      <c r="B74" s="1061"/>
      <c r="C74" s="185"/>
      <c r="D74" s="185"/>
      <c r="E74" s="185"/>
      <c r="F74" s="3927"/>
      <c r="G74" s="3928"/>
      <c r="H74" s="185"/>
      <c r="K74" s="185"/>
      <c r="L74" s="185"/>
      <c r="M74" s="185"/>
      <c r="N74" s="185"/>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row>
    <row r="75" spans="1:43" s="1" customFormat="1" ht="10.5" customHeight="1">
      <c r="A75" s="1061"/>
      <c r="B75" s="1061"/>
      <c r="C75" s="3929"/>
      <c r="D75" s="3930"/>
      <c r="E75" s="3930"/>
      <c r="F75" s="3930"/>
      <c r="G75" s="3930"/>
      <c r="H75" s="185"/>
      <c r="I75" s="185"/>
      <c r="J75" s="185"/>
      <c r="K75" s="185"/>
      <c r="L75" s="185"/>
      <c r="M75" s="185"/>
      <c r="N75" s="185"/>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row>
    <row r="76" spans="1:43" s="1" customFormat="1" ht="19.5" customHeight="1">
      <c r="A76" s="1061"/>
      <c r="B76" s="1061"/>
      <c r="C76" s="185"/>
      <c r="D76" s="185"/>
      <c r="E76" s="185"/>
      <c r="F76" s="185"/>
      <c r="G76" s="185"/>
      <c r="H76" s="185"/>
      <c r="I76" s="185"/>
      <c r="J76" s="185"/>
      <c r="K76" s="185"/>
      <c r="L76" s="185"/>
      <c r="M76" s="185"/>
      <c r="N76" s="185"/>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row>
    <row r="77" spans="1:43" s="1" customFormat="1" ht="18" customHeight="1">
      <c r="A77" s="1061"/>
      <c r="B77" s="1061"/>
      <c r="C77" s="185"/>
      <c r="D77" s="185"/>
      <c r="E77" s="185"/>
      <c r="F77" s="229"/>
      <c r="G77" s="185"/>
      <c r="H77" s="185"/>
      <c r="I77" s="185"/>
      <c r="J77" s="185"/>
      <c r="K77" s="185"/>
      <c r="L77" s="185"/>
      <c r="M77" s="185"/>
      <c r="N77" s="185"/>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row>
    <row r="78" spans="1:43" s="1" customFormat="1" ht="18" customHeight="1">
      <c r="A78" s="1061"/>
      <c r="B78" s="1061"/>
      <c r="C78" s="3945"/>
      <c r="D78" s="3946"/>
      <c r="E78" s="3946"/>
      <c r="F78" s="3946"/>
      <c r="G78" s="3946"/>
      <c r="H78" s="185"/>
      <c r="I78" s="185"/>
      <c r="J78" s="185"/>
      <c r="K78" s="185"/>
      <c r="L78" s="185"/>
      <c r="M78" s="185"/>
      <c r="N78" s="185"/>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row>
    <row r="79" spans="1:43" s="1" customFormat="1" ht="10.5" customHeight="1">
      <c r="A79" s="1061"/>
      <c r="B79" s="1061"/>
      <c r="C79" s="3946"/>
      <c r="D79" s="3946"/>
      <c r="E79" s="3946"/>
      <c r="F79" s="3946"/>
      <c r="G79" s="3946"/>
      <c r="H79" s="197"/>
      <c r="I79" s="197"/>
      <c r="J79" s="185"/>
      <c r="M79" s="185"/>
      <c r="N79" s="185"/>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row>
    <row r="80" spans="1:43" s="1" customFormat="1" ht="19.5" customHeight="1">
      <c r="A80" s="1071"/>
      <c r="B80" s="1071"/>
      <c r="C80" s="192"/>
      <c r="D80" s="185"/>
      <c r="E80" s="185"/>
      <c r="F80" s="185"/>
      <c r="G80" s="185"/>
      <c r="H80" s="185"/>
      <c r="I80" s="185"/>
      <c r="J80" s="185"/>
      <c r="M80" s="185"/>
      <c r="N80" s="185"/>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row>
    <row r="81" spans="1:43" s="1" customFormat="1" ht="23.1" customHeight="1">
      <c r="A81" s="1061"/>
      <c r="B81" s="1061"/>
      <c r="C81" s="185"/>
      <c r="D81" s="185"/>
      <c r="E81" s="229"/>
      <c r="F81" s="224"/>
      <c r="G81" s="19"/>
      <c r="H81" s="197"/>
      <c r="I81" s="197"/>
      <c r="J81" s="185"/>
      <c r="K81" s="185"/>
      <c r="L81" s="185"/>
      <c r="M81" s="185"/>
      <c r="N81" s="185"/>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row>
    <row r="82" spans="1:43" s="1" customFormat="1" ht="19.5" customHeight="1">
      <c r="A82" s="1071"/>
      <c r="B82" s="1071"/>
      <c r="C82" s="224"/>
      <c r="D82" s="185"/>
      <c r="E82" s="185"/>
      <c r="F82" s="185"/>
      <c r="H82" s="185"/>
      <c r="I82" s="185"/>
      <c r="J82" s="185"/>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row>
    <row r="83" spans="1:43" s="1" customFormat="1" ht="23.1" customHeight="1">
      <c r="A83" s="1061"/>
      <c r="B83" s="1061"/>
      <c r="C83" s="185"/>
      <c r="D83" s="185"/>
      <c r="E83" s="229"/>
      <c r="F83" s="224"/>
      <c r="G83" s="19"/>
      <c r="H83" s="197"/>
      <c r="I83" s="197"/>
      <c r="J83" s="185"/>
      <c r="K83" s="185"/>
      <c r="L83" s="185"/>
      <c r="M83" s="185"/>
      <c r="N83" s="185"/>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row>
    <row r="84" spans="1:43" s="1" customFormat="1" ht="18" customHeight="1">
      <c r="A84" s="1071"/>
      <c r="B84" s="1071"/>
      <c r="C84" s="224"/>
      <c r="D84" s="185"/>
      <c r="E84" s="185"/>
      <c r="F84" s="185"/>
      <c r="H84" s="192"/>
      <c r="I84" s="192"/>
      <c r="J84" s="185"/>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row>
    <row r="85" spans="1:43" s="1" customFormat="1" ht="10.5" customHeight="1">
      <c r="A85" s="1061"/>
      <c r="B85" s="1061"/>
      <c r="C85" s="3933"/>
      <c r="D85" s="3933"/>
      <c r="E85" s="3933"/>
      <c r="F85" s="3933"/>
      <c r="G85" s="3933"/>
      <c r="H85" s="192"/>
      <c r="I85" s="192"/>
      <c r="J85" s="185"/>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row>
    <row r="86" spans="1:43" s="1" customFormat="1" ht="19.5" customHeight="1">
      <c r="A86" s="1061"/>
      <c r="B86" s="1061"/>
      <c r="C86" s="285"/>
      <c r="D86" s="285"/>
      <c r="E86" s="285"/>
      <c r="F86" s="285"/>
      <c r="G86" s="285"/>
      <c r="H86" s="185"/>
      <c r="I86" s="185"/>
      <c r="J86" s="185"/>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row>
    <row r="87" spans="1:43" s="1" customFormat="1" ht="18" customHeight="1">
      <c r="A87" s="1061"/>
      <c r="B87" s="1061"/>
      <c r="C87" s="229"/>
      <c r="D87" s="224"/>
      <c r="E87" s="1068"/>
      <c r="F87" s="224"/>
      <c r="G87" s="229"/>
      <c r="H87" s="185"/>
      <c r="I87" s="185"/>
      <c r="J87" s="185"/>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row>
    <row r="88" spans="1:43" s="1" customFormat="1" ht="10.5" customHeight="1">
      <c r="A88" s="1061"/>
      <c r="B88" s="1061"/>
      <c r="C88" s="185"/>
      <c r="D88" s="185"/>
      <c r="E88" s="185"/>
      <c r="F88" s="185"/>
      <c r="G88" s="185"/>
      <c r="H88" s="185"/>
      <c r="I88" s="185"/>
      <c r="J88" s="185"/>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row>
    <row r="89" spans="1:43" s="1" customFormat="1" ht="19.5" customHeight="1">
      <c r="A89" s="1061"/>
      <c r="B89" s="1061"/>
      <c r="C89" s="185"/>
      <c r="D89" s="185"/>
      <c r="E89" s="185"/>
      <c r="F89" s="185"/>
      <c r="G89" s="185"/>
      <c r="H89" s="185"/>
      <c r="I89" s="185"/>
      <c r="J89" s="185"/>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row>
    <row r="90" spans="1:43" s="1" customFormat="1" ht="18" customHeight="1">
      <c r="A90" s="1061"/>
      <c r="B90" s="1061"/>
      <c r="C90" s="229"/>
      <c r="D90" s="224"/>
      <c r="E90" s="1072"/>
      <c r="F90" s="224"/>
      <c r="H90" s="192"/>
      <c r="I90" s="192"/>
      <c r="J90" s="185"/>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row>
    <row r="91" spans="1:43" s="1" customFormat="1" ht="10.5" customHeight="1">
      <c r="A91" s="1061"/>
      <c r="B91" s="1061"/>
      <c r="C91" s="3933"/>
      <c r="D91" s="3933"/>
      <c r="E91" s="3933"/>
      <c r="F91" s="3933"/>
      <c r="G91" s="3933"/>
      <c r="H91" s="192"/>
      <c r="I91" s="192"/>
      <c r="J91" s="185"/>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row>
    <row r="92" spans="1:43" s="1" customFormat="1" ht="19.5" customHeight="1">
      <c r="A92" s="1061"/>
      <c r="B92" s="1061"/>
      <c r="C92" s="285"/>
      <c r="D92" s="285"/>
      <c r="E92" s="285"/>
      <c r="F92" s="285"/>
      <c r="G92" s="285"/>
      <c r="H92" s="185"/>
      <c r="I92" s="185"/>
      <c r="J92" s="185"/>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row>
    <row r="93" spans="1:43" s="1" customFormat="1" ht="18" customHeight="1">
      <c r="A93" s="1061"/>
      <c r="B93" s="1061"/>
      <c r="C93" s="229"/>
      <c r="D93" s="224"/>
      <c r="E93" s="1072"/>
      <c r="F93" s="224"/>
      <c r="G93" s="229"/>
      <c r="H93" s="185"/>
      <c r="I93" s="185"/>
      <c r="J93" s="185"/>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row>
    <row r="94" spans="1:43" s="1" customFormat="1" ht="10.5" customHeight="1">
      <c r="A94" s="1061"/>
      <c r="B94" s="1061"/>
      <c r="C94" s="185"/>
      <c r="D94" s="185"/>
      <c r="E94" s="185"/>
      <c r="F94" s="185"/>
      <c r="G94" s="185"/>
      <c r="H94" s="185"/>
      <c r="I94" s="185"/>
      <c r="J94" s="185"/>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row>
    <row r="95" spans="1:43" s="1" customFormat="1" ht="19.5" customHeight="1">
      <c r="A95" s="1061"/>
      <c r="B95" s="1061"/>
      <c r="C95" s="185"/>
      <c r="D95" s="185"/>
      <c r="E95" s="185"/>
      <c r="F95" s="185"/>
      <c r="G95" s="185"/>
      <c r="H95" s="185"/>
      <c r="I95" s="185"/>
      <c r="J95" s="185"/>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row>
    <row r="96" spans="1:43" s="1" customFormat="1" ht="10.5" customHeight="1">
      <c r="A96" s="1061"/>
      <c r="B96" s="1061"/>
      <c r="C96" s="229"/>
      <c r="D96" s="224"/>
      <c r="E96" s="1072"/>
      <c r="F96" s="224"/>
      <c r="H96" s="185"/>
      <c r="I96" s="185"/>
      <c r="J96" s="185"/>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row>
    <row r="97" spans="1:43" s="1" customFormat="1" ht="19.5" customHeight="1">
      <c r="A97" s="1061"/>
      <c r="B97" s="1061"/>
      <c r="C97" s="197"/>
      <c r="D97" s="185"/>
      <c r="E97" s="223"/>
      <c r="F97" s="185"/>
      <c r="G97" s="185"/>
      <c r="H97" s="694"/>
      <c r="I97" s="694"/>
      <c r="J97" s="694"/>
      <c r="K97" s="694"/>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row>
    <row r="98" spans="1:43" s="1" customFormat="1" ht="10.5" customHeight="1">
      <c r="A98" s="1070"/>
      <c r="B98" s="1070"/>
      <c r="C98" s="224"/>
      <c r="D98" s="185"/>
      <c r="E98" s="229"/>
      <c r="F98" s="3926"/>
      <c r="G98" s="3926"/>
      <c r="H98" s="185"/>
      <c r="I98" s="185"/>
      <c r="J98" s="185"/>
      <c r="K98" s="217"/>
      <c r="L98" s="217"/>
      <c r="M98" s="217"/>
      <c r="N98" s="217"/>
      <c r="O98" s="217"/>
      <c r="P98" s="217"/>
      <c r="Q98" s="217"/>
      <c r="R98" s="217"/>
      <c r="S98" s="217"/>
      <c r="T98" s="217"/>
      <c r="U98" s="217"/>
      <c r="V98" s="217"/>
      <c r="W98" s="217"/>
      <c r="X98" s="217"/>
      <c r="Y98" s="217"/>
      <c r="Z98" s="217"/>
      <c r="AA98" s="217"/>
      <c r="AB98" s="217"/>
      <c r="AC98" s="217"/>
      <c r="AD98" s="217"/>
      <c r="AE98" s="217"/>
      <c r="AF98" s="217"/>
      <c r="AG98" s="217"/>
      <c r="AH98" s="217"/>
      <c r="AI98" s="217"/>
      <c r="AJ98" s="217"/>
      <c r="AK98" s="217"/>
      <c r="AL98" s="217"/>
      <c r="AM98" s="217"/>
      <c r="AN98" s="217"/>
      <c r="AO98" s="217"/>
      <c r="AP98" s="217"/>
      <c r="AQ98" s="217"/>
    </row>
    <row r="99" spans="1:43" s="1" customFormat="1" ht="19.5" customHeight="1">
      <c r="A99" s="1061"/>
      <c r="B99" s="1061"/>
      <c r="C99" s="185"/>
      <c r="D99" s="185"/>
      <c r="E99" s="185"/>
      <c r="F99" s="3926"/>
      <c r="G99" s="3926"/>
      <c r="H99" s="185"/>
      <c r="I99" s="185"/>
      <c r="J99" s="185"/>
      <c r="K99" s="217"/>
      <c r="L99" s="217"/>
      <c r="M99" s="217"/>
      <c r="N99" s="217"/>
      <c r="O99" s="217"/>
      <c r="P99" s="217"/>
      <c r="Q99" s="217"/>
      <c r="R99" s="217"/>
      <c r="S99" s="217"/>
      <c r="T99" s="217"/>
      <c r="U99" s="217"/>
      <c r="V99" s="217"/>
      <c r="W99" s="217"/>
      <c r="X99" s="217"/>
      <c r="Y99" s="217"/>
      <c r="Z99" s="217"/>
      <c r="AA99" s="217"/>
      <c r="AB99" s="217"/>
      <c r="AC99" s="217"/>
      <c r="AD99" s="217"/>
      <c r="AE99" s="217"/>
      <c r="AF99" s="217"/>
      <c r="AG99" s="217"/>
      <c r="AH99" s="217"/>
      <c r="AI99" s="217"/>
      <c r="AJ99" s="217"/>
      <c r="AK99" s="217"/>
      <c r="AL99" s="217"/>
      <c r="AM99" s="217"/>
      <c r="AN99" s="217"/>
      <c r="AO99" s="217"/>
      <c r="AP99" s="217"/>
      <c r="AQ99" s="217"/>
    </row>
    <row r="100" spans="1:43" s="1" customFormat="1" ht="165" customHeight="1">
      <c r="A100" s="1070"/>
      <c r="B100" s="1070"/>
      <c r="C100" s="224"/>
      <c r="D100" s="185"/>
      <c r="E100" s="229"/>
      <c r="F100" s="3961"/>
      <c r="G100" s="3961"/>
      <c r="H100" s="185"/>
      <c r="I100" s="185"/>
      <c r="J100" s="185"/>
      <c r="K100" s="217"/>
      <c r="L100" s="217"/>
      <c r="M100" s="217"/>
      <c r="N100" s="217"/>
      <c r="O100" s="217"/>
      <c r="P100" s="217"/>
      <c r="Q100" s="217"/>
      <c r="R100" s="217"/>
      <c r="S100" s="217"/>
      <c r="T100" s="217"/>
      <c r="U100" s="217"/>
      <c r="V100" s="217"/>
      <c r="W100" s="217"/>
      <c r="X100" s="217"/>
      <c r="Y100" s="217"/>
      <c r="Z100" s="217"/>
      <c r="AA100" s="217"/>
      <c r="AB100" s="217"/>
      <c r="AC100" s="217"/>
      <c r="AD100" s="217"/>
      <c r="AE100" s="217"/>
      <c r="AF100" s="217"/>
      <c r="AG100" s="217"/>
      <c r="AH100" s="217"/>
      <c r="AI100" s="217"/>
      <c r="AJ100" s="217"/>
      <c r="AK100" s="217"/>
      <c r="AL100" s="217"/>
      <c r="AM100" s="217"/>
      <c r="AN100" s="217"/>
      <c r="AO100" s="217"/>
      <c r="AP100" s="217"/>
      <c r="AQ100" s="217"/>
    </row>
    <row r="101" spans="1:43" s="1" customFormat="1" ht="18" customHeight="1">
      <c r="A101" s="3962"/>
      <c r="B101" s="3962"/>
      <c r="C101" s="2946"/>
      <c r="D101" s="2946"/>
      <c r="E101" s="1071"/>
      <c r="F101" s="1071"/>
      <c r="G101" s="1071"/>
      <c r="H101" s="185"/>
      <c r="I101" s="185"/>
      <c r="J101" s="185"/>
      <c r="K101" s="217"/>
      <c r="L101" s="217"/>
      <c r="M101" s="217"/>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217"/>
      <c r="AK101" s="217"/>
      <c r="AL101" s="217"/>
      <c r="AM101" s="217"/>
      <c r="AN101" s="217"/>
      <c r="AO101" s="217"/>
      <c r="AP101" s="217"/>
      <c r="AQ101" s="217"/>
    </row>
    <row r="102" spans="1:43" s="1" customFormat="1" ht="10.5" customHeight="1">
      <c r="A102" s="1071"/>
      <c r="B102" s="1071"/>
      <c r="C102" s="192"/>
      <c r="D102" s="185"/>
      <c r="E102" s="185"/>
      <c r="F102" s="185"/>
      <c r="G102" s="185"/>
      <c r="H102" s="185"/>
      <c r="I102" s="185"/>
      <c r="J102" s="185"/>
      <c r="K102" s="185"/>
      <c r="L102" s="185"/>
      <c r="M102" s="217"/>
      <c r="N102" s="217"/>
      <c r="O102" s="217"/>
      <c r="P102" s="217"/>
      <c r="Q102" s="217"/>
      <c r="R102" s="217"/>
      <c r="S102" s="217"/>
      <c r="T102" s="217"/>
      <c r="U102" s="217"/>
      <c r="V102" s="217"/>
      <c r="W102" s="217"/>
      <c r="X102" s="217"/>
      <c r="Y102" s="217"/>
      <c r="Z102" s="217"/>
      <c r="AA102" s="217"/>
      <c r="AB102" s="217"/>
      <c r="AC102" s="217"/>
      <c r="AD102" s="217"/>
      <c r="AE102" s="217"/>
      <c r="AF102" s="217"/>
      <c r="AG102" s="217"/>
      <c r="AH102" s="217"/>
      <c r="AI102" s="217"/>
      <c r="AJ102" s="217"/>
      <c r="AK102" s="217"/>
      <c r="AL102" s="217"/>
      <c r="AM102" s="217"/>
      <c r="AN102" s="217"/>
      <c r="AO102" s="217"/>
      <c r="AP102" s="217"/>
      <c r="AQ102" s="217"/>
    </row>
    <row r="103" spans="1:43" s="1" customFormat="1" ht="19.5" customHeight="1">
      <c r="A103" s="1061"/>
      <c r="B103" s="1061"/>
      <c r="C103" s="185"/>
      <c r="D103" s="192"/>
      <c r="E103" s="192"/>
      <c r="F103" s="185"/>
      <c r="G103" s="185"/>
      <c r="H103" s="185"/>
      <c r="I103" s="185"/>
      <c r="K103" s="185"/>
      <c r="L103" s="185"/>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row>
    <row r="104" spans="1:43" s="1" customFormat="1" ht="10.5" customHeight="1">
      <c r="A104" s="1070"/>
      <c r="B104" s="1070"/>
      <c r="C104" s="224"/>
      <c r="D104" s="192"/>
      <c r="E104" s="3963"/>
      <c r="F104" s="3964"/>
      <c r="G104" s="3964"/>
      <c r="H104" s="185"/>
      <c r="I104" s="185"/>
      <c r="K104" s="185"/>
      <c r="L104" s="185"/>
      <c r="M104" s="217"/>
      <c r="N104" s="217"/>
      <c r="O104" s="217"/>
      <c r="P104" s="217"/>
      <c r="Q104" s="217"/>
      <c r="R104" s="217"/>
      <c r="S104" s="217"/>
      <c r="T104" s="217"/>
      <c r="U104" s="217"/>
      <c r="V104" s="217"/>
      <c r="W104" s="217"/>
      <c r="X104" s="217"/>
      <c r="Y104" s="217"/>
      <c r="Z104" s="217"/>
      <c r="AA104" s="217"/>
      <c r="AB104" s="217"/>
      <c r="AC104" s="217"/>
      <c r="AD104" s="217"/>
      <c r="AE104" s="217"/>
      <c r="AF104" s="217"/>
      <c r="AG104" s="217"/>
      <c r="AH104" s="217"/>
      <c r="AI104" s="217"/>
      <c r="AJ104" s="217"/>
      <c r="AK104" s="217"/>
      <c r="AL104" s="217"/>
      <c r="AM104" s="217"/>
      <c r="AN104" s="217"/>
      <c r="AO104" s="217"/>
      <c r="AP104" s="217"/>
      <c r="AQ104" s="217"/>
    </row>
    <row r="105" spans="1:43" s="1" customFormat="1" ht="19.5" customHeight="1">
      <c r="A105" s="1061"/>
      <c r="B105" s="1061"/>
      <c r="C105" s="185"/>
      <c r="D105" s="192"/>
      <c r="E105" s="185"/>
      <c r="F105" s="185"/>
      <c r="G105" s="185"/>
      <c r="H105" s="185"/>
      <c r="I105" s="185"/>
      <c r="J105" s="185"/>
      <c r="K105" s="185"/>
      <c r="L105" s="185"/>
      <c r="M105" s="217"/>
      <c r="N105" s="217"/>
      <c r="O105" s="217"/>
      <c r="P105" s="217"/>
      <c r="Q105" s="217"/>
      <c r="R105" s="217"/>
      <c r="S105" s="217"/>
      <c r="T105" s="217"/>
      <c r="U105" s="217"/>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c r="AQ105" s="217"/>
    </row>
    <row r="106" spans="1:43" s="1" customFormat="1" ht="10.5" customHeight="1">
      <c r="A106" s="1070"/>
      <c r="B106" s="1070"/>
      <c r="C106" s="224"/>
      <c r="D106" s="224"/>
      <c r="E106" s="229"/>
      <c r="F106" s="224"/>
      <c r="G106" s="218"/>
      <c r="H106" s="185"/>
      <c r="I106" s="185"/>
      <c r="J106" s="185"/>
      <c r="K106" s="185"/>
      <c r="L106" s="185"/>
      <c r="M106" s="217"/>
      <c r="N106" s="217"/>
      <c r="O106" s="217"/>
      <c r="P106" s="217"/>
      <c r="Q106" s="217"/>
      <c r="R106" s="217"/>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c r="AQ106" s="217"/>
    </row>
    <row r="107" spans="1:43" s="1" customFormat="1" ht="18" customHeight="1">
      <c r="A107" s="1061"/>
      <c r="B107" s="1061"/>
      <c r="C107" s="211"/>
      <c r="D107" s="192"/>
      <c r="E107" s="192"/>
      <c r="F107" s="185"/>
      <c r="G107" s="185"/>
      <c r="H107" s="185"/>
      <c r="I107" s="185"/>
      <c r="J107" s="185"/>
      <c r="K107" s="185"/>
      <c r="L107" s="185"/>
      <c r="M107" s="217"/>
      <c r="N107" s="217"/>
      <c r="O107" s="217"/>
      <c r="P107" s="217"/>
      <c r="Q107" s="217"/>
      <c r="R107" s="217"/>
      <c r="S107" s="217"/>
      <c r="T107" s="217"/>
      <c r="U107" s="217"/>
      <c r="V107" s="217"/>
      <c r="W107" s="217"/>
      <c r="X107" s="217"/>
      <c r="Y107" s="217"/>
      <c r="Z107" s="217"/>
      <c r="AA107" s="217"/>
      <c r="AB107" s="217"/>
      <c r="AC107" s="217"/>
      <c r="AD107" s="217"/>
      <c r="AE107" s="217"/>
      <c r="AF107" s="217"/>
      <c r="AG107" s="217"/>
      <c r="AH107" s="217"/>
      <c r="AI107" s="217"/>
      <c r="AJ107" s="217"/>
      <c r="AK107" s="217"/>
      <c r="AL107" s="217"/>
      <c r="AM107" s="217"/>
      <c r="AN107" s="217"/>
      <c r="AO107" s="217"/>
      <c r="AP107" s="217"/>
      <c r="AQ107" s="217"/>
    </row>
    <row r="108" spans="1:43" s="1" customFormat="1" ht="10.5" customHeight="1">
      <c r="A108" s="1061"/>
      <c r="B108" s="1061"/>
      <c r="C108" s="185"/>
      <c r="D108" s="185"/>
      <c r="E108" s="185"/>
      <c r="F108" s="185"/>
      <c r="G108" s="185"/>
      <c r="H108" s="185"/>
      <c r="I108" s="185"/>
      <c r="J108" s="185"/>
      <c r="K108" s="185"/>
      <c r="L108" s="185"/>
      <c r="M108" s="217"/>
      <c r="N108" s="217"/>
      <c r="O108" s="217"/>
      <c r="P108" s="217"/>
      <c r="Q108" s="217"/>
      <c r="R108" s="217"/>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row>
    <row r="109" spans="1:43" s="1" customFormat="1" ht="19.5" customHeight="1">
      <c r="A109" s="1061"/>
      <c r="B109" s="1061"/>
      <c r="C109" s="185"/>
      <c r="D109" s="185"/>
      <c r="E109" s="185"/>
      <c r="F109" s="185"/>
      <c r="G109" s="185"/>
      <c r="H109" s="185"/>
      <c r="I109" s="185"/>
      <c r="J109" s="185"/>
      <c r="K109" s="185"/>
      <c r="L109" s="185"/>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row>
    <row r="110" spans="1:43" s="1" customFormat="1" ht="18" customHeight="1">
      <c r="A110" s="1061"/>
      <c r="B110" s="1061"/>
      <c r="C110" s="229"/>
      <c r="D110" s="224"/>
      <c r="E110" s="229"/>
      <c r="F110" s="224"/>
      <c r="G110" s="229"/>
      <c r="H110" s="185"/>
      <c r="I110" s="185"/>
      <c r="J110" s="185"/>
      <c r="K110" s="185"/>
      <c r="L110" s="185"/>
      <c r="M110" s="217"/>
      <c r="N110" s="217"/>
      <c r="O110" s="217"/>
      <c r="P110" s="217"/>
      <c r="Q110" s="217"/>
      <c r="R110" s="217"/>
      <c r="S110" s="217"/>
      <c r="T110" s="217"/>
      <c r="U110" s="217"/>
      <c r="V110" s="217"/>
      <c r="W110" s="217"/>
      <c r="X110" s="217"/>
      <c r="Y110" s="217"/>
      <c r="Z110" s="217"/>
      <c r="AA110" s="217"/>
      <c r="AB110" s="217"/>
      <c r="AC110" s="217"/>
      <c r="AD110" s="217"/>
      <c r="AE110" s="217"/>
      <c r="AF110" s="217"/>
      <c r="AG110" s="217"/>
      <c r="AH110" s="217"/>
      <c r="AI110" s="217"/>
      <c r="AJ110" s="217"/>
      <c r="AK110" s="217"/>
      <c r="AL110" s="217"/>
      <c r="AM110" s="217"/>
      <c r="AN110" s="217"/>
      <c r="AO110" s="217"/>
      <c r="AP110" s="217"/>
      <c r="AQ110" s="217"/>
    </row>
    <row r="111" spans="1:43" s="1" customFormat="1" ht="10.5" customHeight="1">
      <c r="A111" s="1061"/>
      <c r="B111" s="1061"/>
      <c r="C111" s="185"/>
      <c r="D111" s="185"/>
      <c r="E111" s="192"/>
      <c r="F111" s="185"/>
      <c r="G111" s="214"/>
      <c r="H111" s="185"/>
      <c r="I111" s="185"/>
      <c r="J111" s="185"/>
      <c r="K111" s="185"/>
      <c r="L111" s="185"/>
      <c r="M111" s="217"/>
      <c r="N111" s="217"/>
      <c r="O111" s="217"/>
      <c r="P111" s="217"/>
      <c r="Q111" s="217"/>
      <c r="R111" s="217"/>
      <c r="S111" s="217"/>
      <c r="T111" s="217"/>
      <c r="U111" s="217"/>
      <c r="V111" s="217"/>
      <c r="W111" s="217"/>
      <c r="X111" s="217"/>
      <c r="Y111" s="217"/>
      <c r="Z111" s="217"/>
      <c r="AA111" s="217"/>
      <c r="AB111" s="217"/>
      <c r="AC111" s="217"/>
      <c r="AD111" s="217"/>
      <c r="AE111" s="217"/>
      <c r="AF111" s="217"/>
      <c r="AG111" s="217"/>
      <c r="AH111" s="217"/>
      <c r="AI111" s="217"/>
      <c r="AJ111" s="217"/>
      <c r="AK111" s="217"/>
      <c r="AL111" s="217"/>
      <c r="AM111" s="217"/>
      <c r="AN111" s="217"/>
      <c r="AO111" s="217"/>
      <c r="AP111" s="217"/>
      <c r="AQ111" s="217"/>
    </row>
    <row r="112" spans="1:43" s="1" customFormat="1" ht="19.5" customHeight="1">
      <c r="A112" s="1061"/>
      <c r="B112" s="1061"/>
      <c r="C112" s="185"/>
      <c r="D112" s="185"/>
      <c r="E112" s="192"/>
      <c r="F112" s="185"/>
      <c r="G112" s="214"/>
      <c r="H112" s="185"/>
      <c r="I112" s="185"/>
      <c r="J112" s="185"/>
      <c r="K112" s="185"/>
      <c r="L112" s="185"/>
      <c r="M112" s="217"/>
      <c r="N112" s="217"/>
      <c r="O112" s="217"/>
      <c r="P112" s="217"/>
      <c r="Q112" s="217"/>
      <c r="R112" s="217"/>
      <c r="S112" s="217"/>
      <c r="T112" s="217"/>
      <c r="U112" s="217"/>
      <c r="V112" s="217"/>
      <c r="W112" s="217"/>
      <c r="X112" s="217"/>
      <c r="Y112" s="217"/>
      <c r="Z112" s="217"/>
      <c r="AA112" s="217"/>
      <c r="AB112" s="217"/>
      <c r="AC112" s="217"/>
      <c r="AD112" s="217"/>
      <c r="AE112" s="217"/>
      <c r="AF112" s="217"/>
      <c r="AG112" s="217"/>
      <c r="AH112" s="217"/>
      <c r="AI112" s="217"/>
      <c r="AJ112" s="217"/>
      <c r="AK112" s="217"/>
      <c r="AL112" s="217"/>
      <c r="AM112" s="217"/>
      <c r="AN112" s="217"/>
      <c r="AO112" s="217"/>
      <c r="AP112" s="217"/>
      <c r="AQ112" s="217"/>
    </row>
    <row r="113" spans="1:43" s="1" customFormat="1" ht="10.5" customHeight="1">
      <c r="A113" s="1061"/>
      <c r="B113" s="1061"/>
      <c r="C113" s="229"/>
      <c r="D113" s="224"/>
      <c r="E113" s="1072"/>
      <c r="F113" s="224"/>
      <c r="H113" s="185"/>
      <c r="I113" s="185"/>
      <c r="J113" s="185"/>
      <c r="K113" s="185"/>
      <c r="L113" s="185"/>
      <c r="M113" s="217"/>
      <c r="N113" s="217"/>
      <c r="O113" s="217"/>
      <c r="P113" s="217"/>
      <c r="Q113" s="217"/>
      <c r="R113" s="217"/>
      <c r="S113" s="217"/>
      <c r="T113" s="217"/>
      <c r="U113" s="217"/>
      <c r="V113" s="217"/>
      <c r="W113" s="217"/>
      <c r="X113" s="217"/>
      <c r="Y113" s="217"/>
      <c r="Z113" s="217"/>
      <c r="AA113" s="217"/>
      <c r="AB113" s="217"/>
      <c r="AC113" s="217"/>
      <c r="AD113" s="217"/>
      <c r="AE113" s="217"/>
      <c r="AF113" s="217"/>
      <c r="AG113" s="217"/>
      <c r="AH113" s="217"/>
      <c r="AI113" s="217"/>
      <c r="AJ113" s="217"/>
      <c r="AK113" s="217"/>
      <c r="AL113" s="217"/>
      <c r="AM113" s="217"/>
      <c r="AN113" s="217"/>
      <c r="AO113" s="217"/>
      <c r="AP113" s="217"/>
      <c r="AQ113" s="217"/>
    </row>
    <row r="114" spans="1:43" s="1" customFormat="1" ht="18" customHeight="1">
      <c r="A114" s="1061"/>
      <c r="B114" s="1061"/>
      <c r="C114" s="211"/>
      <c r="D114" s="192"/>
      <c r="E114" s="192"/>
      <c r="F114" s="185"/>
      <c r="G114" s="185"/>
      <c r="H114" s="185"/>
      <c r="I114" s="185"/>
      <c r="J114" s="229"/>
      <c r="K114" s="217"/>
      <c r="L114" s="217"/>
      <c r="M114" s="217"/>
      <c r="N114" s="217"/>
      <c r="O114" s="217"/>
      <c r="P114" s="217"/>
      <c r="Q114" s="217"/>
      <c r="R114" s="217"/>
      <c r="S114" s="217"/>
      <c r="T114" s="217"/>
      <c r="U114" s="217"/>
      <c r="V114" s="217"/>
      <c r="W114" s="217"/>
      <c r="X114" s="217"/>
      <c r="Y114" s="217"/>
      <c r="Z114" s="217"/>
      <c r="AA114" s="217"/>
      <c r="AB114" s="217"/>
      <c r="AC114" s="217"/>
      <c r="AD114" s="217"/>
      <c r="AE114" s="217"/>
      <c r="AF114" s="217"/>
      <c r="AG114" s="217"/>
      <c r="AH114" s="217"/>
      <c r="AI114" s="217"/>
      <c r="AJ114" s="217"/>
      <c r="AK114" s="217"/>
      <c r="AL114" s="217"/>
      <c r="AM114" s="217"/>
      <c r="AN114" s="217"/>
      <c r="AO114" s="217"/>
      <c r="AP114" s="217"/>
      <c r="AQ114" s="217"/>
    </row>
    <row r="115" spans="1:43" s="1" customFormat="1" ht="10.5" customHeight="1">
      <c r="A115" s="1071"/>
      <c r="B115" s="1071"/>
      <c r="C115" s="192"/>
      <c r="D115" s="192"/>
      <c r="E115" s="185"/>
      <c r="F115" s="185"/>
      <c r="G115" s="185"/>
      <c r="H115" s="185"/>
      <c r="I115" s="185"/>
      <c r="J115" s="229"/>
      <c r="K115" s="217"/>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row>
    <row r="116" spans="1:43" s="1" customFormat="1" ht="19.5" customHeight="1">
      <c r="A116" s="1071"/>
      <c r="B116" s="1071"/>
      <c r="C116" s="197"/>
      <c r="D116" s="185"/>
      <c r="E116" s="223"/>
      <c r="F116" s="185"/>
      <c r="G116" s="185"/>
      <c r="H116" s="185"/>
      <c r="I116" s="185"/>
      <c r="J116" s="229"/>
      <c r="K116" s="217"/>
      <c r="L116" s="217"/>
      <c r="M116" s="217"/>
      <c r="N116" s="217"/>
      <c r="O116" s="217"/>
      <c r="P116" s="217"/>
      <c r="Q116" s="217"/>
      <c r="R116" s="217"/>
      <c r="S116" s="217"/>
      <c r="T116" s="217"/>
      <c r="U116" s="217"/>
      <c r="V116" s="217"/>
      <c r="W116" s="217"/>
      <c r="X116" s="217"/>
      <c r="Y116" s="217"/>
      <c r="Z116" s="217"/>
      <c r="AA116" s="217"/>
      <c r="AB116" s="217"/>
      <c r="AC116" s="217"/>
      <c r="AD116" s="217"/>
      <c r="AE116" s="217"/>
      <c r="AF116" s="217"/>
      <c r="AG116" s="217"/>
      <c r="AH116" s="217"/>
      <c r="AI116" s="217"/>
      <c r="AJ116" s="217"/>
      <c r="AK116" s="217"/>
      <c r="AL116" s="217"/>
      <c r="AM116" s="217"/>
      <c r="AN116" s="217"/>
      <c r="AO116" s="217"/>
      <c r="AP116" s="217"/>
      <c r="AQ116" s="217"/>
    </row>
    <row r="117" spans="1:43" s="1" customFormat="1" ht="10.5" customHeight="1">
      <c r="A117" s="1061"/>
      <c r="B117" s="1061"/>
      <c r="C117" s="185"/>
      <c r="D117" s="185"/>
      <c r="E117" s="3965"/>
      <c r="F117" s="3966"/>
      <c r="G117" s="3966"/>
      <c r="H117" s="185"/>
      <c r="I117" s="185"/>
      <c r="J117" s="229"/>
      <c r="K117" s="217"/>
      <c r="L117" s="217"/>
      <c r="M117" s="217"/>
      <c r="N117" s="217"/>
      <c r="O117" s="217"/>
      <c r="P117" s="217"/>
      <c r="Q117" s="217"/>
      <c r="R117" s="217"/>
      <c r="S117" s="217"/>
      <c r="T117" s="217"/>
      <c r="U117" s="217"/>
      <c r="V117" s="217"/>
      <c r="W117" s="217"/>
      <c r="X117" s="217"/>
      <c r="Y117" s="217"/>
      <c r="Z117" s="217"/>
      <c r="AA117" s="217"/>
      <c r="AB117" s="217"/>
      <c r="AC117" s="217"/>
      <c r="AD117" s="217"/>
      <c r="AE117" s="217"/>
      <c r="AF117" s="217"/>
      <c r="AG117" s="217"/>
      <c r="AH117" s="217"/>
      <c r="AI117" s="217"/>
      <c r="AJ117" s="217"/>
      <c r="AK117" s="217"/>
      <c r="AL117" s="217"/>
      <c r="AM117" s="217"/>
      <c r="AN117" s="217"/>
      <c r="AO117" s="217"/>
      <c r="AP117" s="217"/>
      <c r="AQ117" s="217"/>
    </row>
    <row r="118" spans="1:43" s="1" customFormat="1" ht="19.5" customHeight="1">
      <c r="A118" s="1061"/>
      <c r="B118" s="1061"/>
      <c r="C118" s="185"/>
      <c r="D118" s="185"/>
      <c r="E118" s="1064"/>
      <c r="F118" s="1064"/>
      <c r="G118" s="1064"/>
      <c r="H118" s="185"/>
      <c r="I118" s="185"/>
      <c r="J118" s="229"/>
      <c r="K118" s="217"/>
      <c r="L118" s="217"/>
      <c r="M118" s="217"/>
      <c r="N118" s="217"/>
      <c r="O118" s="217"/>
      <c r="P118" s="217"/>
      <c r="Q118" s="217"/>
      <c r="R118" s="217"/>
      <c r="S118" s="217"/>
      <c r="T118" s="217"/>
      <c r="U118" s="217"/>
      <c r="V118" s="217"/>
      <c r="W118" s="217"/>
      <c r="X118" s="217"/>
      <c r="Y118" s="217"/>
      <c r="Z118" s="217"/>
      <c r="AA118" s="217"/>
      <c r="AB118" s="217"/>
      <c r="AC118" s="217"/>
      <c r="AD118" s="217"/>
      <c r="AE118" s="217"/>
      <c r="AF118" s="217"/>
      <c r="AG118" s="217"/>
      <c r="AH118" s="217"/>
      <c r="AI118" s="217"/>
      <c r="AJ118" s="217"/>
      <c r="AK118" s="217"/>
      <c r="AL118" s="217"/>
      <c r="AM118" s="217"/>
      <c r="AN118" s="217"/>
      <c r="AO118" s="217"/>
      <c r="AP118" s="217"/>
      <c r="AQ118" s="217"/>
    </row>
    <row r="119" spans="1:43" s="1" customFormat="1" ht="10.5" customHeight="1">
      <c r="A119" s="1061"/>
      <c r="B119" s="1061"/>
      <c r="C119" s="185"/>
      <c r="D119" s="185"/>
      <c r="E119" s="3965"/>
      <c r="F119" s="3965"/>
      <c r="G119" s="3965"/>
      <c r="H119" s="185"/>
      <c r="I119" s="185"/>
      <c r="J119" s="229"/>
      <c r="K119" s="217"/>
      <c r="L119" s="217"/>
      <c r="M119" s="217"/>
      <c r="N119" s="217"/>
      <c r="O119" s="217"/>
      <c r="P119" s="217"/>
      <c r="Q119" s="217"/>
      <c r="R119" s="217"/>
      <c r="S119" s="217"/>
      <c r="T119" s="217"/>
      <c r="U119" s="217"/>
      <c r="V119" s="217"/>
      <c r="W119" s="217"/>
      <c r="X119" s="217"/>
      <c r="Y119" s="217"/>
      <c r="Z119" s="217"/>
      <c r="AA119" s="217"/>
      <c r="AB119" s="217"/>
      <c r="AC119" s="217"/>
      <c r="AD119" s="217"/>
      <c r="AE119" s="217"/>
      <c r="AF119" s="217"/>
      <c r="AG119" s="217"/>
      <c r="AH119" s="217"/>
      <c r="AI119" s="217"/>
      <c r="AJ119" s="217"/>
      <c r="AK119" s="217"/>
      <c r="AL119" s="217"/>
      <c r="AM119" s="217"/>
      <c r="AN119" s="217"/>
      <c r="AO119" s="217"/>
      <c r="AP119" s="217"/>
      <c r="AQ119" s="217"/>
    </row>
    <row r="120" spans="1:43" s="1" customFormat="1" ht="19.5" customHeight="1">
      <c r="A120" s="1061"/>
      <c r="B120" s="1061"/>
      <c r="C120" s="185"/>
      <c r="D120" s="185"/>
      <c r="E120" s="185"/>
      <c r="F120" s="185"/>
      <c r="G120" s="185"/>
      <c r="H120" s="185"/>
      <c r="I120" s="185"/>
      <c r="J120" s="229"/>
      <c r="K120" s="217"/>
      <c r="L120" s="217"/>
      <c r="M120" s="217"/>
      <c r="N120" s="217"/>
      <c r="O120" s="217"/>
      <c r="P120" s="217"/>
      <c r="Q120" s="217"/>
      <c r="R120" s="217"/>
      <c r="S120" s="217"/>
      <c r="T120" s="217"/>
      <c r="U120" s="217"/>
      <c r="V120" s="217"/>
      <c r="W120" s="217"/>
      <c r="X120" s="217"/>
      <c r="Y120" s="217"/>
      <c r="Z120" s="217"/>
      <c r="AA120" s="217"/>
      <c r="AB120" s="217"/>
      <c r="AC120" s="217"/>
      <c r="AD120" s="217"/>
      <c r="AE120" s="217"/>
      <c r="AF120" s="217"/>
      <c r="AG120" s="217"/>
      <c r="AH120" s="217"/>
      <c r="AI120" s="217"/>
      <c r="AJ120" s="217"/>
      <c r="AK120" s="217"/>
      <c r="AL120" s="217"/>
      <c r="AM120" s="217"/>
      <c r="AN120" s="217"/>
      <c r="AO120" s="217"/>
      <c r="AP120" s="217"/>
      <c r="AQ120" s="217"/>
    </row>
    <row r="121" spans="1:43" s="1" customFormat="1" ht="10.5" customHeight="1">
      <c r="A121" s="1061"/>
      <c r="B121" s="1061"/>
      <c r="C121" s="185"/>
      <c r="D121" s="185"/>
      <c r="E121" s="185"/>
      <c r="F121" s="229"/>
      <c r="G121" s="185"/>
      <c r="H121" s="185"/>
      <c r="I121" s="185"/>
      <c r="J121" s="229"/>
      <c r="K121" s="217"/>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row>
    <row r="122" spans="1:43" s="1" customFormat="1" ht="18" customHeight="1">
      <c r="A122" s="1061"/>
      <c r="B122" s="1061"/>
      <c r="C122" s="185"/>
      <c r="D122" s="185"/>
      <c r="E122" s="185"/>
      <c r="F122" s="197"/>
      <c r="G122" s="185"/>
      <c r="H122" s="185"/>
      <c r="I122" s="185"/>
      <c r="J122" s="229"/>
      <c r="K122" s="217"/>
      <c r="L122" s="217"/>
      <c r="M122" s="217"/>
      <c r="N122" s="217"/>
      <c r="O122" s="217"/>
      <c r="P122" s="217"/>
      <c r="Q122" s="217"/>
      <c r="R122" s="217"/>
      <c r="S122" s="217"/>
      <c r="T122" s="217"/>
      <c r="U122" s="217"/>
      <c r="V122" s="217"/>
      <c r="W122" s="217"/>
      <c r="X122" s="217"/>
      <c r="Y122" s="217"/>
      <c r="Z122" s="217"/>
      <c r="AA122" s="217"/>
      <c r="AB122" s="217"/>
      <c r="AC122" s="217"/>
      <c r="AD122" s="217"/>
      <c r="AE122" s="217"/>
      <c r="AF122" s="217"/>
      <c r="AG122" s="217"/>
      <c r="AH122" s="217"/>
      <c r="AI122" s="217"/>
      <c r="AJ122" s="217"/>
      <c r="AK122" s="217"/>
      <c r="AL122" s="217"/>
      <c r="AM122" s="217"/>
      <c r="AN122" s="217"/>
      <c r="AO122" s="217"/>
      <c r="AP122" s="217"/>
      <c r="AQ122" s="217"/>
    </row>
    <row r="123" spans="1:43" s="1" customFormat="1" ht="10.5" customHeight="1">
      <c r="A123" s="1061"/>
      <c r="B123" s="1061"/>
      <c r="C123" s="3959"/>
      <c r="D123" s="3959"/>
      <c r="E123" s="3959"/>
      <c r="F123" s="3959"/>
      <c r="G123" s="185"/>
      <c r="H123" s="185"/>
      <c r="I123" s="185"/>
      <c r="J123" s="229"/>
      <c r="K123" s="217"/>
      <c r="L123" s="217"/>
      <c r="M123" s="217"/>
      <c r="N123" s="217"/>
      <c r="O123" s="217"/>
      <c r="P123" s="217"/>
      <c r="Q123" s="217"/>
      <c r="R123" s="217"/>
      <c r="S123" s="217"/>
      <c r="T123" s="217"/>
      <c r="U123" s="217"/>
      <c r="V123" s="217"/>
      <c r="W123" s="217"/>
      <c r="X123" s="217"/>
      <c r="Y123" s="217"/>
      <c r="Z123" s="217"/>
      <c r="AA123" s="217"/>
      <c r="AB123" s="217"/>
      <c r="AC123" s="217"/>
      <c r="AD123" s="217"/>
      <c r="AE123" s="217"/>
      <c r="AF123" s="217"/>
      <c r="AG123" s="217"/>
      <c r="AH123" s="217"/>
      <c r="AI123" s="217"/>
      <c r="AJ123" s="217"/>
      <c r="AK123" s="217"/>
      <c r="AL123" s="217"/>
      <c r="AM123" s="217"/>
      <c r="AN123" s="217"/>
      <c r="AO123" s="217"/>
      <c r="AP123" s="217"/>
      <c r="AQ123" s="217"/>
    </row>
    <row r="124" spans="1:43" s="1" customFormat="1" ht="18" customHeight="1">
      <c r="A124" s="1061"/>
      <c r="B124" s="1061"/>
      <c r="C124" s="3959"/>
      <c r="D124" s="3959"/>
      <c r="E124" s="3959"/>
      <c r="F124" s="3959"/>
      <c r="G124" s="185"/>
      <c r="H124" s="185"/>
      <c r="I124" s="185"/>
      <c r="J124" s="229"/>
      <c r="K124" s="217"/>
      <c r="L124" s="217"/>
      <c r="M124" s="217"/>
      <c r="N124" s="217"/>
      <c r="O124" s="217"/>
      <c r="P124" s="217"/>
      <c r="Q124" s="217"/>
      <c r="R124" s="217"/>
      <c r="S124" s="217"/>
      <c r="T124" s="217"/>
      <c r="U124" s="217"/>
      <c r="V124" s="217"/>
      <c r="W124" s="217"/>
      <c r="X124" s="217"/>
      <c r="Y124" s="217"/>
      <c r="Z124" s="217"/>
      <c r="AA124" s="217"/>
      <c r="AB124" s="217"/>
      <c r="AC124" s="217"/>
      <c r="AD124" s="217"/>
      <c r="AE124" s="217"/>
      <c r="AF124" s="217"/>
      <c r="AG124" s="217"/>
      <c r="AH124" s="217"/>
      <c r="AI124" s="217"/>
      <c r="AJ124" s="217"/>
      <c r="AK124" s="217"/>
      <c r="AL124" s="217"/>
      <c r="AM124" s="217"/>
      <c r="AN124" s="217"/>
      <c r="AO124" s="217"/>
      <c r="AP124" s="217"/>
      <c r="AQ124" s="217"/>
    </row>
    <row r="125" spans="1:43" s="1" customFormat="1" ht="18" customHeight="1">
      <c r="A125" s="1070"/>
      <c r="B125" s="1070"/>
      <c r="C125" s="3960"/>
      <c r="D125" s="3960"/>
      <c r="E125" s="3960"/>
      <c r="F125" s="3960"/>
      <c r="G125" s="3960"/>
      <c r="H125" s="185"/>
      <c r="I125" s="185"/>
      <c r="J125" s="229"/>
      <c r="K125" s="185"/>
      <c r="L125" s="185"/>
      <c r="M125" s="185"/>
      <c r="N125" s="185"/>
      <c r="O125" s="185"/>
      <c r="P125" s="217"/>
      <c r="Q125" s="217"/>
      <c r="R125" s="217"/>
      <c r="S125" s="217"/>
      <c r="T125" s="217"/>
      <c r="U125" s="217"/>
      <c r="V125" s="217"/>
      <c r="W125" s="217"/>
      <c r="X125" s="217"/>
      <c r="Y125" s="217"/>
      <c r="Z125" s="217"/>
      <c r="AA125" s="217"/>
      <c r="AB125" s="217"/>
      <c r="AC125" s="217"/>
      <c r="AD125" s="217"/>
      <c r="AE125" s="217"/>
      <c r="AF125" s="217"/>
      <c r="AG125" s="217"/>
      <c r="AH125" s="217"/>
      <c r="AI125" s="217"/>
      <c r="AJ125" s="217"/>
      <c r="AK125" s="217"/>
      <c r="AL125" s="217"/>
      <c r="AM125" s="217"/>
      <c r="AN125" s="217"/>
      <c r="AO125" s="217"/>
      <c r="AP125" s="217"/>
      <c r="AQ125" s="217"/>
    </row>
    <row r="126" spans="1:43" s="1" customFormat="1" ht="19.5" customHeight="1">
      <c r="A126" s="1073"/>
      <c r="B126" s="1073"/>
      <c r="C126" s="3960"/>
      <c r="D126" s="3960"/>
      <c r="E126" s="3960"/>
      <c r="F126" s="3960"/>
      <c r="G126" s="3960"/>
      <c r="H126" s="185"/>
      <c r="I126" s="185"/>
      <c r="J126" s="229"/>
      <c r="K126" s="185"/>
      <c r="L126" s="185"/>
      <c r="M126" s="185"/>
      <c r="N126" s="185"/>
      <c r="O126" s="185"/>
      <c r="P126" s="217"/>
      <c r="Q126" s="217"/>
      <c r="R126" s="217"/>
      <c r="S126" s="217"/>
      <c r="T126" s="217"/>
      <c r="U126" s="217"/>
      <c r="V126" s="217"/>
      <c r="W126" s="217"/>
      <c r="X126" s="217"/>
      <c r="Y126" s="217"/>
      <c r="Z126" s="217"/>
      <c r="AA126" s="217"/>
      <c r="AB126" s="217"/>
      <c r="AC126" s="217"/>
      <c r="AD126" s="217"/>
      <c r="AE126" s="217"/>
      <c r="AF126" s="217"/>
      <c r="AG126" s="217"/>
      <c r="AH126" s="217"/>
      <c r="AI126" s="217"/>
      <c r="AJ126" s="217"/>
      <c r="AK126" s="217"/>
      <c r="AL126" s="217"/>
      <c r="AM126" s="217"/>
      <c r="AN126" s="217"/>
      <c r="AO126" s="217"/>
      <c r="AP126" s="217"/>
      <c r="AQ126" s="217"/>
    </row>
    <row r="127" spans="1:43" s="1" customFormat="1" ht="10.5" customHeight="1">
      <c r="A127" s="1073"/>
      <c r="B127" s="1073"/>
      <c r="C127" s="229"/>
      <c r="D127" s="224"/>
      <c r="E127" s="229"/>
      <c r="F127" s="224"/>
      <c r="G127" s="229"/>
      <c r="H127" s="185"/>
      <c r="I127" s="185"/>
      <c r="J127" s="229"/>
      <c r="K127" s="185"/>
      <c r="L127" s="185"/>
      <c r="M127" s="185"/>
      <c r="N127" s="185"/>
      <c r="O127" s="185"/>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row>
    <row r="128" spans="1:43" s="1" customFormat="1" ht="18" customHeight="1">
      <c r="A128" s="1073"/>
      <c r="B128" s="1073"/>
      <c r="C128" s="225"/>
      <c r="D128" s="197"/>
      <c r="E128" s="185"/>
      <c r="F128" s="197"/>
      <c r="G128" s="185"/>
      <c r="H128" s="185"/>
      <c r="I128" s="185"/>
      <c r="J128" s="229"/>
      <c r="K128" s="185"/>
      <c r="L128" s="185"/>
      <c r="M128" s="185"/>
      <c r="N128" s="185"/>
      <c r="O128" s="185"/>
      <c r="P128" s="217"/>
      <c r="Q128" s="217"/>
      <c r="R128" s="217"/>
      <c r="S128" s="217"/>
      <c r="T128" s="217"/>
      <c r="U128" s="217"/>
      <c r="V128" s="217"/>
      <c r="W128" s="217"/>
      <c r="X128" s="217"/>
      <c r="Y128" s="217"/>
      <c r="Z128" s="217"/>
      <c r="AA128" s="217"/>
      <c r="AB128" s="217"/>
      <c r="AC128" s="217"/>
      <c r="AD128" s="217"/>
      <c r="AE128" s="217"/>
      <c r="AF128" s="217"/>
      <c r="AG128" s="217"/>
      <c r="AH128" s="217"/>
      <c r="AI128" s="217"/>
      <c r="AJ128" s="217"/>
      <c r="AK128" s="217"/>
      <c r="AL128" s="217"/>
      <c r="AM128" s="217"/>
      <c r="AN128" s="217"/>
      <c r="AO128" s="217"/>
      <c r="AP128" s="217"/>
      <c r="AQ128" s="217"/>
    </row>
    <row r="129" spans="1:43" s="1" customFormat="1" ht="19.5" customHeight="1">
      <c r="A129" s="1061"/>
      <c r="B129" s="1061"/>
      <c r="C129" s="185"/>
      <c r="D129" s="185"/>
      <c r="E129" s="185"/>
      <c r="F129" s="185"/>
      <c r="G129" s="185"/>
      <c r="H129" s="185"/>
      <c r="I129" s="185"/>
      <c r="J129" s="229"/>
      <c r="K129" s="185"/>
      <c r="L129" s="185"/>
      <c r="M129" s="185"/>
      <c r="N129" s="185"/>
      <c r="O129" s="185"/>
      <c r="P129" s="217"/>
      <c r="Q129" s="217"/>
      <c r="R129" s="217"/>
      <c r="S129" s="217"/>
      <c r="T129" s="217"/>
      <c r="U129" s="217"/>
      <c r="V129" s="217"/>
      <c r="W129" s="217"/>
      <c r="X129" s="217"/>
      <c r="Y129" s="217"/>
      <c r="Z129" s="217"/>
      <c r="AA129" s="217"/>
      <c r="AB129" s="217"/>
      <c r="AC129" s="217"/>
      <c r="AD129" s="217"/>
      <c r="AE129" s="217"/>
      <c r="AF129" s="217"/>
      <c r="AG129" s="217"/>
      <c r="AH129" s="217"/>
      <c r="AI129" s="217"/>
      <c r="AJ129" s="217"/>
      <c r="AK129" s="217"/>
      <c r="AL129" s="217"/>
      <c r="AM129" s="217"/>
      <c r="AN129" s="217"/>
      <c r="AO129" s="217"/>
      <c r="AP129" s="217"/>
      <c r="AQ129" s="217"/>
    </row>
    <row r="130" spans="1:43" s="1" customFormat="1" ht="10.5" customHeight="1">
      <c r="A130" s="1071"/>
      <c r="B130" s="1071"/>
      <c r="C130" s="229"/>
      <c r="D130" s="224"/>
      <c r="E130" s="1072"/>
      <c r="F130" s="224"/>
      <c r="H130" s="185"/>
      <c r="I130" s="185"/>
      <c r="J130" s="229"/>
      <c r="K130" s="185"/>
      <c r="L130" s="185"/>
      <c r="M130" s="185"/>
      <c r="N130" s="185"/>
      <c r="O130" s="185"/>
      <c r="P130" s="217"/>
      <c r="Q130" s="217"/>
      <c r="R130" s="217"/>
      <c r="S130" s="217"/>
      <c r="T130" s="217"/>
      <c r="U130" s="217"/>
      <c r="V130" s="217"/>
      <c r="W130" s="217"/>
      <c r="X130" s="217"/>
      <c r="Y130" s="217"/>
      <c r="Z130" s="217"/>
      <c r="AA130" s="217"/>
      <c r="AB130" s="217"/>
      <c r="AC130" s="217"/>
      <c r="AD130" s="217"/>
      <c r="AE130" s="217"/>
      <c r="AF130" s="217"/>
      <c r="AG130" s="217"/>
      <c r="AH130" s="217"/>
      <c r="AI130" s="217"/>
      <c r="AJ130" s="217"/>
      <c r="AK130" s="217"/>
      <c r="AL130" s="217"/>
      <c r="AM130" s="217"/>
      <c r="AN130" s="217"/>
      <c r="AO130" s="217"/>
      <c r="AP130" s="217"/>
      <c r="AQ130" s="217"/>
    </row>
    <row r="131" spans="1:43" s="1" customFormat="1" ht="18" customHeight="1">
      <c r="A131" s="1071"/>
      <c r="B131" s="1071"/>
      <c r="C131" s="185"/>
      <c r="D131" s="197"/>
      <c r="E131" s="185"/>
      <c r="F131" s="223"/>
      <c r="G131" s="185"/>
      <c r="H131" s="185"/>
      <c r="I131" s="185"/>
      <c r="J131" s="185"/>
      <c r="K131" s="185"/>
      <c r="L131" s="185"/>
      <c r="M131" s="185"/>
      <c r="N131" s="185"/>
      <c r="O131" s="185"/>
      <c r="P131" s="217"/>
      <c r="Q131" s="217"/>
      <c r="R131" s="217"/>
      <c r="S131" s="217"/>
      <c r="T131" s="217"/>
      <c r="U131" s="217"/>
      <c r="V131" s="217"/>
      <c r="W131" s="217"/>
      <c r="X131" s="217"/>
      <c r="Y131" s="217"/>
      <c r="Z131" s="217"/>
      <c r="AA131" s="217"/>
      <c r="AB131" s="217"/>
      <c r="AC131" s="217"/>
      <c r="AD131" s="217"/>
      <c r="AE131" s="217"/>
      <c r="AF131" s="217"/>
      <c r="AG131" s="217"/>
      <c r="AH131" s="217"/>
      <c r="AI131" s="217"/>
      <c r="AJ131" s="217"/>
      <c r="AK131" s="217"/>
      <c r="AL131" s="217"/>
      <c r="AM131" s="217"/>
      <c r="AN131" s="217"/>
      <c r="AO131" s="217"/>
      <c r="AP131" s="217"/>
      <c r="AQ131" s="217"/>
    </row>
    <row r="132" spans="1:43" s="1" customFormat="1" ht="10.5" customHeight="1">
      <c r="A132" s="1071"/>
      <c r="B132" s="1071"/>
      <c r="C132" s="192"/>
      <c r="D132" s="192"/>
      <c r="E132" s="185"/>
      <c r="F132" s="185"/>
      <c r="G132" s="185"/>
      <c r="H132" s="185"/>
      <c r="I132" s="185"/>
      <c r="J132" s="185"/>
      <c r="K132" s="185"/>
      <c r="L132" s="185"/>
      <c r="M132" s="185"/>
      <c r="N132" s="185"/>
      <c r="O132" s="185"/>
      <c r="P132" s="217"/>
      <c r="Q132" s="217"/>
      <c r="R132" s="217"/>
      <c r="S132" s="217"/>
      <c r="T132" s="217"/>
      <c r="U132" s="217"/>
      <c r="V132" s="217"/>
      <c r="W132" s="217"/>
      <c r="X132" s="217"/>
      <c r="Y132" s="217"/>
      <c r="Z132" s="217"/>
      <c r="AA132" s="217"/>
      <c r="AB132" s="217"/>
      <c r="AC132" s="217"/>
      <c r="AD132" s="217"/>
      <c r="AE132" s="217"/>
      <c r="AF132" s="217"/>
      <c r="AG132" s="217"/>
      <c r="AH132" s="217"/>
      <c r="AI132" s="217"/>
      <c r="AJ132" s="217"/>
      <c r="AK132" s="217"/>
      <c r="AL132" s="217"/>
      <c r="AM132" s="217"/>
      <c r="AN132" s="217"/>
      <c r="AO132" s="217"/>
      <c r="AP132" s="217"/>
      <c r="AQ132" s="217"/>
    </row>
    <row r="133" spans="1:43" s="1" customFormat="1" ht="18" customHeight="1">
      <c r="A133" s="1061"/>
      <c r="B133" s="1061"/>
      <c r="C133" s="197"/>
      <c r="D133" s="185"/>
      <c r="E133" s="197"/>
      <c r="F133" s="185"/>
      <c r="G133" s="197"/>
      <c r="H133" s="192"/>
      <c r="I133" s="185"/>
      <c r="J133" s="185"/>
      <c r="K133" s="185"/>
      <c r="L133" s="185"/>
      <c r="M133" s="185"/>
      <c r="N133" s="185"/>
      <c r="O133" s="185"/>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row>
    <row r="134" spans="1:43" s="1" customFormat="1" ht="10.5" customHeight="1">
      <c r="A134" s="1061"/>
      <c r="B134" s="1061"/>
      <c r="C134" s="201"/>
      <c r="D134" s="293"/>
      <c r="E134" s="293"/>
      <c r="F134" s="185"/>
      <c r="G134" s="185"/>
      <c r="H134" s="192"/>
      <c r="I134" s="185"/>
      <c r="J134" s="185"/>
      <c r="K134" s="185"/>
      <c r="L134" s="185"/>
      <c r="M134" s="185"/>
      <c r="N134" s="185"/>
      <c r="O134" s="185"/>
      <c r="P134" s="217"/>
      <c r="Q134" s="217"/>
      <c r="R134" s="217"/>
      <c r="S134" s="217"/>
      <c r="T134" s="217"/>
      <c r="U134" s="217"/>
      <c r="V134" s="217"/>
      <c r="W134" s="217"/>
      <c r="X134" s="217"/>
      <c r="Y134" s="217"/>
      <c r="Z134" s="217"/>
      <c r="AA134" s="217"/>
      <c r="AB134" s="217"/>
      <c r="AC134" s="217"/>
      <c r="AD134" s="217"/>
      <c r="AE134" s="217"/>
      <c r="AF134" s="217"/>
      <c r="AG134" s="217"/>
      <c r="AH134" s="217"/>
      <c r="AI134" s="217"/>
      <c r="AJ134" s="217"/>
      <c r="AK134" s="217"/>
      <c r="AL134" s="217"/>
      <c r="AM134" s="217"/>
      <c r="AN134" s="217"/>
      <c r="AO134" s="217"/>
      <c r="AP134" s="217"/>
      <c r="AQ134" s="217"/>
    </row>
    <row r="135" spans="1:43" s="1" customFormat="1" ht="19.5" customHeight="1">
      <c r="A135" s="1061"/>
      <c r="B135" s="1061"/>
      <c r="C135" s="293"/>
      <c r="D135" s="293"/>
      <c r="E135" s="293"/>
      <c r="F135" s="185"/>
      <c r="G135" s="185"/>
      <c r="H135" s="185"/>
      <c r="I135" s="192"/>
      <c r="J135" s="185"/>
      <c r="K135" s="185"/>
      <c r="L135" s="185"/>
      <c r="M135" s="185"/>
      <c r="N135" s="185"/>
      <c r="O135" s="185"/>
      <c r="P135" s="217"/>
      <c r="Q135" s="217"/>
      <c r="R135" s="217"/>
      <c r="S135" s="217"/>
      <c r="T135" s="217"/>
      <c r="U135" s="217"/>
      <c r="V135" s="217"/>
      <c r="W135" s="217"/>
      <c r="X135" s="217"/>
      <c r="Y135" s="217"/>
      <c r="Z135" s="217"/>
      <c r="AA135" s="217"/>
      <c r="AB135" s="217"/>
      <c r="AC135" s="217"/>
      <c r="AD135" s="217"/>
      <c r="AE135" s="217"/>
      <c r="AF135" s="217"/>
      <c r="AG135" s="217"/>
      <c r="AH135" s="217"/>
      <c r="AI135" s="217"/>
      <c r="AJ135" s="217"/>
      <c r="AK135" s="217"/>
      <c r="AL135" s="217"/>
      <c r="AM135" s="217"/>
      <c r="AN135" s="217"/>
      <c r="AO135" s="217"/>
      <c r="AP135" s="217"/>
      <c r="AQ135" s="217"/>
    </row>
    <row r="136" spans="1:43" s="1" customFormat="1" ht="24" customHeight="1">
      <c r="A136" s="1061"/>
      <c r="B136" s="1061"/>
      <c r="C136" s="185"/>
      <c r="D136" s="197"/>
      <c r="E136" s="229"/>
      <c r="F136" s="185"/>
      <c r="H136" s="185"/>
      <c r="I136" s="192"/>
      <c r="J136" s="185"/>
      <c r="K136" s="185"/>
      <c r="L136" s="185"/>
      <c r="M136" s="185"/>
      <c r="N136" s="185"/>
      <c r="O136" s="185"/>
      <c r="P136" s="217"/>
      <c r="Q136" s="217"/>
      <c r="R136" s="217"/>
      <c r="S136" s="217"/>
      <c r="T136" s="217"/>
      <c r="U136" s="217"/>
      <c r="V136" s="217"/>
      <c r="W136" s="217"/>
      <c r="X136" s="217"/>
      <c r="Y136" s="217"/>
      <c r="Z136" s="217"/>
      <c r="AA136" s="217"/>
      <c r="AB136" s="217"/>
      <c r="AC136" s="217"/>
      <c r="AD136" s="217"/>
      <c r="AE136" s="217"/>
      <c r="AF136" s="217"/>
      <c r="AG136" s="217"/>
      <c r="AH136" s="217"/>
      <c r="AI136" s="217"/>
      <c r="AJ136" s="217"/>
      <c r="AK136" s="217"/>
      <c r="AL136" s="217"/>
      <c r="AM136" s="217"/>
      <c r="AN136" s="217"/>
      <c r="AO136" s="217"/>
      <c r="AP136" s="217"/>
      <c r="AQ136" s="217"/>
    </row>
    <row r="137" spans="1:43" s="1" customFormat="1" ht="45.75" customHeight="1">
      <c r="A137" s="1061"/>
      <c r="B137" s="1061"/>
      <c r="C137" s="3945"/>
      <c r="D137" s="3945"/>
      <c r="E137" s="3945"/>
      <c r="F137" s="3945"/>
      <c r="G137" s="3945"/>
      <c r="H137" s="185"/>
      <c r="I137" s="192"/>
      <c r="J137" s="185"/>
      <c r="K137" s="185"/>
      <c r="L137" s="185"/>
      <c r="M137" s="185"/>
      <c r="N137" s="185"/>
      <c r="O137" s="185"/>
      <c r="P137" s="217"/>
      <c r="Q137" s="217"/>
      <c r="R137" s="217"/>
      <c r="S137" s="217"/>
      <c r="T137" s="217"/>
      <c r="U137" s="217"/>
      <c r="V137" s="217"/>
      <c r="W137" s="217"/>
      <c r="X137" s="217"/>
      <c r="Y137" s="217"/>
      <c r="Z137" s="217"/>
      <c r="AA137" s="217"/>
      <c r="AB137" s="217"/>
      <c r="AC137" s="217"/>
      <c r="AD137" s="217"/>
      <c r="AE137" s="217"/>
      <c r="AF137" s="217"/>
      <c r="AG137" s="217"/>
      <c r="AH137" s="217"/>
      <c r="AI137" s="217"/>
      <c r="AJ137" s="217"/>
      <c r="AK137" s="217"/>
      <c r="AL137" s="217"/>
      <c r="AM137" s="217"/>
      <c r="AN137" s="217"/>
      <c r="AO137" s="217"/>
      <c r="AP137" s="217"/>
      <c r="AQ137" s="217"/>
    </row>
    <row r="138" spans="1:43" s="1" customFormat="1" ht="10.5" customHeight="1">
      <c r="A138" s="1061"/>
      <c r="B138" s="1061"/>
      <c r="C138" s="3945"/>
      <c r="D138" s="3945"/>
      <c r="E138" s="3945"/>
      <c r="F138" s="3945"/>
      <c r="G138" s="3945"/>
      <c r="H138" s="185"/>
      <c r="I138" s="185"/>
      <c r="J138" s="185"/>
      <c r="K138" s="185"/>
      <c r="L138" s="185"/>
      <c r="M138" s="185"/>
      <c r="N138" s="185"/>
      <c r="O138" s="185"/>
      <c r="P138" s="217"/>
      <c r="Q138" s="217"/>
      <c r="R138" s="217"/>
      <c r="S138" s="217"/>
      <c r="T138" s="217"/>
      <c r="U138" s="217"/>
      <c r="V138" s="217"/>
      <c r="W138" s="217"/>
      <c r="X138" s="217"/>
      <c r="Y138" s="217"/>
      <c r="Z138" s="217"/>
      <c r="AA138" s="217"/>
      <c r="AB138" s="217"/>
      <c r="AC138" s="217"/>
      <c r="AD138" s="217"/>
      <c r="AE138" s="217"/>
      <c r="AF138" s="217"/>
      <c r="AG138" s="217"/>
      <c r="AH138" s="217"/>
      <c r="AI138" s="217"/>
      <c r="AJ138" s="217"/>
      <c r="AK138" s="217"/>
      <c r="AL138" s="217"/>
      <c r="AM138" s="217"/>
      <c r="AN138" s="217"/>
      <c r="AO138" s="217"/>
      <c r="AP138" s="217"/>
      <c r="AQ138" s="217"/>
    </row>
    <row r="139" spans="1:43" s="1" customFormat="1" ht="18" customHeight="1">
      <c r="A139" s="1061"/>
      <c r="B139" s="1061"/>
      <c r="C139" s="185"/>
      <c r="D139" s="185"/>
      <c r="E139" s="185"/>
      <c r="F139" s="185"/>
      <c r="G139" s="185"/>
      <c r="H139" s="224"/>
      <c r="I139" s="185"/>
      <c r="J139" s="185"/>
      <c r="K139" s="185"/>
      <c r="L139" s="185"/>
      <c r="M139" s="185"/>
      <c r="N139" s="185"/>
      <c r="O139" s="185"/>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row>
    <row r="140" spans="1:43" s="1" customFormat="1" ht="10.5" customHeight="1">
      <c r="A140" s="1071"/>
      <c r="B140" s="1071"/>
      <c r="C140" s="192"/>
      <c r="D140" s="185"/>
      <c r="E140" s="185"/>
      <c r="F140" s="185"/>
      <c r="G140" s="185"/>
      <c r="H140" s="224"/>
      <c r="I140" s="185"/>
      <c r="J140" s="185"/>
      <c r="K140" s="185"/>
      <c r="L140" s="185"/>
      <c r="M140" s="185"/>
      <c r="N140" s="185"/>
      <c r="O140" s="185"/>
      <c r="P140" s="217"/>
      <c r="Q140" s="217"/>
      <c r="R140" s="217"/>
      <c r="S140" s="217"/>
      <c r="T140" s="217"/>
      <c r="U140" s="217"/>
      <c r="V140" s="217"/>
      <c r="W140" s="217"/>
      <c r="X140" s="217"/>
      <c r="Y140" s="217"/>
      <c r="Z140" s="217"/>
      <c r="AA140" s="217"/>
      <c r="AB140" s="217"/>
      <c r="AC140" s="217"/>
      <c r="AD140" s="217"/>
      <c r="AE140" s="217"/>
      <c r="AF140" s="217"/>
      <c r="AG140" s="217"/>
      <c r="AH140" s="217"/>
      <c r="AI140" s="217"/>
      <c r="AJ140" s="217"/>
      <c r="AK140" s="217"/>
      <c r="AL140" s="217"/>
      <c r="AM140" s="217"/>
      <c r="AN140" s="217"/>
      <c r="AO140" s="217"/>
      <c r="AP140" s="217"/>
      <c r="AQ140" s="217"/>
    </row>
    <row r="141" spans="1:43" s="1" customFormat="1" ht="18" customHeight="1">
      <c r="A141" s="1071"/>
      <c r="B141" s="1071"/>
      <c r="C141" s="192"/>
      <c r="D141" s="185"/>
      <c r="E141" s="185"/>
      <c r="F141" s="185"/>
      <c r="G141" s="185"/>
      <c r="H141" s="185"/>
      <c r="I141" s="224"/>
      <c r="J141" s="224"/>
      <c r="K141" s="185"/>
      <c r="L141" s="185"/>
      <c r="M141" s="185"/>
      <c r="N141" s="185"/>
      <c r="O141" s="185"/>
      <c r="P141" s="217"/>
      <c r="Q141" s="217"/>
      <c r="R141" s="217"/>
      <c r="S141" s="217"/>
      <c r="T141" s="217"/>
      <c r="U141" s="217"/>
      <c r="V141" s="217"/>
      <c r="W141" s="217"/>
      <c r="X141" s="217"/>
      <c r="Y141" s="217"/>
      <c r="Z141" s="217"/>
      <c r="AA141" s="217"/>
      <c r="AB141" s="217"/>
      <c r="AC141" s="217"/>
      <c r="AD141" s="217"/>
      <c r="AE141" s="217"/>
      <c r="AF141" s="217"/>
      <c r="AG141" s="217"/>
      <c r="AH141" s="217"/>
      <c r="AI141" s="217"/>
      <c r="AJ141" s="217"/>
      <c r="AK141" s="217"/>
      <c r="AL141" s="217"/>
      <c r="AM141" s="217"/>
      <c r="AN141" s="217"/>
      <c r="AO141" s="217"/>
      <c r="AP141" s="217"/>
      <c r="AQ141" s="217"/>
    </row>
    <row r="142" spans="1:43" s="1" customFormat="1" ht="10.5" customHeight="1">
      <c r="A142" s="1071"/>
      <c r="B142" s="1071"/>
      <c r="C142" s="3943"/>
      <c r="D142" s="3943"/>
      <c r="E142" s="3943"/>
      <c r="F142" s="3943"/>
      <c r="G142" s="3943"/>
      <c r="H142" s="185"/>
      <c r="I142" s="185"/>
      <c r="J142" s="233"/>
      <c r="K142" s="224"/>
      <c r="L142" s="185"/>
      <c r="M142" s="185"/>
      <c r="N142" s="185"/>
      <c r="O142" s="185"/>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K142" s="217"/>
      <c r="AL142" s="217"/>
      <c r="AM142" s="217"/>
      <c r="AN142" s="217"/>
      <c r="AO142" s="217"/>
      <c r="AP142" s="217"/>
      <c r="AQ142" s="217"/>
    </row>
    <row r="143" spans="1:43" s="1" customFormat="1" ht="19.5" customHeight="1">
      <c r="A143" s="1073"/>
      <c r="B143" s="1073"/>
      <c r="C143" s="224"/>
      <c r="D143" s="224"/>
      <c r="E143" s="224"/>
      <c r="F143" s="224"/>
      <c r="G143" s="224"/>
      <c r="H143" s="185"/>
      <c r="I143" s="185"/>
      <c r="J143" s="185"/>
      <c r="K143" s="185"/>
      <c r="L143" s="224"/>
      <c r="M143" s="185"/>
      <c r="N143" s="185"/>
      <c r="O143" s="185"/>
      <c r="P143" s="217"/>
      <c r="Q143" s="217"/>
      <c r="R143" s="217"/>
      <c r="S143" s="217"/>
      <c r="T143" s="217"/>
      <c r="U143" s="217"/>
      <c r="V143" s="217"/>
      <c r="W143" s="217"/>
      <c r="X143" s="217"/>
      <c r="Y143" s="217"/>
      <c r="Z143" s="217"/>
      <c r="AA143" s="217"/>
      <c r="AB143" s="217"/>
      <c r="AC143" s="217"/>
      <c r="AD143" s="217"/>
      <c r="AE143" s="217"/>
      <c r="AF143" s="217"/>
      <c r="AG143" s="217"/>
      <c r="AH143" s="217"/>
      <c r="AI143" s="217"/>
      <c r="AJ143" s="217"/>
      <c r="AK143" s="217"/>
      <c r="AL143" s="217"/>
      <c r="AM143" s="217"/>
      <c r="AN143" s="217"/>
      <c r="AO143" s="217"/>
      <c r="AP143" s="217"/>
      <c r="AQ143" s="217"/>
    </row>
    <row r="144" spans="1:43" s="1" customFormat="1" ht="10.5" customHeight="1">
      <c r="A144" s="1073"/>
      <c r="B144" s="1073"/>
      <c r="C144" s="1072"/>
      <c r="D144" s="224"/>
      <c r="E144" s="1072"/>
      <c r="F144" s="224"/>
      <c r="G144" s="1072"/>
      <c r="H144" s="185"/>
      <c r="I144" s="185"/>
      <c r="J144" s="185"/>
      <c r="K144" s="185"/>
      <c r="L144" s="185"/>
      <c r="M144" s="185"/>
      <c r="N144" s="185"/>
      <c r="O144" s="185"/>
      <c r="P144" s="217"/>
      <c r="Q144" s="217"/>
      <c r="R144" s="217"/>
      <c r="S144" s="217"/>
      <c r="T144" s="217"/>
      <c r="U144" s="217"/>
      <c r="V144" s="217"/>
      <c r="W144" s="217"/>
      <c r="X144" s="217"/>
      <c r="Y144" s="217"/>
      <c r="Z144" s="217"/>
      <c r="AA144" s="217"/>
      <c r="AB144" s="217"/>
      <c r="AC144" s="217"/>
      <c r="AD144" s="217"/>
      <c r="AE144" s="217"/>
      <c r="AF144" s="217"/>
      <c r="AG144" s="217"/>
      <c r="AH144" s="217"/>
      <c r="AI144" s="217"/>
      <c r="AJ144" s="217"/>
      <c r="AK144" s="217"/>
      <c r="AL144" s="217"/>
      <c r="AM144" s="217"/>
      <c r="AN144" s="217"/>
      <c r="AO144" s="217"/>
      <c r="AP144" s="217"/>
      <c r="AQ144" s="217"/>
    </row>
    <row r="145" spans="1:43" s="1" customFormat="1" ht="19.5" customHeight="1">
      <c r="A145" s="185"/>
      <c r="B145" s="185"/>
      <c r="C145" s="185"/>
      <c r="D145" s="185"/>
      <c r="E145" s="185"/>
      <c r="F145" s="185"/>
      <c r="G145" s="185"/>
      <c r="H145" s="185"/>
      <c r="I145" s="185"/>
      <c r="J145" s="185"/>
      <c r="K145" s="185"/>
      <c r="L145" s="185"/>
      <c r="M145" s="185"/>
      <c r="N145" s="185"/>
      <c r="O145" s="185"/>
      <c r="P145" s="185"/>
      <c r="Q145" s="185"/>
      <c r="R145" s="185"/>
      <c r="S145" s="185"/>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row>
    <row r="146" spans="1:43" s="1" customFormat="1" ht="10.5" customHeight="1">
      <c r="A146" s="185"/>
      <c r="B146" s="185"/>
      <c r="C146" s="1072"/>
      <c r="D146" s="224"/>
      <c r="E146" s="1072"/>
      <c r="F146" s="233"/>
      <c r="H146" s="185"/>
      <c r="I146" s="185"/>
      <c r="J146" s="185"/>
      <c r="K146" s="185"/>
      <c r="L146" s="185"/>
      <c r="M146" s="185"/>
      <c r="N146" s="185"/>
      <c r="O146" s="185"/>
      <c r="P146" s="185"/>
      <c r="Q146" s="185"/>
      <c r="R146" s="185"/>
      <c r="S146" s="185"/>
      <c r="T146" s="217"/>
      <c r="U146" s="217"/>
      <c r="V146" s="217"/>
      <c r="W146" s="217"/>
      <c r="X146" s="217"/>
      <c r="Y146" s="217"/>
      <c r="Z146" s="217"/>
      <c r="AA146" s="217"/>
      <c r="AB146" s="217"/>
      <c r="AC146" s="217"/>
      <c r="AD146" s="217"/>
      <c r="AE146" s="217"/>
      <c r="AF146" s="217"/>
      <c r="AG146" s="217"/>
      <c r="AH146" s="217"/>
      <c r="AI146" s="217"/>
      <c r="AJ146" s="217"/>
      <c r="AK146" s="217"/>
      <c r="AL146" s="217"/>
      <c r="AM146" s="217"/>
      <c r="AN146" s="217"/>
      <c r="AO146" s="217"/>
      <c r="AP146" s="217"/>
      <c r="AQ146" s="217"/>
    </row>
    <row r="147" spans="1:43" s="1" customFormat="1" ht="32.25" customHeight="1">
      <c r="A147" s="185"/>
      <c r="B147" s="185"/>
      <c r="C147" s="185"/>
      <c r="D147" s="185"/>
      <c r="E147" s="185"/>
      <c r="F147" s="185"/>
      <c r="G147" s="185"/>
      <c r="H147" s="201"/>
      <c r="I147" s="185"/>
      <c r="J147" s="185"/>
      <c r="K147" s="185"/>
      <c r="L147" s="185"/>
      <c r="M147" s="185"/>
      <c r="N147" s="185"/>
      <c r="O147" s="185"/>
      <c r="P147" s="185"/>
      <c r="Q147" s="185"/>
      <c r="R147" s="185"/>
      <c r="S147" s="185"/>
      <c r="T147" s="217"/>
      <c r="U147" s="217"/>
      <c r="V147" s="217"/>
      <c r="W147" s="217"/>
      <c r="X147" s="217"/>
      <c r="Y147" s="217"/>
      <c r="Z147" s="217"/>
      <c r="AA147" s="217"/>
      <c r="AB147" s="217"/>
      <c r="AC147" s="217"/>
      <c r="AD147" s="217"/>
      <c r="AE147" s="217"/>
      <c r="AF147" s="217"/>
      <c r="AG147" s="217"/>
      <c r="AH147" s="217"/>
      <c r="AI147" s="217"/>
      <c r="AJ147" s="217"/>
      <c r="AK147" s="217"/>
      <c r="AL147" s="217"/>
      <c r="AM147" s="217"/>
      <c r="AN147" s="217"/>
      <c r="AO147" s="217"/>
      <c r="AP147" s="217"/>
      <c r="AQ147" s="217"/>
    </row>
    <row r="148" spans="1:43" s="1" customFormat="1" ht="10.5" customHeight="1">
      <c r="A148" s="1074"/>
      <c r="B148" s="1074"/>
      <c r="C148" s="3933"/>
      <c r="D148" s="3944"/>
      <c r="E148" s="3944"/>
      <c r="F148" s="3944"/>
      <c r="G148" s="3944"/>
      <c r="H148" s="185"/>
      <c r="I148" s="185"/>
      <c r="J148" s="185"/>
      <c r="K148" s="185"/>
      <c r="L148" s="185"/>
      <c r="M148" s="185"/>
      <c r="N148" s="185"/>
      <c r="O148" s="185"/>
      <c r="P148" s="185"/>
      <c r="Q148" s="185"/>
      <c r="R148" s="185"/>
      <c r="S148" s="185"/>
      <c r="T148" s="217"/>
      <c r="U148" s="217"/>
      <c r="V148" s="217"/>
      <c r="W148" s="217"/>
      <c r="X148" s="217"/>
      <c r="Y148" s="217"/>
      <c r="Z148" s="217"/>
      <c r="AA148" s="217"/>
      <c r="AB148" s="217"/>
      <c r="AC148" s="217"/>
      <c r="AD148" s="217"/>
      <c r="AE148" s="217"/>
      <c r="AF148" s="217"/>
      <c r="AG148" s="217"/>
      <c r="AH148" s="217"/>
      <c r="AI148" s="217"/>
      <c r="AJ148" s="217"/>
      <c r="AK148" s="217"/>
      <c r="AL148" s="217"/>
      <c r="AM148" s="217"/>
      <c r="AN148" s="217"/>
      <c r="AO148" s="217"/>
      <c r="AP148" s="217"/>
      <c r="AQ148" s="217"/>
    </row>
    <row r="149" spans="1:43" s="1" customFormat="1" ht="19.5" customHeight="1">
      <c r="A149" s="1074"/>
      <c r="B149" s="1074"/>
      <c r="C149" s="285"/>
      <c r="D149" s="217"/>
      <c r="E149" s="217"/>
      <c r="F149" s="217"/>
      <c r="G149" s="217"/>
      <c r="H149" s="185"/>
      <c r="I149" s="185"/>
      <c r="J149" s="185"/>
      <c r="K149" s="185"/>
      <c r="L149" s="185"/>
      <c r="M149" s="185"/>
      <c r="N149" s="185"/>
      <c r="O149" s="185"/>
      <c r="P149" s="185"/>
      <c r="Q149" s="185"/>
      <c r="R149" s="185"/>
      <c r="S149" s="185"/>
      <c r="T149" s="217"/>
      <c r="U149" s="217"/>
      <c r="V149" s="217"/>
      <c r="W149" s="217"/>
      <c r="X149" s="217"/>
      <c r="Y149" s="217"/>
      <c r="Z149" s="217"/>
      <c r="AA149" s="217"/>
      <c r="AB149" s="217"/>
      <c r="AC149" s="217"/>
      <c r="AD149" s="217"/>
      <c r="AE149" s="217"/>
      <c r="AF149" s="217"/>
      <c r="AG149" s="217"/>
      <c r="AH149" s="217"/>
      <c r="AI149" s="217"/>
      <c r="AJ149" s="217"/>
      <c r="AK149" s="217"/>
      <c r="AL149" s="217"/>
      <c r="AM149" s="217"/>
      <c r="AN149" s="217"/>
      <c r="AO149" s="217"/>
      <c r="AP149" s="217"/>
      <c r="AQ149" s="217"/>
    </row>
    <row r="150" spans="1:43" s="1" customFormat="1" ht="10.5" customHeight="1">
      <c r="A150" s="1071"/>
      <c r="B150" s="1071"/>
      <c r="C150" s="1072"/>
      <c r="D150" s="224"/>
      <c r="E150" s="1072"/>
      <c r="F150" s="224"/>
      <c r="G150" s="1072"/>
      <c r="H150" s="185"/>
      <c r="I150" s="185"/>
      <c r="J150" s="185"/>
      <c r="K150" s="185"/>
      <c r="L150" s="185"/>
      <c r="M150" s="185"/>
      <c r="N150" s="185"/>
      <c r="O150" s="185"/>
      <c r="P150" s="185"/>
      <c r="Q150" s="185"/>
      <c r="R150" s="185"/>
      <c r="S150" s="185"/>
      <c r="T150" s="217"/>
      <c r="U150" s="217"/>
      <c r="V150" s="217"/>
      <c r="W150" s="217"/>
      <c r="X150" s="217"/>
      <c r="Y150" s="217"/>
      <c r="Z150" s="217"/>
      <c r="AA150" s="217"/>
      <c r="AB150" s="217"/>
      <c r="AC150" s="217"/>
      <c r="AD150" s="217"/>
      <c r="AE150" s="217"/>
      <c r="AF150" s="217"/>
      <c r="AG150" s="217"/>
      <c r="AH150" s="217"/>
      <c r="AI150" s="217"/>
      <c r="AJ150" s="217"/>
      <c r="AK150" s="217"/>
      <c r="AL150" s="217"/>
      <c r="AM150" s="217"/>
      <c r="AN150" s="217"/>
      <c r="AO150" s="217"/>
      <c r="AP150" s="217"/>
      <c r="AQ150" s="217"/>
    </row>
    <row r="151" spans="1:43" s="1" customFormat="1" ht="28.5" customHeight="1">
      <c r="A151" s="185"/>
      <c r="B151" s="185"/>
      <c r="C151" s="185"/>
      <c r="D151" s="185"/>
      <c r="E151" s="185"/>
      <c r="F151" s="185"/>
      <c r="G151" s="185"/>
      <c r="H151" s="197"/>
      <c r="I151" s="185"/>
      <c r="J151" s="185"/>
      <c r="K151" s="185"/>
      <c r="L151" s="185"/>
      <c r="M151" s="185"/>
      <c r="N151" s="185"/>
      <c r="O151" s="185"/>
      <c r="P151" s="185"/>
      <c r="Q151" s="185"/>
      <c r="R151" s="185"/>
      <c r="S151" s="185"/>
      <c r="T151" s="217"/>
      <c r="U151" s="217"/>
      <c r="V151" s="217"/>
      <c r="W151" s="217"/>
      <c r="X151" s="217"/>
      <c r="Y151" s="217"/>
      <c r="Z151" s="217"/>
      <c r="AA151" s="217"/>
      <c r="AB151" s="217"/>
      <c r="AC151" s="217"/>
      <c r="AD151" s="217"/>
      <c r="AE151" s="217"/>
      <c r="AF151" s="217"/>
      <c r="AG151" s="217"/>
      <c r="AH151" s="217"/>
      <c r="AI151" s="217"/>
      <c r="AJ151" s="217"/>
      <c r="AK151" s="217"/>
      <c r="AL151" s="217"/>
      <c r="AM151" s="217"/>
      <c r="AN151" s="217"/>
      <c r="AO151" s="217"/>
      <c r="AP151" s="217"/>
      <c r="AQ151" s="217"/>
    </row>
    <row r="152" spans="1:43" s="1" customFormat="1" ht="10.5" customHeight="1">
      <c r="A152" s="1074"/>
      <c r="B152" s="1074"/>
      <c r="C152" s="3933"/>
      <c r="D152" s="3958"/>
      <c r="E152" s="3958"/>
      <c r="F152" s="3958"/>
      <c r="G152" s="3958"/>
      <c r="H152" s="197"/>
      <c r="I152" s="185"/>
      <c r="J152" s="185"/>
      <c r="K152" s="185"/>
      <c r="L152" s="185"/>
      <c r="M152" s="185"/>
      <c r="N152" s="185"/>
      <c r="O152" s="185"/>
      <c r="P152" s="185"/>
      <c r="Q152" s="185"/>
      <c r="R152" s="185"/>
      <c r="S152" s="185"/>
      <c r="T152" s="217"/>
      <c r="U152" s="217"/>
      <c r="V152" s="217"/>
      <c r="W152" s="217"/>
      <c r="X152" s="217"/>
      <c r="Y152" s="217"/>
      <c r="Z152" s="217"/>
      <c r="AA152" s="217"/>
      <c r="AB152" s="217"/>
      <c r="AC152" s="217"/>
      <c r="AD152" s="217"/>
      <c r="AE152" s="217"/>
      <c r="AF152" s="217"/>
      <c r="AG152" s="217"/>
      <c r="AH152" s="217"/>
      <c r="AI152" s="217"/>
      <c r="AJ152" s="217"/>
      <c r="AK152" s="217"/>
      <c r="AL152" s="217"/>
      <c r="AM152" s="217"/>
      <c r="AN152" s="217"/>
      <c r="AO152" s="217"/>
      <c r="AP152" s="217"/>
      <c r="AQ152" s="217"/>
    </row>
    <row r="153" spans="1:43" s="1" customFormat="1" ht="19.5" customHeight="1">
      <c r="A153" s="1074"/>
      <c r="B153" s="1074"/>
      <c r="C153" s="285"/>
      <c r="D153" s="217"/>
      <c r="E153" s="217"/>
      <c r="F153" s="217"/>
      <c r="G153" s="217"/>
      <c r="H153" s="185"/>
      <c r="I153" s="185"/>
      <c r="J153" s="185"/>
      <c r="K153" s="185"/>
      <c r="L153" s="185"/>
      <c r="M153" s="185"/>
      <c r="N153" s="185"/>
      <c r="O153" s="185"/>
      <c r="P153" s="185"/>
      <c r="Q153" s="185"/>
      <c r="R153" s="185"/>
      <c r="S153" s="185"/>
      <c r="T153" s="217"/>
      <c r="U153" s="217"/>
      <c r="V153" s="217"/>
      <c r="W153" s="217"/>
      <c r="X153" s="217"/>
      <c r="Y153" s="217"/>
      <c r="Z153" s="217"/>
      <c r="AA153" s="217"/>
      <c r="AB153" s="217"/>
      <c r="AC153" s="217"/>
      <c r="AD153" s="217"/>
      <c r="AE153" s="217"/>
      <c r="AF153" s="217"/>
      <c r="AG153" s="217"/>
      <c r="AH153" s="217"/>
      <c r="AI153" s="217"/>
      <c r="AJ153" s="217"/>
      <c r="AK153" s="217"/>
      <c r="AL153" s="217"/>
      <c r="AM153" s="217"/>
      <c r="AN153" s="217"/>
      <c r="AO153" s="217"/>
      <c r="AP153" s="217"/>
      <c r="AQ153" s="217"/>
    </row>
    <row r="154" spans="1:43" s="1" customFormat="1" ht="10.5" customHeight="1">
      <c r="A154" s="1071"/>
      <c r="B154" s="1071"/>
      <c r="C154" s="1072"/>
      <c r="D154" s="224"/>
      <c r="E154" s="1072"/>
      <c r="F154" s="224"/>
      <c r="G154" s="1072"/>
      <c r="H154" s="185"/>
      <c r="I154" s="185"/>
      <c r="J154" s="185"/>
      <c r="K154" s="185"/>
      <c r="L154" s="185"/>
      <c r="M154" s="185"/>
      <c r="N154" s="185"/>
      <c r="O154" s="185"/>
      <c r="P154" s="185"/>
      <c r="Q154" s="185"/>
      <c r="R154" s="185"/>
      <c r="S154" s="185"/>
      <c r="T154" s="217"/>
      <c r="U154" s="217"/>
      <c r="V154" s="217"/>
      <c r="W154" s="217"/>
      <c r="X154" s="217"/>
      <c r="Y154" s="217"/>
      <c r="Z154" s="217"/>
      <c r="AA154" s="217"/>
      <c r="AB154" s="217"/>
      <c r="AC154" s="217"/>
      <c r="AD154" s="217"/>
      <c r="AE154" s="217"/>
      <c r="AF154" s="217"/>
      <c r="AG154" s="217"/>
      <c r="AH154" s="217"/>
      <c r="AI154" s="217"/>
      <c r="AJ154" s="217"/>
      <c r="AK154" s="217"/>
      <c r="AL154" s="217"/>
      <c r="AM154" s="217"/>
      <c r="AN154" s="217"/>
      <c r="AO154" s="217"/>
      <c r="AP154" s="217"/>
      <c r="AQ154" s="217"/>
    </row>
    <row r="155" spans="1:43" s="1" customFormat="1" ht="18" customHeight="1">
      <c r="A155" s="185"/>
      <c r="B155" s="185"/>
      <c r="C155" s="185"/>
      <c r="D155" s="185"/>
      <c r="E155" s="185"/>
      <c r="F155" s="197"/>
      <c r="G155" s="185"/>
      <c r="H155" s="185"/>
      <c r="I155" s="185"/>
      <c r="J155" s="185"/>
      <c r="K155" s="185"/>
      <c r="L155" s="185"/>
      <c r="M155" s="185"/>
      <c r="N155" s="185"/>
      <c r="O155" s="185"/>
      <c r="P155" s="185"/>
      <c r="Q155" s="185"/>
      <c r="R155" s="185"/>
      <c r="S155" s="185"/>
      <c r="T155" s="217"/>
      <c r="U155" s="217"/>
      <c r="V155" s="217"/>
      <c r="W155" s="217"/>
      <c r="X155" s="217"/>
      <c r="Y155" s="217"/>
      <c r="Z155" s="217"/>
      <c r="AA155" s="217"/>
      <c r="AB155" s="217"/>
      <c r="AC155" s="217"/>
      <c r="AD155" s="217"/>
      <c r="AE155" s="217"/>
      <c r="AF155" s="217"/>
      <c r="AG155" s="217"/>
      <c r="AH155" s="217"/>
      <c r="AI155" s="217"/>
      <c r="AJ155" s="217"/>
      <c r="AK155" s="217"/>
      <c r="AL155" s="217"/>
      <c r="AM155" s="217"/>
      <c r="AN155" s="217"/>
      <c r="AO155" s="217"/>
      <c r="AP155" s="217"/>
      <c r="AQ155" s="217"/>
    </row>
    <row r="156" spans="1:43" s="1" customFormat="1" ht="10.5" customHeight="1">
      <c r="A156" s="1071"/>
      <c r="B156" s="1071"/>
      <c r="C156" s="185"/>
      <c r="D156" s="185"/>
      <c r="E156" s="185"/>
      <c r="F156" s="185"/>
      <c r="G156" s="185"/>
      <c r="H156" s="185"/>
      <c r="I156" s="185"/>
      <c r="J156" s="185"/>
      <c r="K156" s="185"/>
      <c r="L156" s="185"/>
      <c r="M156" s="185"/>
      <c r="N156" s="185"/>
      <c r="O156" s="185"/>
      <c r="P156" s="185"/>
      <c r="Q156" s="185"/>
      <c r="R156" s="185"/>
      <c r="S156" s="185"/>
      <c r="T156" s="217"/>
      <c r="U156" s="217"/>
      <c r="V156" s="217"/>
      <c r="W156" s="217"/>
      <c r="X156" s="217"/>
      <c r="Y156" s="217"/>
      <c r="Z156" s="217"/>
      <c r="AA156" s="217"/>
      <c r="AB156" s="217"/>
      <c r="AC156" s="217"/>
      <c r="AD156" s="217"/>
      <c r="AE156" s="217"/>
      <c r="AF156" s="217"/>
      <c r="AG156" s="217"/>
      <c r="AH156" s="217"/>
      <c r="AI156" s="217"/>
      <c r="AJ156" s="217"/>
      <c r="AK156" s="217"/>
      <c r="AL156" s="217"/>
      <c r="AM156" s="217"/>
      <c r="AN156" s="217"/>
      <c r="AO156" s="217"/>
      <c r="AP156" s="217"/>
      <c r="AQ156" s="217"/>
    </row>
    <row r="157" spans="1:43" s="1" customFormat="1" ht="19.5" customHeight="1">
      <c r="A157" s="1071"/>
      <c r="B157" s="1071"/>
      <c r="C157" s="185"/>
      <c r="D157" s="185"/>
      <c r="E157" s="185"/>
      <c r="F157" s="185"/>
      <c r="G157" s="185"/>
      <c r="H157" s="185"/>
      <c r="I157" s="185"/>
      <c r="J157" s="185"/>
      <c r="K157" s="185"/>
      <c r="L157" s="185"/>
      <c r="M157" s="185"/>
      <c r="N157" s="185"/>
      <c r="O157" s="185"/>
      <c r="P157" s="185"/>
      <c r="Q157" s="185"/>
      <c r="R157" s="185"/>
      <c r="S157" s="185"/>
      <c r="T157" s="217"/>
      <c r="U157" s="217"/>
      <c r="V157" s="217"/>
      <c r="W157" s="217"/>
      <c r="X157" s="217"/>
      <c r="Y157" s="217"/>
      <c r="Z157" s="217"/>
      <c r="AA157" s="217"/>
      <c r="AB157" s="217"/>
      <c r="AC157" s="217"/>
      <c r="AD157" s="217"/>
      <c r="AE157" s="217"/>
      <c r="AF157" s="217"/>
      <c r="AG157" s="217"/>
      <c r="AH157" s="217"/>
      <c r="AI157" s="217"/>
      <c r="AJ157" s="217"/>
      <c r="AK157" s="217"/>
      <c r="AL157" s="217"/>
      <c r="AM157" s="217"/>
      <c r="AN157" s="217"/>
      <c r="AO157" s="217"/>
      <c r="AP157" s="217"/>
      <c r="AQ157" s="217"/>
    </row>
    <row r="158" spans="1:43" ht="10.5" customHeight="1">
      <c r="A158" s="813"/>
      <c r="B158" s="813"/>
      <c r="C158" s="814"/>
      <c r="D158" s="812"/>
      <c r="E158" s="814"/>
      <c r="F158" s="812"/>
      <c r="G158" s="814"/>
      <c r="H158" s="815"/>
      <c r="I158" s="221"/>
      <c r="J158" s="221"/>
      <c r="K158" s="221"/>
      <c r="L158" s="221"/>
      <c r="M158" s="221"/>
      <c r="N158" s="221"/>
      <c r="O158" s="221"/>
      <c r="P158" s="221"/>
      <c r="Q158" s="221"/>
      <c r="R158" s="221"/>
      <c r="S158" s="221"/>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row>
    <row r="159" spans="1:43">
      <c r="A159" s="811"/>
      <c r="B159" s="811"/>
      <c r="C159" s="816"/>
      <c r="D159" s="221"/>
      <c r="E159" s="221"/>
      <c r="F159" s="221"/>
      <c r="G159" s="221"/>
      <c r="H159" s="221"/>
      <c r="I159" s="221"/>
      <c r="J159" s="221"/>
      <c r="K159" s="221"/>
      <c r="L159" s="221"/>
      <c r="M159" s="221"/>
      <c r="N159" s="221"/>
      <c r="O159" s="221"/>
      <c r="P159" s="221"/>
      <c r="Q159" s="221"/>
      <c r="R159" s="221"/>
      <c r="S159" s="221"/>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row>
    <row r="160" spans="1:43">
      <c r="A160" s="811"/>
      <c r="B160" s="811"/>
      <c r="C160" s="816"/>
      <c r="D160" s="221"/>
      <c r="E160" s="221"/>
      <c r="F160" s="221"/>
      <c r="G160" s="221"/>
      <c r="H160" s="212"/>
      <c r="I160" s="212"/>
      <c r="J160" s="212"/>
      <c r="K160" s="212"/>
      <c r="L160" s="212"/>
      <c r="M160" s="221"/>
      <c r="N160" s="221"/>
      <c r="O160" s="221"/>
      <c r="P160" s="221"/>
      <c r="Q160" s="221"/>
      <c r="R160" s="221"/>
      <c r="S160" s="221"/>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row>
    <row r="161" spans="1:43">
      <c r="A161" s="212"/>
      <c r="B161" s="212"/>
      <c r="C161" s="212"/>
      <c r="D161" s="212"/>
      <c r="E161" s="212"/>
      <c r="F161" s="212"/>
      <c r="G161" s="212"/>
      <c r="H161" s="212"/>
      <c r="I161" s="212"/>
      <c r="J161" s="212"/>
      <c r="K161" s="212"/>
      <c r="L161" s="212"/>
      <c r="M161" s="221"/>
      <c r="N161" s="221"/>
      <c r="O161" s="221"/>
      <c r="P161" s="221"/>
      <c r="Q161" s="221"/>
      <c r="R161" s="221"/>
      <c r="S161" s="221"/>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row>
    <row r="162" spans="1:43">
      <c r="A162" s="212"/>
      <c r="B162" s="212"/>
      <c r="C162" s="212"/>
      <c r="D162" s="212"/>
      <c r="E162" s="212"/>
      <c r="F162" s="212"/>
      <c r="G162" s="212"/>
      <c r="H162" s="212"/>
      <c r="I162" s="817"/>
      <c r="J162" s="212"/>
      <c r="K162" s="212"/>
      <c r="L162" s="212"/>
      <c r="M162" s="221"/>
      <c r="N162" s="221"/>
      <c r="O162" s="221"/>
      <c r="P162" s="221"/>
      <c r="Q162" s="221"/>
      <c r="R162" s="221"/>
      <c r="S162" s="221"/>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row>
    <row r="163" spans="1:43">
      <c r="A163" s="212"/>
      <c r="B163" s="212"/>
      <c r="C163" s="212"/>
      <c r="D163" s="212"/>
      <c r="E163" s="212"/>
      <c r="F163" s="212"/>
      <c r="G163" s="212"/>
      <c r="H163" s="212"/>
      <c r="I163" s="817"/>
      <c r="J163" s="212"/>
      <c r="K163" s="212"/>
      <c r="L163" s="212"/>
      <c r="M163" s="221"/>
      <c r="N163" s="221"/>
      <c r="O163" s="221"/>
      <c r="P163" s="221"/>
      <c r="Q163" s="221"/>
      <c r="R163" s="221"/>
      <c r="S163" s="221"/>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row>
    <row r="164" spans="1:43">
      <c r="A164" s="212"/>
      <c r="B164" s="212"/>
      <c r="C164" s="212"/>
      <c r="D164" s="212"/>
      <c r="E164" s="212"/>
      <c r="F164" s="212"/>
      <c r="G164" s="212"/>
      <c r="H164" s="212"/>
      <c r="I164" s="817"/>
      <c r="K164" s="212"/>
      <c r="L164" s="212"/>
      <c r="M164" s="221"/>
      <c r="N164" s="221"/>
      <c r="O164" s="221"/>
      <c r="P164" s="221"/>
      <c r="Q164" s="221"/>
      <c r="R164" s="221"/>
      <c r="S164" s="221"/>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row>
    <row r="165" spans="1:43">
      <c r="A165" s="212"/>
      <c r="B165" s="212"/>
      <c r="C165" s="212"/>
      <c r="D165" s="212"/>
      <c r="E165" s="212"/>
      <c r="F165" s="212"/>
      <c r="G165" s="212"/>
      <c r="H165" s="212"/>
      <c r="I165" s="817"/>
      <c r="J165" s="221"/>
      <c r="K165" s="212"/>
      <c r="L165" s="212"/>
      <c r="M165" s="221"/>
      <c r="N165" s="221"/>
      <c r="O165" s="221"/>
      <c r="P165" s="221"/>
      <c r="Q165" s="221"/>
      <c r="R165" s="221"/>
      <c r="S165" s="221"/>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row>
    <row r="166" spans="1:43">
      <c r="A166" s="212"/>
      <c r="B166" s="212"/>
      <c r="C166" s="212"/>
      <c r="D166" s="212"/>
      <c r="E166" s="212"/>
      <c r="F166" s="212"/>
      <c r="G166" s="212"/>
      <c r="H166" s="212"/>
      <c r="J166" s="212"/>
      <c r="K166" s="212"/>
      <c r="L166" s="212"/>
      <c r="M166" s="221"/>
      <c r="N166" s="221"/>
      <c r="O166" s="221"/>
      <c r="P166" s="221"/>
      <c r="Q166" s="221"/>
      <c r="R166" s="221"/>
      <c r="S166" s="221"/>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row>
    <row r="167" spans="1:43">
      <c r="A167" s="212"/>
      <c r="B167" s="212"/>
      <c r="C167" s="212"/>
      <c r="D167" s="212"/>
      <c r="E167" s="212"/>
      <c r="F167" s="212"/>
      <c r="G167" s="212"/>
    </row>
  </sheetData>
  <sheetProtection sheet="1" objects="1" scenarios="1"/>
  <mergeCells count="41">
    <mergeCell ref="C152:G152"/>
    <mergeCell ref="B4:D4"/>
    <mergeCell ref="E4:F4"/>
    <mergeCell ref="B39:E39"/>
    <mergeCell ref="E119:G119"/>
    <mergeCell ref="C123:F124"/>
    <mergeCell ref="C125:G126"/>
    <mergeCell ref="C137:G138"/>
    <mergeCell ref="C142:G142"/>
    <mergeCell ref="C148:G148"/>
    <mergeCell ref="C91:G91"/>
    <mergeCell ref="F98:G99"/>
    <mergeCell ref="F100:G100"/>
    <mergeCell ref="A101:D101"/>
    <mergeCell ref="E104:G104"/>
    <mergeCell ref="E117:G117"/>
    <mergeCell ref="C85:G85"/>
    <mergeCell ref="B38:E38"/>
    <mergeCell ref="A40:B40"/>
    <mergeCell ref="A41:G41"/>
    <mergeCell ref="L46:M46"/>
    <mergeCell ref="C48:G48"/>
    <mergeCell ref="F50:G50"/>
    <mergeCell ref="C57:G57"/>
    <mergeCell ref="C61:F61"/>
    <mergeCell ref="F74:G74"/>
    <mergeCell ref="C75:G75"/>
    <mergeCell ref="C78:G79"/>
    <mergeCell ref="B36:E36"/>
    <mergeCell ref="D1:F1"/>
    <mergeCell ref="E2:F2"/>
    <mergeCell ref="H2:J2"/>
    <mergeCell ref="A6:E6"/>
    <mergeCell ref="G8:G9"/>
    <mergeCell ref="A17:C17"/>
    <mergeCell ref="E17:F17"/>
    <mergeCell ref="A19:C19"/>
    <mergeCell ref="A21:C21"/>
    <mergeCell ref="A23:C23"/>
    <mergeCell ref="A25:C25"/>
    <mergeCell ref="C32:E32"/>
  </mergeCells>
  <dataValidations disablePrompts="1" count="1">
    <dataValidation allowBlank="1" showInputMessage="1" showErrorMessage="1" promptTitle="20% minimum" prompt="This should incorporate potential growth in the system.  As peak to average flow ratio increases, peaking should increase. " sqref="F30" xr:uid="{3F827E2C-3EDB-4030-9D9D-4915918FD964}"/>
  </dataValidations>
  <pageMargins left="0.7" right="0.7" top="0.5" bottom="0.5" header="0.3" footer="0.3"/>
  <pageSetup orientation="portrait" blackAndWhite="1" verticalDpi="1200" r:id="rId1"/>
  <ignoredErrors>
    <ignoredError sqref="F34" unlockedFormula="1"/>
  </ignoredError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indexed="10"/>
  </sheetPr>
  <dimension ref="A1:BS100"/>
  <sheetViews>
    <sheetView showGridLines="0" view="pageBreakPreview" zoomScaleNormal="100" zoomScaleSheetLayoutView="100" workbookViewId="0">
      <selection activeCell="B4" sqref="B4"/>
    </sheetView>
  </sheetViews>
  <sheetFormatPr defaultColWidth="8.85546875" defaultRowHeight="12.75"/>
  <cols>
    <col min="1" max="1" width="9" customWidth="1"/>
    <col min="2" max="2" width="14" customWidth="1"/>
    <col min="3" max="3" width="16.140625" customWidth="1"/>
    <col min="4" max="4" width="17.85546875" customWidth="1"/>
    <col min="5" max="5" width="15.42578125" customWidth="1"/>
    <col min="6" max="6" width="15.140625" customWidth="1"/>
    <col min="12" max="12" width="12.28515625" style="1211" customWidth="1"/>
    <col min="13" max="13" width="19.28515625" style="1211" customWidth="1"/>
  </cols>
  <sheetData>
    <row r="1" spans="1:71" ht="54.95" customHeight="1">
      <c r="B1" s="325"/>
      <c r="C1" s="3971" t="s">
        <v>2327</v>
      </c>
      <c r="D1" s="3971"/>
      <c r="E1" s="3970"/>
      <c r="F1" s="3970"/>
      <c r="G1" s="107"/>
      <c r="H1" s="107"/>
      <c r="I1" s="107"/>
      <c r="J1" s="107"/>
      <c r="K1" s="107"/>
      <c r="L1" s="1212"/>
      <c r="M1" s="1212"/>
      <c r="N1" s="107"/>
      <c r="O1" s="107"/>
      <c r="P1" s="107"/>
      <c r="Q1" s="107"/>
      <c r="R1" s="107"/>
      <c r="S1" s="107"/>
      <c r="T1" s="107"/>
      <c r="U1" s="107"/>
      <c r="V1" s="107"/>
      <c r="W1" s="107"/>
      <c r="X1" s="107"/>
      <c r="Y1" s="107"/>
      <c r="Z1" s="326"/>
      <c r="AA1" s="326"/>
      <c r="AB1" s="326"/>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row>
    <row r="2" spans="1:71" ht="12.6" customHeight="1">
      <c r="B2" s="325"/>
      <c r="C2" s="470"/>
      <c r="D2" s="470"/>
      <c r="E2" s="469"/>
      <c r="F2" s="471" t="str">
        <f>'Drop-Down Lists'!A2</f>
        <v>v 05.01.2026</v>
      </c>
      <c r="G2" s="107"/>
      <c r="H2" s="107"/>
      <c r="I2" s="107"/>
      <c r="J2" s="107"/>
      <c r="K2" s="107"/>
      <c r="L2" s="1212"/>
      <c r="M2" s="1212"/>
      <c r="N2" s="107"/>
      <c r="O2" s="107"/>
      <c r="P2" s="107"/>
      <c r="Q2" s="107"/>
      <c r="R2" s="107"/>
      <c r="S2" s="107"/>
      <c r="T2" s="107"/>
      <c r="U2" s="107"/>
      <c r="V2" s="107"/>
      <c r="W2" s="107"/>
      <c r="X2" s="107"/>
      <c r="Y2" s="107"/>
      <c r="Z2" s="326"/>
      <c r="AA2" s="326"/>
      <c r="AB2" s="326"/>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row>
    <row r="3" spans="1:71" ht="45">
      <c r="A3" s="462" t="s">
        <v>2328</v>
      </c>
      <c r="B3" s="462" t="s">
        <v>2329</v>
      </c>
      <c r="C3" s="462" t="s">
        <v>2330</v>
      </c>
      <c r="D3" s="462" t="s">
        <v>2331</v>
      </c>
      <c r="E3" s="462" t="s">
        <v>2332</v>
      </c>
      <c r="F3" s="462" t="s">
        <v>2333</v>
      </c>
      <c r="G3" s="108"/>
      <c r="H3" s="108"/>
      <c r="I3" s="108"/>
      <c r="J3" s="108"/>
      <c r="K3" s="108"/>
      <c r="L3" s="1213"/>
      <c r="M3" s="1213"/>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row>
    <row r="4" spans="1:71" ht="18">
      <c r="A4" s="109">
        <v>1</v>
      </c>
      <c r="B4" s="730"/>
      <c r="C4" s="730"/>
      <c r="D4" s="1210" t="str">
        <f>IF(ISBLANK(B4)," ",IF(C4="I",(B4*150),IF(C4="II",((B4+1)*75),(IF(C4="III",(((B4)+1)*38)+66)))))</f>
        <v xml:space="preserve"> </v>
      </c>
      <c r="E4" s="731"/>
      <c r="F4" s="463" t="str">
        <f>IF(ISBLANK(B4),"",D4*E4)</f>
        <v/>
      </c>
      <c r="G4" s="108"/>
      <c r="L4" s="3973" t="s">
        <v>2334</v>
      </c>
      <c r="M4" s="3972" t="s">
        <v>2335</v>
      </c>
      <c r="Q4" s="108"/>
      <c r="AA4" s="108"/>
      <c r="AB4" s="108"/>
      <c r="AC4" s="112"/>
      <c r="AD4" s="110"/>
      <c r="AE4" s="110"/>
      <c r="AF4" s="110"/>
      <c r="AG4" s="110"/>
      <c r="AH4" s="110"/>
      <c r="AI4" s="110"/>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row>
    <row r="5" spans="1:71" ht="18">
      <c r="A5" s="109">
        <v>2</v>
      </c>
      <c r="B5" s="730"/>
      <c r="C5" s="730"/>
      <c r="D5" s="1210" t="str">
        <f t="shared" ref="D5:D33" si="0">IF(ISBLANK(C5)," ",IF(C5="I",(B5*150),IF(C5="II",((B5+1)*75),(IF(C5="III",(((B5)+1)*38)+66)))))</f>
        <v xml:space="preserve"> </v>
      </c>
      <c r="E5" s="731"/>
      <c r="F5" s="463" t="str">
        <f t="shared" ref="F5:F33" si="1">IF(ISBLANK(B5),"",D5*E5)</f>
        <v/>
      </c>
      <c r="G5" s="108"/>
      <c r="L5" s="3973"/>
      <c r="M5" s="3972"/>
      <c r="Q5" s="108"/>
      <c r="T5" s="556"/>
      <c r="AA5" s="108"/>
      <c r="AB5" s="108"/>
      <c r="AC5" s="108"/>
      <c r="AD5" s="110"/>
      <c r="AE5" s="110"/>
      <c r="AF5" s="110"/>
      <c r="AG5" s="110"/>
      <c r="AH5" s="110"/>
      <c r="AI5" s="110"/>
      <c r="AJ5" s="108"/>
      <c r="AK5" s="108"/>
      <c r="AL5" s="108"/>
      <c r="AM5" s="108"/>
      <c r="AN5" s="108"/>
      <c r="AO5" s="108"/>
      <c r="AP5" s="108"/>
      <c r="AQ5" s="108"/>
      <c r="AR5" s="108"/>
      <c r="AS5" s="108"/>
      <c r="AT5" s="108"/>
      <c r="AU5" s="108"/>
      <c r="AV5" s="108"/>
      <c r="AW5" s="108"/>
      <c r="AX5" s="108"/>
      <c r="AY5" s="108"/>
      <c r="AZ5" s="108"/>
      <c r="BA5" s="108"/>
      <c r="BB5" s="108"/>
      <c r="BC5" s="108"/>
      <c r="BD5" s="108"/>
      <c r="BE5" s="108"/>
      <c r="BF5" s="108"/>
      <c r="BG5" s="108"/>
      <c r="BH5" s="108"/>
      <c r="BI5" s="108"/>
      <c r="BJ5" s="108"/>
      <c r="BK5" s="108"/>
      <c r="BL5" s="108"/>
      <c r="BM5" s="108"/>
      <c r="BN5" s="108"/>
      <c r="BO5" s="108"/>
      <c r="BP5" s="108"/>
      <c r="BQ5" s="108"/>
      <c r="BR5" s="108"/>
      <c r="BS5" s="108"/>
    </row>
    <row r="6" spans="1:71" ht="18">
      <c r="A6" s="109">
        <v>3</v>
      </c>
      <c r="B6" s="730"/>
      <c r="C6" s="730"/>
      <c r="D6" s="1210" t="str">
        <f t="shared" si="0"/>
        <v xml:space="preserve"> </v>
      </c>
      <c r="E6" s="731"/>
      <c r="F6" s="463" t="str">
        <f t="shared" si="1"/>
        <v/>
      </c>
      <c r="G6" s="108"/>
      <c r="L6" s="1214" t="s">
        <v>118</v>
      </c>
      <c r="M6" s="1215">
        <v>150</v>
      </c>
      <c r="Q6" s="108"/>
      <c r="AA6" s="108"/>
      <c r="AB6" s="108"/>
      <c r="AC6" s="108"/>
      <c r="AD6" s="110"/>
      <c r="AE6" s="110"/>
      <c r="AF6" s="110"/>
      <c r="AG6" s="110"/>
      <c r="AH6" s="110"/>
      <c r="AI6" s="110"/>
      <c r="AJ6" s="108"/>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8"/>
      <c r="BN6" s="108"/>
      <c r="BO6" s="108"/>
      <c r="BP6" s="108"/>
      <c r="BQ6" s="108"/>
      <c r="BR6" s="108"/>
      <c r="BS6" s="108"/>
    </row>
    <row r="7" spans="1:71" ht="18">
      <c r="A7" s="109">
        <v>4</v>
      </c>
      <c r="B7" s="730"/>
      <c r="C7" s="730"/>
      <c r="D7" s="1210" t="str">
        <f t="shared" si="0"/>
        <v xml:space="preserve"> </v>
      </c>
      <c r="E7" s="731"/>
      <c r="F7" s="463" t="str">
        <f t="shared" si="1"/>
        <v/>
      </c>
      <c r="G7" s="108"/>
      <c r="L7" s="1214" t="s">
        <v>171</v>
      </c>
      <c r="M7" s="1214" t="s">
        <v>2336</v>
      </c>
      <c r="Q7" s="108"/>
      <c r="AA7" s="108"/>
      <c r="AB7" s="108"/>
      <c r="AC7" s="108"/>
      <c r="AD7" s="110"/>
      <c r="AE7" s="110"/>
      <c r="AF7" s="110"/>
      <c r="AG7" s="110"/>
      <c r="AH7" s="110"/>
      <c r="AI7" s="110"/>
      <c r="AJ7" s="108"/>
      <c r="AK7" s="108"/>
      <c r="AL7" s="108"/>
      <c r="AM7" s="108"/>
      <c r="AN7" s="108"/>
      <c r="AO7" s="108"/>
      <c r="AP7" s="108"/>
      <c r="AQ7" s="108"/>
      <c r="AR7" s="108"/>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row>
    <row r="8" spans="1:71" ht="18">
      <c r="A8" s="109">
        <v>5</v>
      </c>
      <c r="B8" s="730"/>
      <c r="C8" s="730"/>
      <c r="D8" s="1210" t="str">
        <f t="shared" si="0"/>
        <v xml:space="preserve"> </v>
      </c>
      <c r="E8" s="731"/>
      <c r="F8" s="463" t="str">
        <f t="shared" si="1"/>
        <v/>
      </c>
      <c r="G8" s="108"/>
      <c r="L8" s="1214" t="s">
        <v>223</v>
      </c>
      <c r="M8" s="1214" t="s">
        <v>2337</v>
      </c>
      <c r="Q8" s="108"/>
      <c r="Z8" s="108"/>
      <c r="AA8" s="108"/>
      <c r="AB8" s="108"/>
      <c r="AC8" s="110"/>
      <c r="AD8" s="110"/>
      <c r="AE8" s="110"/>
      <c r="AF8" s="110"/>
      <c r="AG8" s="110"/>
      <c r="AH8" s="110"/>
      <c r="AI8" s="108"/>
      <c r="AJ8" s="108"/>
      <c r="AK8" s="108"/>
      <c r="AL8" s="108"/>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row>
    <row r="9" spans="1:71" ht="18">
      <c r="A9" s="109">
        <v>6</v>
      </c>
      <c r="B9" s="730"/>
      <c r="C9" s="730"/>
      <c r="D9" s="1210" t="str">
        <f t="shared" si="0"/>
        <v xml:space="preserve"> </v>
      </c>
      <c r="E9" s="731"/>
      <c r="F9" s="463" t="str">
        <f t="shared" si="1"/>
        <v/>
      </c>
      <c r="G9" s="108"/>
      <c r="L9" s="1214" t="s">
        <v>258</v>
      </c>
      <c r="M9" s="1216" t="s">
        <v>2338</v>
      </c>
      <c r="Q9" s="108"/>
      <c r="AA9" s="108"/>
      <c r="AB9" s="108"/>
      <c r="AC9" s="108"/>
      <c r="AD9" s="110"/>
      <c r="AE9" s="110"/>
      <c r="AF9" s="110"/>
      <c r="AG9" s="110"/>
      <c r="AH9" s="110"/>
      <c r="AI9" s="110"/>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row>
    <row r="10" spans="1:71" ht="18">
      <c r="A10" s="109">
        <v>7</v>
      </c>
      <c r="B10" s="730"/>
      <c r="C10" s="730"/>
      <c r="D10" s="1210" t="str">
        <f t="shared" si="0"/>
        <v xml:space="preserve"> </v>
      </c>
      <c r="E10" s="731"/>
      <c r="F10" s="463" t="str">
        <f t="shared" si="1"/>
        <v/>
      </c>
      <c r="G10" s="108"/>
      <c r="Q10" s="108"/>
      <c r="AA10" s="108"/>
      <c r="AB10" s="108"/>
      <c r="AC10" s="108"/>
      <c r="AD10" s="110"/>
      <c r="AE10" s="110"/>
      <c r="AF10" s="110"/>
      <c r="AG10" s="110"/>
      <c r="AH10" s="110"/>
      <c r="AI10" s="110"/>
      <c r="AJ10" s="108"/>
      <c r="AK10" s="108"/>
      <c r="AL10" s="108"/>
      <c r="AM10" s="108"/>
      <c r="AN10" s="108"/>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row>
    <row r="11" spans="1:71" ht="18">
      <c r="A11" s="109">
        <v>8</v>
      </c>
      <c r="B11" s="730"/>
      <c r="C11" s="730"/>
      <c r="D11" s="1210" t="str">
        <f t="shared" si="0"/>
        <v xml:space="preserve"> </v>
      </c>
      <c r="E11" s="731"/>
      <c r="F11" s="463" t="str">
        <f t="shared" si="1"/>
        <v/>
      </c>
      <c r="G11" s="108"/>
      <c r="Q11" s="108"/>
      <c r="AA11" s="108"/>
      <c r="AB11" s="108"/>
      <c r="AC11" s="108"/>
      <c r="AD11" s="110"/>
      <c r="AE11" s="110"/>
      <c r="AF11" s="110"/>
      <c r="AG11" s="110"/>
      <c r="AH11" s="110"/>
      <c r="AI11" s="110"/>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row>
    <row r="12" spans="1:71" ht="18">
      <c r="A12" s="109">
        <v>9</v>
      </c>
      <c r="B12" s="730"/>
      <c r="C12" s="730"/>
      <c r="D12" s="1210" t="str">
        <f t="shared" si="0"/>
        <v xml:space="preserve"> </v>
      </c>
      <c r="E12" s="731"/>
      <c r="F12" s="463" t="str">
        <f t="shared" si="1"/>
        <v/>
      </c>
      <c r="G12" s="108"/>
      <c r="Q12" s="108"/>
      <c r="AA12" s="108"/>
      <c r="AB12" s="108"/>
      <c r="AC12" s="108"/>
      <c r="AD12" s="110"/>
      <c r="AE12" s="110"/>
      <c r="AF12" s="110"/>
      <c r="AG12" s="110"/>
      <c r="AH12" s="110"/>
      <c r="AI12" s="110"/>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row>
    <row r="13" spans="1:71" ht="18">
      <c r="A13" s="109">
        <v>10</v>
      </c>
      <c r="B13" s="730"/>
      <c r="C13" s="730"/>
      <c r="D13" s="1210" t="str">
        <f t="shared" si="0"/>
        <v xml:space="preserve"> </v>
      </c>
      <c r="E13" s="731"/>
      <c r="F13" s="463" t="str">
        <f t="shared" si="1"/>
        <v/>
      </c>
      <c r="G13" s="108"/>
      <c r="Q13" s="108"/>
      <c r="AA13" s="108"/>
      <c r="AB13" s="108"/>
      <c r="AC13" s="108"/>
      <c r="AD13" s="110"/>
      <c r="AE13" s="110"/>
      <c r="AF13" s="110"/>
      <c r="AG13" s="110"/>
      <c r="AH13" s="110"/>
      <c r="AI13" s="110"/>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row>
    <row r="14" spans="1:71" ht="18">
      <c r="A14" s="109">
        <v>11</v>
      </c>
      <c r="B14" s="730"/>
      <c r="C14" s="730"/>
      <c r="D14" s="1210" t="str">
        <f t="shared" si="0"/>
        <v xml:space="preserve"> </v>
      </c>
      <c r="E14" s="731"/>
      <c r="F14" s="463" t="str">
        <f t="shared" si="1"/>
        <v/>
      </c>
      <c r="G14" s="108"/>
      <c r="Q14" s="108"/>
      <c r="AA14" s="108"/>
      <c r="AB14" s="108"/>
      <c r="AC14" s="108"/>
      <c r="AD14" s="110"/>
      <c r="AE14" s="110"/>
      <c r="AF14" s="110"/>
      <c r="AG14" s="110"/>
      <c r="AH14" s="110"/>
      <c r="AI14" s="110"/>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row>
    <row r="15" spans="1:71" ht="18">
      <c r="A15" s="109">
        <v>12</v>
      </c>
      <c r="B15" s="730"/>
      <c r="C15" s="730"/>
      <c r="D15" s="1210" t="str">
        <f t="shared" si="0"/>
        <v xml:space="preserve"> </v>
      </c>
      <c r="E15" s="731"/>
      <c r="F15" s="463" t="str">
        <f t="shared" si="1"/>
        <v/>
      </c>
      <c r="G15" s="108"/>
      <c r="Q15" s="108"/>
      <c r="AA15" s="108"/>
      <c r="AB15" s="108"/>
      <c r="AC15" s="108"/>
      <c r="AD15" s="110"/>
      <c r="AE15" s="110"/>
      <c r="AF15" s="110"/>
      <c r="AG15" s="110"/>
      <c r="AH15" s="110"/>
      <c r="AI15" s="110"/>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row>
    <row r="16" spans="1:71" ht="18">
      <c r="A16" s="109">
        <v>13</v>
      </c>
      <c r="B16" s="730"/>
      <c r="C16" s="730"/>
      <c r="D16" s="1210" t="str">
        <f t="shared" si="0"/>
        <v xml:space="preserve"> </v>
      </c>
      <c r="E16" s="731"/>
      <c r="F16" s="463" t="str">
        <f t="shared" si="1"/>
        <v/>
      </c>
      <c r="G16" s="108"/>
      <c r="Q16" s="108"/>
      <c r="AA16" s="108"/>
      <c r="AB16" s="108"/>
      <c r="AC16" s="108"/>
      <c r="AD16" s="110"/>
      <c r="AE16" s="110"/>
      <c r="AF16" s="110"/>
      <c r="AG16" s="110"/>
      <c r="AH16" s="110"/>
      <c r="AI16" s="110"/>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8"/>
      <c r="BS16" s="108"/>
    </row>
    <row r="17" spans="1:71" ht="18">
      <c r="A17" s="109">
        <v>14</v>
      </c>
      <c r="B17" s="730"/>
      <c r="C17" s="730"/>
      <c r="D17" s="1210" t="str">
        <f t="shared" si="0"/>
        <v xml:space="preserve"> </v>
      </c>
      <c r="E17" s="731"/>
      <c r="F17" s="463" t="str">
        <f t="shared" si="1"/>
        <v/>
      </c>
      <c r="G17" s="108"/>
      <c r="Q17" s="108"/>
      <c r="AA17" s="108"/>
      <c r="AB17" s="108"/>
      <c r="AC17" s="108"/>
      <c r="AD17" s="110"/>
      <c r="AE17" s="110"/>
      <c r="AF17" s="110"/>
      <c r="AG17" s="110"/>
      <c r="AH17" s="110"/>
      <c r="AI17" s="110"/>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row>
    <row r="18" spans="1:71" ht="18">
      <c r="A18" s="109">
        <v>15</v>
      </c>
      <c r="B18" s="730"/>
      <c r="C18" s="730"/>
      <c r="D18" s="1210" t="str">
        <f t="shared" si="0"/>
        <v xml:space="preserve"> </v>
      </c>
      <c r="E18" s="731"/>
      <c r="F18" s="463" t="str">
        <f t="shared" si="1"/>
        <v/>
      </c>
      <c r="G18" s="108"/>
      <c r="Q18" s="108"/>
      <c r="AA18" s="108"/>
      <c r="AB18" s="108"/>
      <c r="AC18" s="108"/>
      <c r="AD18" s="110"/>
      <c r="AE18" s="110"/>
      <c r="AF18" s="110"/>
      <c r="AG18" s="110"/>
      <c r="AH18" s="110"/>
      <c r="AI18" s="110"/>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8"/>
      <c r="BS18" s="108"/>
    </row>
    <row r="19" spans="1:71" ht="18">
      <c r="A19" s="109">
        <v>16</v>
      </c>
      <c r="B19" s="730"/>
      <c r="C19" s="730"/>
      <c r="D19" s="1210" t="str">
        <f t="shared" si="0"/>
        <v xml:space="preserve"> </v>
      </c>
      <c r="E19" s="731"/>
      <c r="F19" s="463" t="str">
        <f t="shared" si="1"/>
        <v/>
      </c>
      <c r="G19" s="108"/>
      <c r="Q19" s="108"/>
      <c r="AA19" s="108"/>
      <c r="AB19" s="108"/>
      <c r="AC19" s="108"/>
      <c r="AD19" s="110"/>
      <c r="AE19" s="110"/>
      <c r="AF19" s="110"/>
      <c r="AG19" s="110"/>
      <c r="AH19" s="110"/>
      <c r="AI19" s="110"/>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108"/>
      <c r="BP19" s="108"/>
      <c r="BQ19" s="108"/>
      <c r="BR19" s="108"/>
      <c r="BS19" s="108"/>
    </row>
    <row r="20" spans="1:71" ht="18">
      <c r="A20" s="109">
        <v>17</v>
      </c>
      <c r="B20" s="730"/>
      <c r="C20" s="730"/>
      <c r="D20" s="1210" t="str">
        <f t="shared" si="0"/>
        <v xml:space="preserve"> </v>
      </c>
      <c r="E20" s="731"/>
      <c r="F20" s="463" t="str">
        <f t="shared" si="1"/>
        <v/>
      </c>
      <c r="G20" s="108"/>
      <c r="Q20" s="108"/>
      <c r="AA20" s="108"/>
      <c r="AB20" s="108"/>
      <c r="AC20" s="108"/>
      <c r="AD20" s="110"/>
      <c r="AE20" s="110"/>
      <c r="AF20" s="110"/>
      <c r="AG20" s="110"/>
      <c r="AH20" s="110"/>
      <c r="AI20" s="110"/>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108"/>
      <c r="BO20" s="108"/>
      <c r="BP20" s="108"/>
      <c r="BQ20" s="108"/>
      <c r="BR20" s="108"/>
      <c r="BS20" s="108"/>
    </row>
    <row r="21" spans="1:71" ht="18">
      <c r="A21" s="109">
        <v>18</v>
      </c>
      <c r="B21" s="730"/>
      <c r="C21" s="730"/>
      <c r="D21" s="1210" t="str">
        <f t="shared" si="0"/>
        <v xml:space="preserve"> </v>
      </c>
      <c r="E21" s="731"/>
      <c r="F21" s="463" t="str">
        <f t="shared" si="1"/>
        <v/>
      </c>
      <c r="G21" s="108"/>
      <c r="Q21" s="108"/>
      <c r="AA21" s="108"/>
      <c r="AB21" s="108"/>
      <c r="AC21" s="108"/>
      <c r="AD21" s="110"/>
      <c r="AE21" s="110"/>
      <c r="AF21" s="110"/>
      <c r="AG21" s="110"/>
      <c r="AH21" s="110"/>
      <c r="AI21" s="110"/>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108"/>
      <c r="BO21" s="108"/>
      <c r="BP21" s="108"/>
      <c r="BQ21" s="108"/>
      <c r="BR21" s="108"/>
      <c r="BS21" s="108"/>
    </row>
    <row r="22" spans="1:71" ht="18">
      <c r="A22" s="109">
        <v>19</v>
      </c>
      <c r="B22" s="730"/>
      <c r="C22" s="730"/>
      <c r="D22" s="1210" t="str">
        <f t="shared" si="0"/>
        <v xml:space="preserve"> </v>
      </c>
      <c r="E22" s="731"/>
      <c r="F22" s="463" t="str">
        <f t="shared" si="1"/>
        <v/>
      </c>
      <c r="G22" s="108"/>
      <c r="Q22" s="108"/>
      <c r="AA22" s="108"/>
      <c r="AB22" s="108"/>
      <c r="AC22" s="108"/>
      <c r="AD22" s="110"/>
      <c r="AE22" s="110"/>
      <c r="AF22" s="110"/>
      <c r="AG22" s="110"/>
      <c r="AH22" s="110"/>
      <c r="AI22" s="110"/>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08"/>
      <c r="BI22" s="108"/>
      <c r="BJ22" s="108"/>
      <c r="BK22" s="108"/>
      <c r="BL22" s="108"/>
      <c r="BM22" s="108"/>
      <c r="BN22" s="108"/>
      <c r="BO22" s="108"/>
      <c r="BP22" s="108"/>
      <c r="BQ22" s="108"/>
      <c r="BR22" s="108"/>
      <c r="BS22" s="108"/>
    </row>
    <row r="23" spans="1:71" ht="18">
      <c r="A23" s="109">
        <v>20</v>
      </c>
      <c r="B23" s="730"/>
      <c r="C23" s="730"/>
      <c r="D23" s="1210" t="str">
        <f t="shared" si="0"/>
        <v xml:space="preserve"> </v>
      </c>
      <c r="E23" s="731"/>
      <c r="F23" s="463" t="str">
        <f t="shared" si="1"/>
        <v/>
      </c>
      <c r="G23" s="108"/>
      <c r="Q23" s="108"/>
      <c r="AA23" s="108"/>
      <c r="AB23" s="108"/>
      <c r="AC23" s="108"/>
      <c r="AD23" s="110"/>
      <c r="AE23" s="110"/>
      <c r="AF23" s="110"/>
      <c r="AG23" s="110"/>
      <c r="AH23" s="110"/>
      <c r="AI23" s="110"/>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c r="BK23" s="108"/>
      <c r="BL23" s="108"/>
      <c r="BM23" s="108"/>
      <c r="BN23" s="108"/>
      <c r="BO23" s="108"/>
      <c r="BP23" s="108"/>
      <c r="BQ23" s="108"/>
      <c r="BR23" s="108"/>
      <c r="BS23" s="108"/>
    </row>
    <row r="24" spans="1:71" ht="18">
      <c r="A24" s="109">
        <v>21</v>
      </c>
      <c r="B24" s="730"/>
      <c r="C24" s="730"/>
      <c r="D24" s="1210" t="str">
        <f t="shared" si="0"/>
        <v xml:space="preserve"> </v>
      </c>
      <c r="E24" s="731"/>
      <c r="F24" s="463" t="str">
        <f t="shared" si="1"/>
        <v/>
      </c>
      <c r="G24" s="108"/>
      <c r="Q24" s="108"/>
      <c r="AA24" s="108"/>
      <c r="AB24" s="108"/>
      <c r="AC24" s="108"/>
      <c r="AD24" s="110"/>
      <c r="AE24" s="110"/>
      <c r="AF24" s="110"/>
      <c r="AG24" s="110"/>
      <c r="AH24" s="110"/>
      <c r="AI24" s="110"/>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8"/>
      <c r="BM24" s="108"/>
      <c r="BN24" s="108"/>
      <c r="BO24" s="108"/>
      <c r="BP24" s="108"/>
      <c r="BQ24" s="108"/>
      <c r="BR24" s="108"/>
      <c r="BS24" s="108"/>
    </row>
    <row r="25" spans="1:71" ht="18">
      <c r="A25" s="109">
        <v>22</v>
      </c>
      <c r="B25" s="730"/>
      <c r="C25" s="730"/>
      <c r="D25" s="1210" t="str">
        <f t="shared" si="0"/>
        <v xml:space="preserve"> </v>
      </c>
      <c r="E25" s="731"/>
      <c r="F25" s="463" t="str">
        <f t="shared" si="1"/>
        <v/>
      </c>
      <c r="G25" s="108"/>
      <c r="Q25" s="108"/>
      <c r="AA25" s="108"/>
      <c r="AB25" s="108"/>
      <c r="AC25" s="108"/>
      <c r="AD25" s="110"/>
      <c r="AE25" s="110"/>
      <c r="AF25" s="110"/>
      <c r="AG25" s="110"/>
      <c r="AH25" s="110"/>
      <c r="AI25" s="110"/>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c r="BK25" s="108"/>
      <c r="BL25" s="108"/>
      <c r="BM25" s="108"/>
      <c r="BN25" s="108"/>
      <c r="BO25" s="108"/>
      <c r="BP25" s="108"/>
      <c r="BQ25" s="108"/>
      <c r="BR25" s="108"/>
      <c r="BS25" s="108"/>
    </row>
    <row r="26" spans="1:71" ht="18">
      <c r="A26" s="109">
        <v>23</v>
      </c>
      <c r="B26" s="730"/>
      <c r="C26" s="730"/>
      <c r="D26" s="1210" t="str">
        <f t="shared" si="0"/>
        <v xml:space="preserve"> </v>
      </c>
      <c r="E26" s="731"/>
      <c r="F26" s="463" t="str">
        <f t="shared" si="1"/>
        <v/>
      </c>
      <c r="G26" s="108"/>
      <c r="Q26" s="108"/>
      <c r="AA26" s="108"/>
      <c r="AB26" s="108"/>
      <c r="AC26" s="108"/>
      <c r="AD26" s="110"/>
      <c r="AE26" s="110"/>
      <c r="AF26" s="110"/>
      <c r="AG26" s="110"/>
      <c r="AH26" s="110"/>
      <c r="AI26" s="110"/>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c r="BM26" s="108"/>
      <c r="BN26" s="108"/>
      <c r="BO26" s="108"/>
      <c r="BP26" s="108"/>
      <c r="BQ26" s="108"/>
      <c r="BR26" s="108"/>
      <c r="BS26" s="108"/>
    </row>
    <row r="27" spans="1:71" ht="18">
      <c r="A27" s="109">
        <v>24</v>
      </c>
      <c r="B27" s="730"/>
      <c r="C27" s="730"/>
      <c r="D27" s="1210" t="str">
        <f t="shared" si="0"/>
        <v xml:space="preserve"> </v>
      </c>
      <c r="E27" s="731"/>
      <c r="F27" s="463" t="str">
        <f t="shared" si="1"/>
        <v/>
      </c>
      <c r="G27" s="108"/>
      <c r="Q27" s="108"/>
      <c r="AA27" s="108"/>
      <c r="AB27" s="108"/>
      <c r="AC27" s="108"/>
      <c r="AD27" s="110"/>
      <c r="AE27" s="110"/>
      <c r="AF27" s="110"/>
      <c r="AG27" s="110"/>
      <c r="AH27" s="110"/>
      <c r="AI27" s="110"/>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8"/>
      <c r="BQ27" s="108"/>
      <c r="BR27" s="108"/>
      <c r="BS27" s="108"/>
    </row>
    <row r="28" spans="1:71" ht="18">
      <c r="A28" s="109">
        <v>25</v>
      </c>
      <c r="B28" s="730"/>
      <c r="C28" s="730"/>
      <c r="D28" s="1210" t="str">
        <f t="shared" si="0"/>
        <v xml:space="preserve"> </v>
      </c>
      <c r="E28" s="731"/>
      <c r="F28" s="463" t="str">
        <f t="shared" si="1"/>
        <v/>
      </c>
      <c r="G28" s="108"/>
      <c r="Q28" s="108"/>
      <c r="AA28" s="108"/>
      <c r="AB28" s="108"/>
      <c r="AC28" s="108"/>
      <c r="AD28" s="110"/>
      <c r="AE28" s="110"/>
      <c r="AF28" s="110"/>
      <c r="AG28" s="110"/>
      <c r="AH28" s="110"/>
      <c r="AI28" s="110"/>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c r="BK28" s="108"/>
      <c r="BL28" s="108"/>
      <c r="BM28" s="108"/>
      <c r="BN28" s="108"/>
      <c r="BO28" s="108"/>
      <c r="BP28" s="108"/>
      <c r="BQ28" s="108"/>
      <c r="BR28" s="108"/>
      <c r="BS28" s="108"/>
    </row>
    <row r="29" spans="1:71" ht="18">
      <c r="A29" s="109">
        <v>26</v>
      </c>
      <c r="B29" s="730"/>
      <c r="C29" s="730"/>
      <c r="D29" s="1210" t="str">
        <f t="shared" si="0"/>
        <v xml:space="preserve"> </v>
      </c>
      <c r="E29" s="731"/>
      <c r="F29" s="463" t="str">
        <f t="shared" si="1"/>
        <v/>
      </c>
      <c r="G29" s="108"/>
      <c r="Q29" s="108"/>
      <c r="AA29" s="108"/>
      <c r="AB29" s="108"/>
      <c r="AC29" s="108"/>
      <c r="AD29" s="110"/>
      <c r="AE29" s="110"/>
      <c r="AF29" s="110"/>
      <c r="AG29" s="110"/>
      <c r="AH29" s="110"/>
      <c r="AI29" s="110"/>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8"/>
      <c r="BM29" s="108"/>
      <c r="BN29" s="108"/>
      <c r="BO29" s="108"/>
      <c r="BP29" s="108"/>
      <c r="BQ29" s="108"/>
      <c r="BR29" s="108"/>
      <c r="BS29" s="108"/>
    </row>
    <row r="30" spans="1:71" ht="18">
      <c r="A30" s="109">
        <v>27</v>
      </c>
      <c r="B30" s="730"/>
      <c r="C30" s="730"/>
      <c r="D30" s="1210" t="str">
        <f t="shared" si="0"/>
        <v xml:space="preserve"> </v>
      </c>
      <c r="E30" s="731"/>
      <c r="F30" s="463" t="str">
        <f t="shared" si="1"/>
        <v/>
      </c>
      <c r="G30" s="108"/>
      <c r="Q30" s="108"/>
      <c r="AA30" s="108"/>
      <c r="AB30" s="108"/>
      <c r="AC30" s="108"/>
      <c r="AD30" s="110"/>
      <c r="AE30" s="110"/>
      <c r="AF30" s="110"/>
      <c r="AG30" s="110"/>
      <c r="AH30" s="110"/>
      <c r="AI30" s="110"/>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c r="BK30" s="108"/>
      <c r="BL30" s="108"/>
      <c r="BM30" s="108"/>
      <c r="BN30" s="108"/>
      <c r="BO30" s="108"/>
      <c r="BP30" s="108"/>
      <c r="BQ30" s="108"/>
      <c r="BR30" s="108"/>
      <c r="BS30" s="108"/>
    </row>
    <row r="31" spans="1:71" ht="18">
      <c r="A31" s="109">
        <v>28</v>
      </c>
      <c r="B31" s="730"/>
      <c r="C31" s="730"/>
      <c r="D31" s="1210" t="str">
        <f t="shared" si="0"/>
        <v xml:space="preserve"> </v>
      </c>
      <c r="E31" s="731"/>
      <c r="F31" s="463" t="str">
        <f t="shared" si="1"/>
        <v/>
      </c>
      <c r="G31" s="108"/>
      <c r="Q31" s="108"/>
      <c r="AA31" s="108"/>
      <c r="AB31" s="108"/>
      <c r="AC31" s="108"/>
      <c r="AD31" s="110"/>
      <c r="AE31" s="110"/>
      <c r="AF31" s="110"/>
      <c r="AG31" s="110"/>
      <c r="AH31" s="110"/>
      <c r="AI31" s="110"/>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row>
    <row r="32" spans="1:71" ht="18">
      <c r="A32" s="109">
        <v>29</v>
      </c>
      <c r="B32" s="730"/>
      <c r="C32" s="730"/>
      <c r="D32" s="1210" t="str">
        <f t="shared" si="0"/>
        <v xml:space="preserve"> </v>
      </c>
      <c r="E32" s="731"/>
      <c r="F32" s="463" t="str">
        <f t="shared" si="1"/>
        <v/>
      </c>
      <c r="G32" s="108"/>
      <c r="Q32" s="108"/>
      <c r="AA32" s="108"/>
      <c r="AB32" s="108"/>
      <c r="AC32" s="108"/>
      <c r="AD32" s="110"/>
      <c r="AE32" s="110"/>
      <c r="AF32" s="110"/>
      <c r="AG32" s="110"/>
      <c r="AH32" s="110"/>
      <c r="AI32" s="110"/>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c r="BS32" s="108"/>
    </row>
    <row r="33" spans="1:71" ht="18.75" thickBot="1">
      <c r="A33" s="109">
        <v>30</v>
      </c>
      <c r="B33" s="730"/>
      <c r="C33" s="730"/>
      <c r="D33" s="1210" t="str">
        <f t="shared" si="0"/>
        <v xml:space="preserve"> </v>
      </c>
      <c r="E33" s="731"/>
      <c r="F33" s="463" t="str">
        <f t="shared" si="1"/>
        <v/>
      </c>
      <c r="G33" s="108"/>
      <c r="Q33" s="108"/>
      <c r="AA33" s="108"/>
      <c r="AB33" s="108"/>
      <c r="AC33" s="108"/>
      <c r="AD33" s="110"/>
      <c r="AE33" s="110"/>
      <c r="AF33" s="110"/>
      <c r="AG33" s="110"/>
      <c r="AH33" s="110"/>
      <c r="AI33" s="110"/>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c r="BS33" s="108"/>
    </row>
    <row r="34" spans="1:71" ht="16.5">
      <c r="A34" s="3981" t="s">
        <v>2339</v>
      </c>
      <c r="B34" s="3981"/>
      <c r="C34" s="3981"/>
      <c r="D34" s="3981"/>
      <c r="E34" s="3982"/>
      <c r="F34" s="3978" t="str">
        <f>IF(ISBLANK(B4),"",SUM(F4:F33))</f>
        <v/>
      </c>
      <c r="G34" s="108"/>
      <c r="H34" s="108"/>
      <c r="I34" s="108"/>
      <c r="J34" s="108"/>
      <c r="K34" s="108"/>
      <c r="L34" s="1213"/>
      <c r="M34" s="1213"/>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c r="BS34" s="108"/>
    </row>
    <row r="35" spans="1:71" ht="16.5">
      <c r="A35" s="3974" t="s">
        <v>2340</v>
      </c>
      <c r="B35" s="3975"/>
      <c r="C35" s="3975"/>
      <c r="D35" s="3975"/>
      <c r="E35" s="3975"/>
      <c r="F35" s="3979"/>
      <c r="G35" s="108"/>
      <c r="H35" s="108"/>
      <c r="I35" s="108"/>
      <c r="J35" s="108"/>
      <c r="K35" s="108"/>
      <c r="L35" s="1213"/>
      <c r="M35" s="1213"/>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c r="BM35" s="108"/>
      <c r="BN35" s="108"/>
      <c r="BO35" s="108"/>
      <c r="BP35" s="108"/>
      <c r="BQ35" s="108"/>
      <c r="BR35" s="108"/>
      <c r="BS35" s="108"/>
    </row>
    <row r="36" spans="1:71" ht="17.25" thickBot="1">
      <c r="A36" s="3976"/>
      <c r="B36" s="3977"/>
      <c r="C36" s="3977"/>
      <c r="D36" s="3977"/>
      <c r="E36" s="3977"/>
      <c r="F36" s="3980"/>
      <c r="G36" s="108"/>
      <c r="H36" s="108"/>
      <c r="I36" s="108"/>
      <c r="J36" s="108"/>
      <c r="K36" s="108"/>
      <c r="L36" s="1213"/>
      <c r="M36" s="1213"/>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8"/>
      <c r="BR36" s="108"/>
      <c r="BS36" s="108"/>
    </row>
    <row r="37" spans="1:71" ht="16.5">
      <c r="A37" s="111"/>
      <c r="B37" s="111"/>
      <c r="C37" s="111"/>
      <c r="D37" s="111"/>
      <c r="E37" s="111"/>
      <c r="F37" s="111"/>
      <c r="G37" s="108"/>
      <c r="H37" s="108"/>
      <c r="I37" s="108"/>
      <c r="J37" s="108"/>
      <c r="K37" s="108"/>
      <c r="L37" s="1213"/>
      <c r="M37" s="1213"/>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c r="BK37" s="108"/>
      <c r="BL37" s="108"/>
      <c r="BM37" s="108"/>
      <c r="BN37" s="108"/>
      <c r="BO37" s="108"/>
      <c r="BP37" s="108"/>
      <c r="BQ37" s="108"/>
      <c r="BR37" s="108"/>
      <c r="BS37" s="108"/>
    </row>
    <row r="38" spans="1:71" ht="16.5">
      <c r="A38" s="111"/>
      <c r="B38" s="111"/>
      <c r="C38" s="111"/>
      <c r="D38" s="111"/>
      <c r="E38" s="111"/>
      <c r="F38" s="111"/>
      <c r="G38" s="108"/>
      <c r="H38" s="108"/>
      <c r="I38" s="108"/>
      <c r="J38" s="108"/>
      <c r="K38" s="108"/>
      <c r="L38" s="1213"/>
      <c r="M38" s="1213"/>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row>
    <row r="39" spans="1:71" ht="16.5">
      <c r="A39" s="111"/>
      <c r="B39" s="111"/>
      <c r="C39" s="111"/>
      <c r="D39" s="111"/>
      <c r="E39" s="111"/>
      <c r="F39" s="111"/>
      <c r="G39" s="108"/>
      <c r="H39" s="108"/>
      <c r="I39" s="108"/>
      <c r="J39" s="108"/>
      <c r="K39" s="108"/>
      <c r="L39" s="1213"/>
      <c r="M39" s="1213"/>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row>
    <row r="40" spans="1:71" ht="16.5">
      <c r="A40" s="111"/>
      <c r="B40" s="111"/>
      <c r="C40" s="111"/>
      <c r="D40" s="111"/>
      <c r="E40" s="111"/>
      <c r="F40" s="111"/>
      <c r="G40" s="108"/>
      <c r="H40" s="108"/>
      <c r="I40" s="108"/>
      <c r="J40" s="108"/>
      <c r="K40" s="108"/>
      <c r="L40" s="1213"/>
      <c r="M40" s="1213"/>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row>
    <row r="41" spans="1:71" ht="16.5">
      <c r="A41" s="111"/>
      <c r="B41" s="111"/>
      <c r="C41" s="111"/>
      <c r="D41" s="111"/>
      <c r="E41" s="111"/>
      <c r="F41" s="111"/>
      <c r="G41" s="108"/>
      <c r="H41" s="108"/>
      <c r="I41" s="108"/>
      <c r="J41" s="108"/>
      <c r="K41" s="108"/>
      <c r="L41" s="1213"/>
      <c r="M41" s="1213"/>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c r="BK41" s="108"/>
      <c r="BL41" s="108"/>
      <c r="BM41" s="108"/>
      <c r="BN41" s="108"/>
      <c r="BO41" s="108"/>
      <c r="BP41" s="108"/>
      <c r="BQ41" s="108"/>
      <c r="BR41" s="108"/>
      <c r="BS41" s="108"/>
    </row>
    <row r="42" spans="1:71" ht="16.5">
      <c r="A42" s="111"/>
      <c r="B42" s="111"/>
      <c r="C42" s="111"/>
      <c r="D42" s="111"/>
      <c r="E42" s="111"/>
      <c r="F42" s="111"/>
      <c r="G42" s="108"/>
      <c r="H42" s="108"/>
      <c r="I42" s="108"/>
      <c r="J42" s="108"/>
      <c r="K42" s="108"/>
      <c r="L42" s="1213"/>
      <c r="M42" s="1213"/>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c r="BL42" s="108"/>
      <c r="BM42" s="108"/>
      <c r="BN42" s="108"/>
      <c r="BO42" s="108"/>
      <c r="BP42" s="108"/>
      <c r="BQ42" s="108"/>
      <c r="BR42" s="108"/>
      <c r="BS42" s="108"/>
    </row>
    <row r="43" spans="1:71" ht="16.5">
      <c r="A43" s="111"/>
      <c r="B43" s="111"/>
      <c r="C43" s="111"/>
      <c r="D43" s="111"/>
      <c r="E43" s="111"/>
      <c r="F43" s="111"/>
      <c r="G43" s="108"/>
      <c r="H43" s="108"/>
      <c r="I43" s="108"/>
      <c r="J43" s="108"/>
      <c r="K43" s="108"/>
      <c r="L43" s="1213"/>
      <c r="M43" s="1213"/>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c r="BK43" s="108"/>
      <c r="BL43" s="108"/>
      <c r="BM43" s="108"/>
      <c r="BN43" s="108"/>
      <c r="BO43" s="108"/>
      <c r="BP43" s="108"/>
      <c r="BQ43" s="108"/>
      <c r="BR43" s="108"/>
      <c r="BS43" s="108"/>
    </row>
    <row r="44" spans="1:71" ht="16.5">
      <c r="A44" s="111"/>
      <c r="B44" s="111"/>
      <c r="C44" s="111"/>
      <c r="D44" s="111"/>
      <c r="E44" s="111"/>
      <c r="F44" s="111"/>
      <c r="G44" s="108"/>
      <c r="H44" s="108"/>
      <c r="I44" s="108"/>
      <c r="J44" s="108"/>
      <c r="K44" s="108"/>
      <c r="L44" s="1213"/>
      <c r="M44" s="1213"/>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8"/>
      <c r="BP44" s="108"/>
      <c r="BQ44" s="108"/>
      <c r="BR44" s="108"/>
      <c r="BS44" s="108"/>
    </row>
    <row r="45" spans="1:71" ht="16.5">
      <c r="A45" s="111"/>
      <c r="B45" s="111"/>
      <c r="C45" s="111"/>
      <c r="D45" s="111"/>
      <c r="E45" s="111"/>
      <c r="F45" s="111"/>
      <c r="G45" s="108"/>
      <c r="H45" s="108"/>
      <c r="I45" s="108"/>
      <c r="J45" s="108"/>
      <c r="K45" s="108"/>
      <c r="L45" s="1213"/>
      <c r="M45" s="1213"/>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08"/>
      <c r="BB45" s="108"/>
      <c r="BC45" s="108"/>
      <c r="BD45" s="108"/>
      <c r="BE45" s="108"/>
      <c r="BF45" s="108"/>
      <c r="BG45" s="108"/>
      <c r="BH45" s="108"/>
      <c r="BI45" s="108"/>
      <c r="BJ45" s="108"/>
      <c r="BK45" s="108"/>
      <c r="BL45" s="108"/>
      <c r="BM45" s="108"/>
      <c r="BN45" s="108"/>
      <c r="BO45" s="108"/>
      <c r="BP45" s="108"/>
      <c r="BQ45" s="108"/>
      <c r="BR45" s="108"/>
      <c r="BS45" s="108"/>
    </row>
    <row r="46" spans="1:71" ht="16.5">
      <c r="A46" s="111"/>
      <c r="B46" s="111"/>
      <c r="C46" s="111"/>
      <c r="D46" s="111"/>
      <c r="E46" s="111"/>
      <c r="F46" s="111"/>
      <c r="G46" s="108"/>
      <c r="H46" s="108"/>
      <c r="I46" s="108"/>
      <c r="J46" s="108"/>
      <c r="K46" s="108"/>
      <c r="L46" s="1213"/>
      <c r="M46" s="1213"/>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c r="BK46" s="108"/>
      <c r="BL46" s="108"/>
      <c r="BM46" s="108"/>
      <c r="BN46" s="108"/>
      <c r="BO46" s="108"/>
      <c r="BP46" s="108"/>
      <c r="BQ46" s="108"/>
      <c r="BR46" s="108"/>
      <c r="BS46" s="108"/>
    </row>
    <row r="47" spans="1:71" ht="16.5">
      <c r="A47" s="111"/>
      <c r="B47" s="111"/>
      <c r="C47" s="111"/>
      <c r="D47" s="111"/>
      <c r="E47" s="111"/>
      <c r="F47" s="111"/>
      <c r="G47" s="108"/>
      <c r="H47" s="108"/>
      <c r="I47" s="108"/>
      <c r="J47" s="108"/>
      <c r="K47" s="108"/>
      <c r="L47" s="1213"/>
      <c r="M47" s="1213"/>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8"/>
      <c r="BR47" s="108"/>
      <c r="BS47" s="108"/>
    </row>
    <row r="48" spans="1:71" ht="16.5">
      <c r="A48" s="111"/>
      <c r="B48" s="111"/>
      <c r="C48" s="111"/>
      <c r="D48" s="111"/>
      <c r="E48" s="111"/>
      <c r="F48" s="111"/>
      <c r="G48" s="108"/>
      <c r="H48" s="108"/>
      <c r="I48" s="108"/>
      <c r="J48" s="108"/>
      <c r="K48" s="108"/>
      <c r="L48" s="1213"/>
      <c r="M48" s="1213"/>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row>
    <row r="49" spans="1:71" ht="16.5">
      <c r="A49" s="111"/>
      <c r="B49" s="111"/>
      <c r="C49" s="111"/>
      <c r="D49" s="111"/>
      <c r="E49" s="111"/>
      <c r="F49" s="111"/>
      <c r="G49" s="108"/>
      <c r="H49" s="108"/>
      <c r="I49" s="108"/>
      <c r="J49" s="108"/>
      <c r="K49" s="108"/>
      <c r="L49" s="1213"/>
      <c r="M49" s="1213"/>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row>
    <row r="50" spans="1:71" ht="16.5">
      <c r="A50" s="111"/>
      <c r="B50" s="111"/>
      <c r="C50" s="111"/>
      <c r="D50" s="111"/>
      <c r="E50" s="111"/>
      <c r="F50" s="111"/>
      <c r="G50" s="108"/>
      <c r="H50" s="108"/>
      <c r="I50" s="108"/>
      <c r="J50" s="108"/>
      <c r="K50" s="108"/>
      <c r="L50" s="1213"/>
      <c r="M50" s="1213"/>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row>
    <row r="51" spans="1:71" ht="16.5">
      <c r="A51" s="111"/>
      <c r="B51" s="111"/>
      <c r="C51" s="111"/>
      <c r="D51" s="111"/>
      <c r="E51" s="111"/>
      <c r="F51" s="111"/>
      <c r="G51" s="108"/>
      <c r="H51" s="108"/>
      <c r="I51" s="108"/>
      <c r="J51" s="108"/>
      <c r="K51" s="108"/>
      <c r="L51" s="1213"/>
      <c r="M51" s="1213"/>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row>
    <row r="52" spans="1:71" ht="16.5">
      <c r="A52" s="111"/>
      <c r="B52" s="111"/>
      <c r="C52" s="111"/>
      <c r="D52" s="111"/>
      <c r="E52" s="111"/>
      <c r="F52" s="111"/>
      <c r="G52" s="108"/>
      <c r="H52" s="108"/>
      <c r="I52" s="108"/>
      <c r="J52" s="108"/>
      <c r="K52" s="108"/>
      <c r="L52" s="1213"/>
      <c r="M52" s="1213"/>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row>
    <row r="53" spans="1:71" ht="16.5">
      <c r="A53" s="111"/>
      <c r="B53" s="111"/>
      <c r="C53" s="111"/>
      <c r="D53" s="111"/>
      <c r="E53" s="111"/>
      <c r="F53" s="111"/>
      <c r="G53" s="108"/>
      <c r="H53" s="108"/>
      <c r="I53" s="108"/>
      <c r="J53" s="108"/>
      <c r="K53" s="108"/>
      <c r="L53" s="1213"/>
      <c r="M53" s="1213"/>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row>
    <row r="54" spans="1:71" ht="16.5">
      <c r="A54" s="111"/>
      <c r="B54" s="111"/>
      <c r="C54" s="111"/>
      <c r="D54" s="111"/>
      <c r="E54" s="111"/>
      <c r="F54" s="111"/>
      <c r="G54" s="108"/>
      <c r="H54" s="108"/>
      <c r="I54" s="108"/>
      <c r="J54" s="108"/>
      <c r="K54" s="108"/>
      <c r="L54" s="1213"/>
      <c r="M54" s="1213"/>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row>
    <row r="55" spans="1:71" ht="16.5">
      <c r="A55" s="111"/>
      <c r="B55" s="111"/>
      <c r="C55" s="111"/>
      <c r="D55" s="111"/>
      <c r="E55" s="111"/>
      <c r="F55" s="111"/>
      <c r="G55" s="108"/>
      <c r="H55" s="108"/>
      <c r="I55" s="108"/>
      <c r="J55" s="108"/>
      <c r="K55" s="108"/>
      <c r="L55" s="1213"/>
      <c r="M55" s="1213"/>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row>
    <row r="56" spans="1:71" ht="16.5">
      <c r="A56" s="111"/>
      <c r="B56" s="111"/>
      <c r="C56" s="111"/>
      <c r="D56" s="111"/>
      <c r="E56" s="111"/>
      <c r="F56" s="111"/>
      <c r="G56" s="108"/>
      <c r="H56" s="108"/>
      <c r="I56" s="108"/>
      <c r="J56" s="108"/>
      <c r="K56" s="108"/>
      <c r="L56" s="1213"/>
      <c r="M56" s="1213"/>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row>
    <row r="57" spans="1:71" ht="16.5">
      <c r="A57" s="111"/>
      <c r="B57" s="111"/>
      <c r="C57" s="111"/>
      <c r="D57" s="111"/>
      <c r="E57" s="111"/>
      <c r="F57" s="111"/>
      <c r="G57" s="108"/>
      <c r="H57" s="108"/>
      <c r="I57" s="108"/>
      <c r="J57" s="108"/>
      <c r="K57" s="108"/>
      <c r="L57" s="1213"/>
      <c r="M57" s="1213"/>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row>
    <row r="58" spans="1:71" ht="16.5">
      <c r="A58" s="111"/>
      <c r="B58" s="111"/>
      <c r="C58" s="111"/>
      <c r="D58" s="111"/>
      <c r="E58" s="111"/>
      <c r="F58" s="111"/>
      <c r="G58" s="108"/>
      <c r="H58" s="108"/>
      <c r="I58" s="108"/>
      <c r="J58" s="108"/>
      <c r="K58" s="108"/>
      <c r="L58" s="1213"/>
      <c r="M58" s="1213"/>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row>
    <row r="59" spans="1:71" ht="16.5">
      <c r="A59" s="111"/>
      <c r="B59" s="111"/>
      <c r="C59" s="111"/>
      <c r="D59" s="111"/>
      <c r="E59" s="111"/>
      <c r="F59" s="111"/>
      <c r="G59" s="108"/>
      <c r="H59" s="108"/>
      <c r="I59" s="108"/>
      <c r="J59" s="108"/>
      <c r="K59" s="108"/>
      <c r="L59" s="1213"/>
      <c r="M59" s="1213"/>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8"/>
      <c r="BE59" s="108"/>
      <c r="BF59" s="108"/>
      <c r="BG59" s="108"/>
      <c r="BH59" s="108"/>
      <c r="BI59" s="108"/>
      <c r="BJ59" s="108"/>
      <c r="BK59" s="108"/>
      <c r="BL59" s="108"/>
      <c r="BM59" s="108"/>
      <c r="BN59" s="108"/>
      <c r="BO59" s="108"/>
      <c r="BP59" s="108"/>
      <c r="BQ59" s="108"/>
      <c r="BR59" s="108"/>
      <c r="BS59" s="108"/>
    </row>
    <row r="60" spans="1:71" ht="16.5">
      <c r="A60" s="111"/>
      <c r="B60" s="111"/>
      <c r="C60" s="111"/>
      <c r="D60" s="111"/>
      <c r="E60" s="111"/>
      <c r="F60" s="111"/>
      <c r="G60" s="108"/>
      <c r="H60" s="108"/>
      <c r="I60" s="108"/>
      <c r="J60" s="108"/>
      <c r="K60" s="108"/>
      <c r="L60" s="1213"/>
      <c r="M60" s="1213"/>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row>
    <row r="61" spans="1:71" ht="16.5">
      <c r="A61" s="111"/>
      <c r="B61" s="111"/>
      <c r="C61" s="111"/>
      <c r="D61" s="111"/>
      <c r="E61" s="111"/>
      <c r="F61" s="111"/>
      <c r="G61" s="108"/>
      <c r="H61" s="108"/>
      <c r="I61" s="108"/>
      <c r="J61" s="108"/>
      <c r="K61" s="108"/>
      <c r="L61" s="1213"/>
      <c r="M61" s="1213"/>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row>
    <row r="62" spans="1:71" ht="16.5">
      <c r="A62" s="111"/>
      <c r="B62" s="111"/>
      <c r="C62" s="111"/>
      <c r="D62" s="111"/>
      <c r="E62" s="111"/>
      <c r="F62" s="111"/>
      <c r="G62" s="108"/>
      <c r="H62" s="108"/>
      <c r="I62" s="108"/>
      <c r="J62" s="108"/>
      <c r="K62" s="108"/>
      <c r="L62" s="1213"/>
      <c r="M62" s="1213"/>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row>
    <row r="63" spans="1:71" ht="16.5">
      <c r="A63" s="111"/>
      <c r="B63" s="111"/>
      <c r="C63" s="111"/>
      <c r="D63" s="111"/>
      <c r="E63" s="111"/>
      <c r="F63" s="111"/>
      <c r="G63" s="108"/>
      <c r="H63" s="108"/>
      <c r="I63" s="108"/>
      <c r="J63" s="108"/>
      <c r="K63" s="108"/>
      <c r="L63" s="1213"/>
      <c r="M63" s="1213"/>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row>
    <row r="64" spans="1:71" ht="16.5">
      <c r="A64" s="111"/>
      <c r="B64" s="111"/>
      <c r="C64" s="111"/>
      <c r="D64" s="111"/>
      <c r="E64" s="111"/>
      <c r="F64" s="111"/>
      <c r="G64" s="108"/>
      <c r="H64" s="108"/>
      <c r="I64" s="108"/>
      <c r="J64" s="108"/>
      <c r="K64" s="108"/>
      <c r="L64" s="1213"/>
      <c r="M64" s="1213"/>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08"/>
      <c r="BE64" s="108"/>
      <c r="BF64" s="108"/>
      <c r="BG64" s="108"/>
      <c r="BH64" s="108"/>
      <c r="BI64" s="108"/>
      <c r="BJ64" s="108"/>
      <c r="BK64" s="108"/>
      <c r="BL64" s="108"/>
      <c r="BM64" s="108"/>
      <c r="BN64" s="108"/>
      <c r="BO64" s="108"/>
      <c r="BP64" s="108"/>
      <c r="BQ64" s="108"/>
      <c r="BR64" s="108"/>
      <c r="BS64" s="108"/>
    </row>
    <row r="65" spans="1:71" ht="16.5">
      <c r="A65" s="111"/>
      <c r="B65" s="111"/>
      <c r="C65" s="111"/>
      <c r="D65" s="111"/>
      <c r="E65" s="111"/>
      <c r="F65" s="111"/>
      <c r="G65" s="108"/>
      <c r="H65" s="108"/>
      <c r="I65" s="108"/>
      <c r="J65" s="108"/>
      <c r="K65" s="108"/>
      <c r="L65" s="1213"/>
      <c r="M65" s="1213"/>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08"/>
      <c r="BE65" s="108"/>
      <c r="BF65" s="108"/>
      <c r="BG65" s="108"/>
      <c r="BH65" s="108"/>
      <c r="BI65" s="108"/>
      <c r="BJ65" s="108"/>
      <c r="BK65" s="108"/>
      <c r="BL65" s="108"/>
      <c r="BM65" s="108"/>
      <c r="BN65" s="108"/>
      <c r="BO65" s="108"/>
      <c r="BP65" s="108"/>
      <c r="BQ65" s="108"/>
      <c r="BR65" s="108"/>
      <c r="BS65" s="108"/>
    </row>
    <row r="66" spans="1:71" ht="16.5">
      <c r="A66" s="111"/>
      <c r="B66" s="111"/>
      <c r="C66" s="111"/>
      <c r="D66" s="111"/>
      <c r="E66" s="111"/>
      <c r="F66" s="111"/>
      <c r="G66" s="108"/>
      <c r="H66" s="108"/>
      <c r="I66" s="108"/>
      <c r="J66" s="108"/>
      <c r="K66" s="108"/>
      <c r="L66" s="1213"/>
      <c r="M66" s="1213"/>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8"/>
      <c r="BO66" s="108"/>
      <c r="BP66" s="108"/>
      <c r="BQ66" s="108"/>
      <c r="BR66" s="108"/>
      <c r="BS66" s="108"/>
    </row>
    <row r="67" spans="1:71" ht="16.5">
      <c r="A67" s="111"/>
      <c r="B67" s="111"/>
      <c r="C67" s="111"/>
      <c r="D67" s="111"/>
      <c r="E67" s="111"/>
      <c r="F67" s="111"/>
      <c r="G67" s="108"/>
      <c r="H67" s="108"/>
      <c r="I67" s="108"/>
      <c r="J67" s="108"/>
      <c r="K67" s="108"/>
      <c r="L67" s="1213"/>
      <c r="M67" s="1213"/>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108"/>
      <c r="AY67" s="108"/>
      <c r="AZ67" s="108"/>
      <c r="BA67" s="108"/>
      <c r="BB67" s="108"/>
      <c r="BC67" s="108"/>
      <c r="BD67" s="108"/>
      <c r="BE67" s="108"/>
      <c r="BF67" s="108"/>
      <c r="BG67" s="108"/>
      <c r="BH67" s="108"/>
      <c r="BI67" s="108"/>
      <c r="BJ67" s="108"/>
      <c r="BK67" s="108"/>
      <c r="BL67" s="108"/>
      <c r="BM67" s="108"/>
      <c r="BN67" s="108"/>
      <c r="BO67" s="108"/>
      <c r="BP67" s="108"/>
      <c r="BQ67" s="108"/>
      <c r="BR67" s="108"/>
      <c r="BS67" s="108"/>
    </row>
    <row r="68" spans="1:71" ht="16.5">
      <c r="A68" s="111"/>
      <c r="B68" s="111"/>
      <c r="C68" s="111"/>
      <c r="D68" s="111"/>
      <c r="E68" s="111"/>
      <c r="F68" s="111"/>
      <c r="G68" s="108"/>
      <c r="H68" s="108"/>
      <c r="I68" s="108"/>
      <c r="J68" s="108"/>
      <c r="K68" s="108"/>
      <c r="L68" s="1213"/>
      <c r="M68" s="1213"/>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08"/>
      <c r="BE68" s="108"/>
      <c r="BF68" s="108"/>
      <c r="BG68" s="108"/>
      <c r="BH68" s="108"/>
      <c r="BI68" s="108"/>
      <c r="BJ68" s="108"/>
      <c r="BK68" s="108"/>
      <c r="BL68" s="108"/>
      <c r="BM68" s="108"/>
      <c r="BN68" s="108"/>
      <c r="BO68" s="108"/>
      <c r="BP68" s="108"/>
      <c r="BQ68" s="108"/>
      <c r="BR68" s="108"/>
      <c r="BS68" s="108"/>
    </row>
    <row r="69" spans="1:71" ht="16.5">
      <c r="A69" s="111"/>
      <c r="B69" s="111"/>
      <c r="C69" s="111"/>
      <c r="D69" s="111"/>
      <c r="E69" s="111"/>
      <c r="F69" s="111"/>
      <c r="G69" s="108"/>
      <c r="H69" s="108"/>
      <c r="I69" s="108"/>
      <c r="J69" s="108"/>
      <c r="K69" s="108"/>
      <c r="L69" s="1213"/>
      <c r="M69" s="1213"/>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108"/>
      <c r="AY69" s="108"/>
      <c r="AZ69" s="108"/>
      <c r="BA69" s="108"/>
      <c r="BB69" s="108"/>
      <c r="BC69" s="108"/>
      <c r="BD69" s="108"/>
      <c r="BE69" s="108"/>
      <c r="BF69" s="108"/>
      <c r="BG69" s="108"/>
      <c r="BH69" s="108"/>
      <c r="BI69" s="108"/>
      <c r="BJ69" s="108"/>
      <c r="BK69" s="108"/>
      <c r="BL69" s="108"/>
      <c r="BM69" s="108"/>
      <c r="BN69" s="108"/>
      <c r="BO69" s="108"/>
      <c r="BP69" s="108"/>
      <c r="BQ69" s="108"/>
      <c r="BR69" s="108"/>
      <c r="BS69" s="108"/>
    </row>
    <row r="70" spans="1:71" ht="16.5">
      <c r="A70" s="111"/>
      <c r="B70" s="111"/>
      <c r="C70" s="111"/>
      <c r="D70" s="111"/>
      <c r="E70" s="111"/>
      <c r="F70" s="111"/>
      <c r="G70" s="108"/>
      <c r="H70" s="108"/>
      <c r="I70" s="108"/>
      <c r="J70" s="108"/>
      <c r="K70" s="108"/>
      <c r="L70" s="1213"/>
      <c r="M70" s="1213"/>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row>
    <row r="71" spans="1:71" ht="16.5">
      <c r="A71" s="111"/>
      <c r="B71" s="111"/>
      <c r="C71" s="111"/>
      <c r="D71" s="111"/>
      <c r="E71" s="111"/>
      <c r="F71" s="111"/>
      <c r="G71" s="108"/>
      <c r="H71" s="108"/>
      <c r="I71" s="108"/>
      <c r="J71" s="108"/>
      <c r="K71" s="108"/>
      <c r="L71" s="1213"/>
      <c r="M71" s="1213"/>
      <c r="N71" s="108"/>
      <c r="O71" s="108"/>
      <c r="P71" s="108"/>
      <c r="Q71" s="108"/>
      <c r="R71" s="108"/>
      <c r="S71" s="108"/>
      <c r="T71" s="108"/>
      <c r="U71" s="108"/>
      <c r="V71" s="108"/>
      <c r="W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row>
    <row r="72" spans="1:71" ht="16.5">
      <c r="A72" s="111"/>
      <c r="B72" s="111"/>
      <c r="C72" s="111"/>
      <c r="D72" s="111"/>
      <c r="E72" s="111"/>
      <c r="F72" s="111"/>
      <c r="G72" s="108"/>
      <c r="H72" s="108"/>
      <c r="I72" s="108"/>
      <c r="J72" s="108"/>
      <c r="K72" s="108"/>
      <c r="L72" s="1213"/>
      <c r="M72" s="1213"/>
      <c r="N72" s="108"/>
      <c r="O72" s="108"/>
      <c r="P72" s="108"/>
      <c r="Q72" s="108"/>
      <c r="R72" s="108"/>
      <c r="S72" s="108"/>
      <c r="T72" s="108"/>
      <c r="U72" s="108"/>
      <c r="V72" s="108"/>
      <c r="W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row>
    <row r="73" spans="1:71" ht="16.5">
      <c r="A73" s="111"/>
      <c r="B73" s="111"/>
      <c r="C73" s="111"/>
      <c r="D73" s="111"/>
      <c r="E73" s="111"/>
      <c r="F73" s="111"/>
      <c r="G73" s="108"/>
      <c r="H73" s="108"/>
      <c r="I73" s="108"/>
      <c r="J73" s="108"/>
      <c r="K73" s="108"/>
      <c r="L73" s="1213"/>
      <c r="M73" s="1213"/>
      <c r="N73" s="108"/>
      <c r="O73" s="108"/>
      <c r="P73" s="108"/>
      <c r="Q73" s="108"/>
      <c r="R73" s="108"/>
      <c r="S73" s="108"/>
      <c r="T73" s="108"/>
      <c r="U73" s="108"/>
      <c r="V73" s="108"/>
      <c r="W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row>
    <row r="74" spans="1:71" ht="16.5">
      <c r="A74" s="111"/>
      <c r="B74" s="111"/>
      <c r="C74" s="111"/>
      <c r="D74" s="111"/>
      <c r="E74" s="111"/>
      <c r="F74" s="111"/>
      <c r="G74" s="108"/>
      <c r="H74" s="108"/>
      <c r="I74" s="108"/>
      <c r="J74" s="108"/>
      <c r="K74" s="108"/>
      <c r="L74" s="1213"/>
      <c r="M74" s="1213"/>
      <c r="N74" s="108"/>
      <c r="O74" s="108"/>
      <c r="P74" s="108"/>
      <c r="Q74" s="108"/>
      <c r="R74" s="108"/>
      <c r="S74" s="108"/>
      <c r="T74" s="108"/>
      <c r="U74" s="108"/>
      <c r="V74" s="108"/>
      <c r="W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row>
    <row r="75" spans="1:71" ht="16.5">
      <c r="A75" s="111"/>
      <c r="B75" s="111"/>
      <c r="C75" s="111"/>
      <c r="D75" s="111"/>
      <c r="E75" s="111"/>
      <c r="F75" s="111"/>
      <c r="G75" s="108"/>
      <c r="H75" s="108"/>
      <c r="I75" s="108"/>
      <c r="J75" s="108"/>
      <c r="K75" s="108"/>
      <c r="L75" s="1213"/>
      <c r="M75" s="1213"/>
      <c r="N75" s="108"/>
      <c r="O75" s="108"/>
      <c r="P75" s="108"/>
      <c r="Q75" s="108"/>
      <c r="R75" s="108"/>
      <c r="S75" s="108"/>
      <c r="T75" s="108"/>
      <c r="U75" s="108"/>
      <c r="V75" s="108"/>
      <c r="W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row>
    <row r="76" spans="1:71" ht="16.5">
      <c r="A76" s="111"/>
      <c r="B76" s="111"/>
      <c r="C76" s="111"/>
      <c r="D76" s="111"/>
      <c r="E76" s="111"/>
      <c r="F76" s="111"/>
      <c r="G76" s="108"/>
      <c r="H76" s="108"/>
      <c r="I76" s="108"/>
      <c r="J76" s="108"/>
      <c r="K76" s="108"/>
      <c r="L76" s="1213"/>
      <c r="M76" s="1213"/>
      <c r="N76" s="108"/>
      <c r="O76" s="108"/>
      <c r="P76" s="108"/>
      <c r="Q76" s="108"/>
      <c r="R76" s="108"/>
      <c r="S76" s="108"/>
      <c r="T76" s="108"/>
      <c r="U76" s="108"/>
      <c r="V76" s="108"/>
      <c r="W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row>
    <row r="77" spans="1:71" ht="16.5">
      <c r="A77" s="111"/>
      <c r="B77" s="111"/>
      <c r="C77" s="111"/>
      <c r="D77" s="111"/>
      <c r="E77" s="111"/>
      <c r="F77" s="111"/>
      <c r="G77" s="108"/>
      <c r="H77" s="108"/>
      <c r="I77" s="108"/>
      <c r="J77" s="108"/>
      <c r="K77" s="108"/>
      <c r="L77" s="1213"/>
      <c r="M77" s="1213"/>
      <c r="N77" s="108"/>
      <c r="O77" s="108"/>
      <c r="P77" s="108"/>
      <c r="Q77" s="108"/>
      <c r="R77" s="108"/>
      <c r="S77" s="108"/>
      <c r="T77" s="108"/>
      <c r="U77" s="108"/>
      <c r="V77" s="108"/>
      <c r="W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row>
    <row r="78" spans="1:71" ht="16.5">
      <c r="A78" s="111"/>
      <c r="B78" s="111"/>
      <c r="C78" s="111"/>
      <c r="D78" s="111"/>
      <c r="E78" s="111"/>
      <c r="F78" s="111"/>
      <c r="G78" s="108"/>
      <c r="H78" s="108"/>
      <c r="I78" s="108"/>
      <c r="J78" s="108"/>
      <c r="K78" s="108"/>
      <c r="L78" s="1213"/>
      <c r="M78" s="1213"/>
      <c r="N78" s="108"/>
      <c r="O78" s="108"/>
      <c r="P78" s="108"/>
      <c r="Q78" s="108"/>
      <c r="R78" s="108"/>
      <c r="S78" s="108"/>
      <c r="T78" s="108"/>
      <c r="U78" s="108"/>
      <c r="V78" s="108"/>
      <c r="W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row>
    <row r="79" spans="1:71" ht="16.5">
      <c r="A79" s="111"/>
      <c r="B79" s="111"/>
      <c r="C79" s="111"/>
      <c r="D79" s="111"/>
      <c r="E79" s="111"/>
      <c r="F79" s="111"/>
      <c r="G79" s="108"/>
      <c r="H79" s="108"/>
      <c r="I79" s="108"/>
      <c r="J79" s="108"/>
      <c r="K79" s="108"/>
      <c r="L79" s="1213"/>
      <c r="M79" s="1213"/>
      <c r="N79" s="108"/>
      <c r="O79" s="108"/>
      <c r="P79" s="108"/>
      <c r="Q79" s="108"/>
      <c r="R79" s="108"/>
      <c r="S79" s="108"/>
      <c r="T79" s="108"/>
      <c r="U79" s="108"/>
      <c r="V79" s="108"/>
      <c r="W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row>
    <row r="80" spans="1:71" ht="16.5">
      <c r="A80" s="111"/>
      <c r="B80" s="111"/>
      <c r="C80" s="111"/>
      <c r="D80" s="111"/>
      <c r="E80" s="111"/>
      <c r="F80" s="111"/>
      <c r="G80" s="108"/>
      <c r="H80" s="108"/>
      <c r="I80" s="108"/>
      <c r="J80" s="108"/>
      <c r="K80" s="108"/>
      <c r="L80" s="1213"/>
      <c r="M80" s="1213"/>
      <c r="N80" s="108"/>
      <c r="O80" s="108"/>
      <c r="P80" s="108"/>
      <c r="Q80" s="108"/>
      <c r="R80" s="108"/>
      <c r="S80" s="108"/>
      <c r="T80" s="108"/>
      <c r="U80" s="108"/>
      <c r="V80" s="108"/>
      <c r="W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row>
    <row r="81" spans="1:71" ht="16.5">
      <c r="A81" s="111"/>
      <c r="B81" s="111"/>
      <c r="C81" s="111"/>
      <c r="D81" s="111"/>
      <c r="E81" s="111"/>
      <c r="F81" s="111"/>
      <c r="G81" s="108"/>
      <c r="H81" s="108"/>
      <c r="I81" s="108"/>
      <c r="J81" s="108"/>
      <c r="K81" s="108"/>
      <c r="L81" s="1213"/>
      <c r="M81" s="1213"/>
      <c r="N81" s="108"/>
      <c r="O81" s="108"/>
      <c r="P81" s="108"/>
      <c r="Q81" s="108"/>
      <c r="R81" s="108"/>
      <c r="S81" s="108"/>
      <c r="T81" s="108"/>
      <c r="U81" s="108"/>
      <c r="V81" s="108"/>
      <c r="W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row>
    <row r="82" spans="1:71" ht="16.5">
      <c r="A82" s="111"/>
      <c r="B82" s="111"/>
      <c r="C82" s="111"/>
      <c r="D82" s="111"/>
      <c r="E82" s="111"/>
      <c r="F82" s="111"/>
      <c r="G82" s="108"/>
      <c r="H82" s="108"/>
      <c r="I82" s="108"/>
      <c r="J82" s="108"/>
      <c r="K82" s="108"/>
      <c r="L82" s="1213"/>
      <c r="M82" s="1213"/>
      <c r="N82" s="108"/>
      <c r="O82" s="108"/>
      <c r="P82" s="108"/>
      <c r="Q82" s="108"/>
      <c r="R82" s="108"/>
      <c r="S82" s="108"/>
      <c r="T82" s="108"/>
      <c r="U82" s="108"/>
      <c r="V82" s="108"/>
      <c r="W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row>
    <row r="83" spans="1:71" ht="16.5">
      <c r="A83" s="111"/>
      <c r="B83" s="111"/>
      <c r="C83" s="111"/>
      <c r="D83" s="111"/>
      <c r="E83" s="111"/>
      <c r="F83" s="111"/>
      <c r="G83" s="108"/>
      <c r="H83" s="108"/>
      <c r="I83" s="108"/>
      <c r="J83" s="108"/>
      <c r="K83" s="108"/>
      <c r="L83" s="1213"/>
      <c r="M83" s="1213"/>
      <c r="N83" s="108"/>
      <c r="O83" s="108"/>
      <c r="P83" s="108"/>
      <c r="Q83" s="108"/>
      <c r="R83" s="108"/>
      <c r="S83" s="108"/>
      <c r="T83" s="108"/>
      <c r="U83" s="108"/>
      <c r="V83" s="108"/>
      <c r="W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row>
    <row r="84" spans="1:71" ht="16.5">
      <c r="A84" s="111"/>
      <c r="B84" s="111"/>
      <c r="C84" s="111"/>
      <c r="D84" s="111"/>
      <c r="E84" s="111"/>
      <c r="F84" s="111"/>
      <c r="G84" s="108"/>
      <c r="H84" s="108"/>
      <c r="I84" s="108"/>
      <c r="J84" s="108"/>
      <c r="K84" s="108"/>
      <c r="L84" s="1213"/>
      <c r="M84" s="1213"/>
      <c r="N84" s="108"/>
      <c r="O84" s="108"/>
      <c r="P84" s="108"/>
      <c r="Q84" s="108"/>
      <c r="R84" s="108"/>
      <c r="S84" s="108"/>
      <c r="T84" s="108"/>
      <c r="U84" s="108"/>
      <c r="V84" s="108"/>
      <c r="W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row>
    <row r="85" spans="1:71" ht="16.5">
      <c r="A85" s="111"/>
      <c r="B85" s="111"/>
      <c r="C85" s="111"/>
      <c r="D85" s="111"/>
      <c r="E85" s="111"/>
      <c r="F85" s="111"/>
      <c r="G85" s="108"/>
      <c r="H85" s="108"/>
      <c r="I85" s="108"/>
      <c r="J85" s="108"/>
      <c r="K85" s="108"/>
      <c r="L85" s="1213"/>
      <c r="M85" s="1213"/>
      <c r="N85" s="108"/>
      <c r="O85" s="108"/>
      <c r="P85" s="108"/>
      <c r="Q85" s="108"/>
      <c r="R85" s="108"/>
      <c r="S85" s="108"/>
      <c r="T85" s="108"/>
      <c r="U85" s="108"/>
      <c r="V85" s="108"/>
      <c r="W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row>
    <row r="86" spans="1:71" ht="16.5">
      <c r="A86" s="111"/>
      <c r="B86" s="111"/>
      <c r="C86" s="111"/>
      <c r="D86" s="111"/>
      <c r="E86" s="111"/>
      <c r="F86" s="111"/>
      <c r="G86" s="108"/>
      <c r="H86" s="108"/>
      <c r="I86" s="108"/>
      <c r="J86" s="108"/>
      <c r="K86" s="108"/>
      <c r="L86" s="1213"/>
      <c r="M86" s="1213"/>
      <c r="N86" s="108"/>
      <c r="O86" s="108"/>
      <c r="P86" s="108"/>
      <c r="Q86" s="108"/>
      <c r="R86" s="108"/>
      <c r="S86" s="108"/>
      <c r="T86" s="108"/>
      <c r="U86" s="108"/>
      <c r="V86" s="108"/>
      <c r="W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row>
    <row r="87" spans="1:71" ht="16.5">
      <c r="A87" s="111"/>
      <c r="B87" s="111"/>
      <c r="C87" s="111"/>
      <c r="D87" s="111"/>
      <c r="E87" s="111"/>
      <c r="F87" s="111"/>
      <c r="G87" s="108"/>
      <c r="H87" s="108"/>
      <c r="I87" s="108"/>
      <c r="J87" s="108"/>
      <c r="K87" s="108"/>
      <c r="L87" s="1213"/>
      <c r="M87" s="1213"/>
      <c r="N87" s="108"/>
      <c r="O87" s="108"/>
      <c r="P87" s="108"/>
      <c r="Q87" s="108"/>
      <c r="R87" s="108"/>
      <c r="S87" s="108"/>
      <c r="T87" s="108"/>
      <c r="U87" s="108"/>
      <c r="V87" s="108"/>
      <c r="W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row>
    <row r="88" spans="1:71" ht="16.5">
      <c r="A88" s="111"/>
      <c r="B88" s="111"/>
      <c r="C88" s="111"/>
      <c r="D88" s="111"/>
      <c r="E88" s="111"/>
      <c r="F88" s="111"/>
      <c r="G88" s="108"/>
      <c r="H88" s="108"/>
      <c r="I88" s="108"/>
      <c r="J88" s="108"/>
      <c r="K88" s="108"/>
      <c r="L88" s="1213"/>
      <c r="M88" s="1213"/>
      <c r="N88" s="108"/>
      <c r="O88" s="108"/>
      <c r="P88" s="108"/>
      <c r="Q88" s="108"/>
      <c r="R88" s="108"/>
      <c r="S88" s="108"/>
      <c r="T88" s="108"/>
      <c r="U88" s="108"/>
      <c r="V88" s="108"/>
      <c r="W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row>
    <row r="89" spans="1:71" ht="16.5">
      <c r="A89" s="111"/>
      <c r="B89" s="111"/>
      <c r="C89" s="111"/>
      <c r="D89" s="111"/>
      <c r="E89" s="111"/>
      <c r="F89" s="111"/>
      <c r="G89" s="108"/>
      <c r="H89" s="108"/>
      <c r="I89" s="108"/>
      <c r="J89" s="108"/>
      <c r="K89" s="108"/>
      <c r="L89" s="1213"/>
      <c r="M89" s="1213"/>
      <c r="N89" s="108"/>
      <c r="O89" s="108"/>
      <c r="P89" s="108"/>
      <c r="Q89" s="108"/>
      <c r="R89" s="108"/>
      <c r="S89" s="108"/>
      <c r="T89" s="108"/>
      <c r="U89" s="108"/>
      <c r="V89" s="108"/>
      <c r="W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row>
    <row r="90" spans="1:71" ht="16.5">
      <c r="A90" s="111"/>
      <c r="B90" s="111"/>
      <c r="C90" s="111"/>
      <c r="D90" s="111"/>
      <c r="E90" s="111"/>
      <c r="F90" s="111"/>
      <c r="G90" s="108"/>
      <c r="H90" s="108"/>
      <c r="I90" s="108"/>
      <c r="J90" s="108"/>
      <c r="K90" s="108"/>
      <c r="L90" s="1213"/>
      <c r="M90" s="1213"/>
      <c r="N90" s="108"/>
      <c r="O90" s="108"/>
      <c r="P90" s="108"/>
      <c r="Q90" s="108"/>
      <c r="R90" s="108"/>
      <c r="S90" s="108"/>
      <c r="T90" s="108"/>
      <c r="U90" s="108"/>
      <c r="V90" s="108"/>
      <c r="W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row>
    <row r="91" spans="1:71" ht="16.5">
      <c r="A91" s="111"/>
      <c r="B91" s="111"/>
      <c r="C91" s="111"/>
      <c r="D91" s="111"/>
      <c r="E91" s="111"/>
      <c r="F91" s="111"/>
      <c r="G91" s="108"/>
      <c r="H91" s="108"/>
      <c r="I91" s="108"/>
      <c r="J91" s="108"/>
      <c r="K91" s="108"/>
      <c r="L91" s="1213"/>
      <c r="M91" s="1213"/>
      <c r="N91" s="108"/>
      <c r="O91" s="108"/>
      <c r="P91" s="108"/>
      <c r="Q91" s="108"/>
      <c r="R91" s="108"/>
      <c r="S91" s="108"/>
      <c r="T91" s="108"/>
      <c r="U91" s="108"/>
      <c r="V91" s="108"/>
      <c r="W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c r="BL91" s="108"/>
      <c r="BM91" s="108"/>
      <c r="BN91" s="108"/>
      <c r="BO91" s="108"/>
      <c r="BP91" s="108"/>
      <c r="BQ91" s="108"/>
      <c r="BR91" s="108"/>
      <c r="BS91" s="108"/>
    </row>
    <row r="92" spans="1:71" ht="16.5">
      <c r="A92" s="111"/>
      <c r="B92" s="111"/>
      <c r="C92" s="111"/>
      <c r="D92" s="111"/>
      <c r="E92" s="111"/>
      <c r="F92" s="111"/>
      <c r="G92" s="108"/>
      <c r="H92" s="108"/>
      <c r="I92" s="108"/>
      <c r="J92" s="108"/>
      <c r="K92" s="108"/>
      <c r="L92" s="1213"/>
      <c r="M92" s="1213"/>
      <c r="N92" s="108"/>
      <c r="O92" s="108"/>
      <c r="P92" s="108"/>
      <c r="Q92" s="108"/>
      <c r="R92" s="108"/>
      <c r="S92" s="108"/>
      <c r="T92" s="108"/>
      <c r="U92" s="108"/>
      <c r="V92" s="108"/>
      <c r="W92" s="108"/>
      <c r="AG92" s="108"/>
      <c r="AH92" s="108"/>
      <c r="AI92" s="108"/>
      <c r="AJ92" s="108"/>
      <c r="AK92" s="108"/>
      <c r="AL92" s="108"/>
      <c r="AM92" s="108"/>
      <c r="AN92" s="108"/>
      <c r="AO92" s="108"/>
      <c r="AP92" s="108"/>
      <c r="AQ92" s="108"/>
      <c r="AR92" s="108"/>
      <c r="AS92" s="108"/>
      <c r="AT92" s="108"/>
      <c r="AU92" s="108"/>
      <c r="AV92" s="108"/>
      <c r="AW92" s="108"/>
      <c r="AX92" s="108"/>
      <c r="AY92" s="108"/>
      <c r="AZ92" s="108"/>
      <c r="BA92" s="108"/>
      <c r="BB92" s="108"/>
      <c r="BC92" s="108"/>
      <c r="BD92" s="108"/>
      <c r="BE92" s="108"/>
      <c r="BF92" s="108"/>
      <c r="BG92" s="108"/>
      <c r="BH92" s="108"/>
      <c r="BI92" s="108"/>
      <c r="BJ92" s="108"/>
      <c r="BK92" s="108"/>
      <c r="BL92" s="108"/>
      <c r="BM92" s="108"/>
      <c r="BN92" s="108"/>
      <c r="BO92" s="108"/>
      <c r="BP92" s="108"/>
      <c r="BQ92" s="108"/>
      <c r="BR92" s="108"/>
      <c r="BS92" s="108"/>
    </row>
    <row r="93" spans="1:71" ht="16.5">
      <c r="A93" s="111"/>
      <c r="B93" s="111"/>
      <c r="C93" s="111"/>
      <c r="D93" s="111"/>
      <c r="E93" s="111"/>
      <c r="F93" s="111"/>
      <c r="G93" s="108"/>
      <c r="H93" s="108"/>
      <c r="I93" s="108"/>
      <c r="J93" s="108"/>
      <c r="K93" s="108"/>
      <c r="L93" s="1213"/>
      <c r="M93" s="1213"/>
      <c r="N93" s="108"/>
      <c r="O93" s="108"/>
      <c r="P93" s="108"/>
      <c r="Q93" s="108"/>
      <c r="R93" s="108"/>
      <c r="S93" s="108"/>
      <c r="T93" s="108"/>
      <c r="U93" s="108"/>
      <c r="V93" s="108"/>
      <c r="W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c r="BL93" s="108"/>
      <c r="BM93" s="108"/>
      <c r="BN93" s="108"/>
      <c r="BO93" s="108"/>
      <c r="BP93" s="108"/>
      <c r="BQ93" s="108"/>
      <c r="BR93" s="108"/>
      <c r="BS93" s="108"/>
    </row>
    <row r="94" spans="1:71" ht="16.5">
      <c r="A94" s="111"/>
      <c r="B94" s="111"/>
      <c r="C94" s="111"/>
      <c r="D94" s="111"/>
      <c r="E94" s="111"/>
      <c r="F94" s="111"/>
      <c r="G94" s="108"/>
      <c r="H94" s="108"/>
      <c r="I94" s="108"/>
      <c r="J94" s="108"/>
      <c r="K94" s="108"/>
      <c r="L94" s="1213"/>
      <c r="M94" s="1213"/>
      <c r="N94" s="108"/>
      <c r="O94" s="108"/>
      <c r="P94" s="108"/>
      <c r="Q94" s="108"/>
      <c r="R94" s="108"/>
      <c r="S94" s="108"/>
      <c r="T94" s="108"/>
      <c r="U94" s="108"/>
      <c r="V94" s="108"/>
      <c r="W94" s="108"/>
      <c r="AG94" s="108"/>
      <c r="AH94" s="108"/>
      <c r="AI94" s="108"/>
      <c r="AJ94" s="108"/>
      <c r="AK94" s="108"/>
      <c r="AL94" s="108"/>
      <c r="AM94" s="108"/>
      <c r="AN94" s="108"/>
      <c r="AO94" s="108"/>
      <c r="AP94" s="108"/>
      <c r="AQ94" s="108"/>
      <c r="AR94" s="108"/>
      <c r="AS94" s="108"/>
      <c r="AT94" s="108"/>
      <c r="AU94" s="108"/>
      <c r="AV94" s="108"/>
      <c r="AW94" s="108"/>
      <c r="AX94" s="108"/>
      <c r="AY94" s="108"/>
      <c r="AZ94" s="108"/>
      <c r="BA94" s="108"/>
      <c r="BB94" s="108"/>
      <c r="BC94" s="108"/>
      <c r="BD94" s="108"/>
      <c r="BE94" s="108"/>
      <c r="BF94" s="108"/>
      <c r="BG94" s="108"/>
      <c r="BH94" s="108"/>
      <c r="BI94" s="108"/>
      <c r="BJ94" s="108"/>
      <c r="BK94" s="108"/>
      <c r="BL94" s="108"/>
      <c r="BM94" s="108"/>
      <c r="BN94" s="108"/>
      <c r="BO94" s="108"/>
      <c r="BP94" s="108"/>
      <c r="BQ94" s="108"/>
      <c r="BR94" s="108"/>
      <c r="BS94" s="108"/>
    </row>
    <row r="95" spans="1:71" ht="16.5">
      <c r="A95" s="108"/>
      <c r="B95" s="108"/>
      <c r="C95" s="108"/>
      <c r="D95" s="108"/>
      <c r="E95" s="108"/>
      <c r="F95" s="108"/>
      <c r="G95" s="108"/>
      <c r="H95" s="108"/>
      <c r="I95" s="108"/>
      <c r="J95" s="108"/>
      <c r="K95" s="108"/>
      <c r="L95" s="1213"/>
      <c r="M95" s="1213"/>
      <c r="N95" s="108"/>
      <c r="O95" s="108"/>
      <c r="P95" s="108"/>
      <c r="Q95" s="108"/>
      <c r="R95" s="108"/>
      <c r="S95" s="108"/>
      <c r="T95" s="108"/>
      <c r="U95" s="108"/>
      <c r="V95" s="108"/>
      <c r="W95" s="108"/>
      <c r="AG95" s="108"/>
      <c r="AH95" s="108"/>
      <c r="AI95" s="108"/>
      <c r="AJ95" s="108"/>
      <c r="AK95" s="108"/>
      <c r="AL95" s="108"/>
      <c r="AM95" s="108"/>
      <c r="AN95" s="108"/>
      <c r="AO95" s="108"/>
      <c r="AP95" s="108"/>
      <c r="AQ95" s="108"/>
      <c r="AR95" s="108"/>
      <c r="AS95" s="108"/>
      <c r="AT95" s="108"/>
      <c r="AU95" s="108"/>
      <c r="AV95" s="108"/>
      <c r="AW95" s="108"/>
      <c r="AX95" s="108"/>
      <c r="AY95" s="108"/>
      <c r="AZ95" s="108"/>
      <c r="BA95" s="108"/>
      <c r="BB95" s="108"/>
      <c r="BC95" s="108"/>
      <c r="BD95" s="108"/>
      <c r="BE95" s="108"/>
      <c r="BF95" s="108"/>
      <c r="BG95" s="108"/>
      <c r="BH95" s="108"/>
      <c r="BI95" s="108"/>
      <c r="BJ95" s="108"/>
      <c r="BK95" s="108"/>
      <c r="BL95" s="108"/>
      <c r="BM95" s="108"/>
      <c r="BN95" s="108"/>
      <c r="BO95" s="108"/>
      <c r="BP95" s="108"/>
      <c r="BQ95" s="108"/>
      <c r="BR95" s="108"/>
      <c r="BS95" s="108"/>
    </row>
    <row r="96" spans="1:71" ht="16.5">
      <c r="A96" s="108"/>
      <c r="B96" s="108"/>
      <c r="C96" s="108"/>
      <c r="D96" s="108"/>
      <c r="E96" s="108"/>
      <c r="F96" s="108"/>
      <c r="G96" s="108"/>
      <c r="H96" s="108"/>
      <c r="I96" s="108"/>
      <c r="J96" s="108"/>
      <c r="K96" s="108"/>
      <c r="L96" s="1213"/>
      <c r="M96" s="1213"/>
      <c r="N96" s="108"/>
      <c r="O96" s="108"/>
      <c r="P96" s="108"/>
      <c r="Q96" s="108"/>
      <c r="R96" s="108"/>
      <c r="S96" s="108"/>
      <c r="T96" s="108"/>
      <c r="U96" s="108"/>
      <c r="V96" s="108"/>
      <c r="W96" s="108"/>
      <c r="AG96" s="108"/>
      <c r="AH96" s="108"/>
      <c r="AI96" s="108"/>
      <c r="AJ96" s="108"/>
      <c r="AK96" s="108"/>
      <c r="AL96" s="108"/>
      <c r="AM96" s="108"/>
      <c r="AN96" s="108"/>
      <c r="AO96" s="108"/>
      <c r="AP96" s="108"/>
      <c r="AQ96" s="108"/>
      <c r="AR96" s="108"/>
      <c r="AS96" s="108"/>
      <c r="AT96" s="108"/>
      <c r="AU96" s="108"/>
      <c r="AV96" s="108"/>
      <c r="AW96" s="108"/>
      <c r="AX96" s="108"/>
      <c r="AY96" s="108"/>
      <c r="AZ96" s="108"/>
      <c r="BA96" s="108"/>
      <c r="BB96" s="108"/>
      <c r="BC96" s="108"/>
      <c r="BD96" s="108"/>
      <c r="BE96" s="108"/>
      <c r="BF96" s="108"/>
      <c r="BG96" s="108"/>
      <c r="BH96" s="108"/>
      <c r="BI96" s="108"/>
      <c r="BJ96" s="108"/>
      <c r="BK96" s="108"/>
      <c r="BL96" s="108"/>
      <c r="BM96" s="108"/>
      <c r="BN96" s="108"/>
      <c r="BO96" s="108"/>
      <c r="BP96" s="108"/>
      <c r="BQ96" s="108"/>
      <c r="BR96" s="108"/>
      <c r="BS96" s="108"/>
    </row>
    <row r="97" spans="1:71" ht="16.5">
      <c r="A97" s="108"/>
      <c r="B97" s="108"/>
      <c r="C97" s="108"/>
      <c r="D97" s="108"/>
      <c r="E97" s="108"/>
      <c r="F97" s="108"/>
      <c r="G97" s="108"/>
      <c r="H97" s="108"/>
      <c r="I97" s="108"/>
      <c r="J97" s="108"/>
      <c r="K97" s="108"/>
      <c r="L97" s="1213"/>
      <c r="M97" s="1213"/>
      <c r="N97" s="108"/>
      <c r="O97" s="108"/>
      <c r="P97" s="108"/>
      <c r="Q97" s="108"/>
      <c r="R97" s="108"/>
      <c r="S97" s="108"/>
      <c r="T97" s="108"/>
      <c r="U97" s="108"/>
      <c r="V97" s="108"/>
      <c r="W97" s="108"/>
      <c r="AG97" s="108"/>
      <c r="AH97" s="108"/>
      <c r="AI97" s="108"/>
      <c r="AJ97" s="108"/>
      <c r="AK97" s="108"/>
      <c r="AL97" s="108"/>
      <c r="AM97" s="108"/>
      <c r="AN97" s="108"/>
      <c r="AO97" s="108"/>
      <c r="AP97" s="108"/>
      <c r="AQ97" s="108"/>
      <c r="AR97" s="108"/>
      <c r="AS97" s="108"/>
      <c r="AT97" s="108"/>
      <c r="AU97" s="108"/>
      <c r="AV97" s="108"/>
      <c r="AW97" s="108"/>
      <c r="AX97" s="108"/>
      <c r="AY97" s="108"/>
      <c r="AZ97" s="108"/>
      <c r="BA97" s="108"/>
      <c r="BB97" s="108"/>
      <c r="BC97" s="108"/>
      <c r="BD97" s="108"/>
      <c r="BE97" s="108"/>
      <c r="BF97" s="108"/>
      <c r="BG97" s="108"/>
      <c r="BH97" s="108"/>
      <c r="BI97" s="108"/>
      <c r="BJ97" s="108"/>
      <c r="BK97" s="108"/>
      <c r="BL97" s="108"/>
      <c r="BM97" s="108"/>
      <c r="BN97" s="108"/>
      <c r="BO97" s="108"/>
      <c r="BP97" s="108"/>
      <c r="BQ97" s="108"/>
      <c r="BR97" s="108"/>
      <c r="BS97" s="108"/>
    </row>
    <row r="98" spans="1:71" ht="16.5">
      <c r="A98" s="108"/>
      <c r="B98" s="108"/>
      <c r="C98" s="108"/>
      <c r="D98" s="108"/>
      <c r="E98" s="108"/>
      <c r="F98" s="108"/>
      <c r="G98" s="108"/>
      <c r="H98" s="108"/>
      <c r="I98" s="108"/>
      <c r="J98" s="108"/>
      <c r="K98" s="108"/>
      <c r="L98" s="1213"/>
      <c r="M98" s="1213"/>
      <c r="N98" s="108"/>
      <c r="O98" s="108"/>
      <c r="P98" s="108"/>
      <c r="Q98" s="108"/>
      <c r="R98" s="108"/>
      <c r="S98" s="108"/>
      <c r="T98" s="108"/>
      <c r="U98" s="108"/>
      <c r="V98" s="108"/>
      <c r="W98" s="108"/>
      <c r="AG98" s="108"/>
      <c r="AH98" s="108"/>
      <c r="AI98" s="108"/>
      <c r="AJ98" s="108"/>
      <c r="AK98" s="108"/>
      <c r="AL98" s="108"/>
      <c r="AM98" s="108"/>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8"/>
      <c r="BR98" s="108"/>
      <c r="BS98" s="108"/>
    </row>
    <row r="99" spans="1:71" ht="16.5">
      <c r="A99" s="108"/>
      <c r="B99" s="108"/>
      <c r="C99" s="108"/>
      <c r="D99" s="108"/>
      <c r="E99" s="108"/>
      <c r="F99" s="108"/>
      <c r="G99" s="108"/>
      <c r="H99" s="108"/>
      <c r="I99" s="108"/>
      <c r="J99" s="108"/>
      <c r="K99" s="108"/>
      <c r="L99" s="1213"/>
      <c r="M99" s="1213"/>
      <c r="N99" s="108"/>
      <c r="O99" s="108"/>
      <c r="P99" s="108"/>
      <c r="Q99" s="108"/>
      <c r="R99" s="108"/>
      <c r="S99" s="108"/>
      <c r="T99" s="108"/>
      <c r="U99" s="108"/>
      <c r="V99" s="108"/>
      <c r="W99" s="108"/>
      <c r="AG99" s="108"/>
      <c r="AH99" s="108"/>
      <c r="AI99" s="108"/>
      <c r="AJ99" s="108"/>
      <c r="AK99" s="108"/>
      <c r="AL99" s="108"/>
      <c r="AM99" s="108"/>
      <c r="AN99" s="108"/>
      <c r="AO99" s="108"/>
      <c r="AP99" s="108"/>
      <c r="AQ99" s="108"/>
      <c r="AR99" s="108"/>
      <c r="AS99" s="108"/>
      <c r="AT99" s="108"/>
      <c r="AU99" s="108"/>
      <c r="AV99" s="108"/>
      <c r="AW99" s="108"/>
      <c r="AX99" s="108"/>
      <c r="AY99" s="108"/>
      <c r="AZ99" s="108"/>
      <c r="BA99" s="108"/>
      <c r="BB99" s="108"/>
      <c r="BC99" s="108"/>
      <c r="BD99" s="108"/>
      <c r="BE99" s="108"/>
      <c r="BF99" s="108"/>
      <c r="BG99" s="108"/>
      <c r="BH99" s="108"/>
      <c r="BI99" s="108"/>
      <c r="BJ99" s="108"/>
      <c r="BK99" s="108"/>
      <c r="BL99" s="108"/>
      <c r="BM99" s="108"/>
      <c r="BN99" s="108"/>
      <c r="BO99" s="108"/>
      <c r="BP99" s="108"/>
      <c r="BQ99" s="108"/>
      <c r="BR99" s="108"/>
      <c r="BS99" s="108"/>
    </row>
    <row r="100" spans="1:71" ht="16.5">
      <c r="A100" s="108"/>
      <c r="B100" s="108"/>
      <c r="C100" s="108"/>
      <c r="D100" s="108"/>
      <c r="E100" s="108"/>
      <c r="F100" s="108"/>
      <c r="G100" s="108"/>
      <c r="H100" s="108"/>
      <c r="I100" s="108"/>
      <c r="J100" s="108"/>
      <c r="K100" s="108"/>
      <c r="L100" s="1213"/>
      <c r="M100" s="1213"/>
      <c r="N100" s="108"/>
      <c r="O100" s="108"/>
      <c r="P100" s="108"/>
      <c r="Q100" s="108"/>
      <c r="R100" s="108"/>
      <c r="S100" s="108"/>
      <c r="T100" s="108"/>
      <c r="U100" s="108"/>
      <c r="V100" s="108"/>
      <c r="W100" s="108"/>
      <c r="AG100" s="108"/>
      <c r="AH100" s="108"/>
      <c r="AI100" s="108"/>
      <c r="AJ100" s="108"/>
      <c r="AK100" s="108"/>
      <c r="AL100" s="108"/>
      <c r="AM100" s="108"/>
      <c r="AN100" s="108"/>
      <c r="AO100" s="108"/>
      <c r="AP100" s="108"/>
      <c r="AQ100" s="108"/>
      <c r="AR100" s="108"/>
      <c r="AS100" s="108"/>
      <c r="AT100" s="108"/>
      <c r="AU100" s="108"/>
      <c r="AV100" s="108"/>
      <c r="AW100" s="108"/>
      <c r="AX100" s="108"/>
      <c r="AY100" s="108"/>
      <c r="AZ100" s="108"/>
      <c r="BA100" s="108"/>
      <c r="BB100" s="108"/>
      <c r="BC100" s="108"/>
      <c r="BD100" s="108"/>
      <c r="BE100" s="108"/>
      <c r="BF100" s="108"/>
      <c r="BG100" s="108"/>
      <c r="BH100" s="108"/>
      <c r="BI100" s="108"/>
      <c r="BJ100" s="108"/>
      <c r="BK100" s="108"/>
      <c r="BL100" s="108"/>
      <c r="BM100" s="108"/>
      <c r="BN100" s="108"/>
      <c r="BO100" s="108"/>
      <c r="BP100" s="108"/>
      <c r="BQ100" s="108"/>
      <c r="BR100" s="108"/>
      <c r="BS100" s="108"/>
    </row>
  </sheetData>
  <sheetProtection sheet="1" objects="1" scenarios="1"/>
  <customSheetViews>
    <customSheetView guid="{D1431318-1DB8-4C45-813B-5A8065DFC797}" showPageBreaks="1" printArea="1" view="pageBreakPreview">
      <selection activeCell="E17" sqref="E17"/>
      <pageMargins left="0" right="0" top="0" bottom="0" header="0" footer="0"/>
      <pageSetup scale="99" orientation="portrait" blackAndWhite="1" r:id="rId1"/>
      <headerFooter alignWithMargins="0"/>
    </customSheetView>
  </customSheetViews>
  <mergeCells count="7">
    <mergeCell ref="E1:F1"/>
    <mergeCell ref="C1:D1"/>
    <mergeCell ref="M4:M5"/>
    <mergeCell ref="L4:L5"/>
    <mergeCell ref="A35:E36"/>
    <mergeCell ref="F34:F36"/>
    <mergeCell ref="A34:E34"/>
  </mergeCells>
  <phoneticPr fontId="26" type="noConversion"/>
  <dataValidations count="1">
    <dataValidation type="list" allowBlank="1" showInputMessage="1" showErrorMessage="1" sqref="E4:E33" xr:uid="{00000000-0002-0000-2200-000000000000}">
      <formula1>Reduction</formula1>
    </dataValidation>
  </dataValidations>
  <pageMargins left="0.75" right="0.75" top="0.5" bottom="0.76" header="0.5" footer="0.5"/>
  <pageSetup scale="96" orientation="portrait" blackAndWhite="1" r:id="rId2"/>
  <headerFooter alignWithMargins="0"/>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200-000002000000}">
          <x14:formula1>
            <xm:f>'Drop-Down Lists'!$BA$2:$BA$12</xm:f>
          </x14:formula1>
          <xm:sqref>B4:B33</xm:sqref>
        </x14:dataValidation>
        <x14:dataValidation type="list" allowBlank="1" showInputMessage="1" showErrorMessage="1" xr:uid="{00000000-0002-0000-2200-000001000000}">
          <x14:formula1>
            <xm:f>'Drop-Down Lists'!$BB$2:$BB$4</xm:f>
          </x14:formula1>
          <xm:sqref>C4:C33</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indexed="10"/>
  </sheetPr>
  <dimension ref="A1:IV76"/>
  <sheetViews>
    <sheetView showGridLines="0" view="pageBreakPreview" zoomScaleNormal="100" zoomScaleSheetLayoutView="100" workbookViewId="0">
      <selection activeCell="B4" sqref="B4"/>
    </sheetView>
  </sheetViews>
  <sheetFormatPr defaultColWidth="8.85546875" defaultRowHeight="12.75"/>
  <cols>
    <col min="1" max="1" width="7.85546875" style="1301" customWidth="1"/>
    <col min="2" max="2" width="8.140625" style="1301" customWidth="1"/>
    <col min="3" max="3" width="7.85546875" style="1301" customWidth="1"/>
    <col min="4" max="5" width="6.28515625" style="1301" customWidth="1"/>
    <col min="6" max="6" width="7" style="1301" customWidth="1"/>
    <col min="7" max="7" width="8.42578125" style="1301" customWidth="1"/>
    <col min="8" max="8" width="8.7109375" style="1301" customWidth="1"/>
    <col min="9" max="10" width="6.28515625" style="1301" customWidth="1"/>
    <col min="11" max="11" width="6.7109375" style="1301" customWidth="1"/>
    <col min="12" max="12" width="9.85546875" style="1301" customWidth="1"/>
    <col min="13" max="13" width="8.42578125" style="1301" customWidth="1"/>
    <col min="14" max="15" width="6.28515625" style="1301" customWidth="1"/>
    <col min="16" max="16" width="8.42578125" style="1301" customWidth="1"/>
    <col min="17" max="17" width="9.42578125" style="1301" customWidth="1"/>
    <col min="18" max="18" width="8.140625" style="1301" customWidth="1"/>
    <col min="19" max="20" width="6.28515625" style="1301" customWidth="1"/>
    <col min="21" max="21" width="9.28515625" style="1301" customWidth="1"/>
    <col min="22" max="22" width="8.85546875" style="1301" customWidth="1"/>
    <col min="23" max="23" width="8.140625" style="1301" customWidth="1"/>
    <col min="24" max="25" width="6.28515625" style="1301" customWidth="1"/>
    <col min="26" max="27" width="10.42578125" style="1301" customWidth="1"/>
    <col min="28" max="28" width="8.42578125" style="1301" customWidth="1"/>
    <col min="29" max="30" width="6.28515625" style="1301" customWidth="1"/>
    <col min="31" max="256" width="9.140625" style="1301"/>
    <col min="257" max="257" width="7.85546875" style="1301" customWidth="1"/>
    <col min="258" max="258" width="8.140625" style="1301" customWidth="1"/>
    <col min="259" max="259" width="7.85546875" style="1301" customWidth="1"/>
    <col min="260" max="261" width="4.7109375" style="1301" customWidth="1"/>
    <col min="262" max="262" width="7" style="1301" customWidth="1"/>
    <col min="263" max="263" width="8.42578125" style="1301" customWidth="1"/>
    <col min="264" max="264" width="8.7109375" style="1301" customWidth="1"/>
    <col min="265" max="265" width="5.140625" style="1301" customWidth="1"/>
    <col min="266" max="266" width="4.7109375" style="1301" customWidth="1"/>
    <col min="267" max="267" width="6.7109375" style="1301" customWidth="1"/>
    <col min="268" max="268" width="9.85546875" style="1301" customWidth="1"/>
    <col min="269" max="269" width="8.42578125" style="1301" customWidth="1"/>
    <col min="270" max="270" width="6" style="1301" customWidth="1"/>
    <col min="271" max="271" width="5.28515625" style="1301" customWidth="1"/>
    <col min="272" max="273" width="9.42578125" style="1301" customWidth="1"/>
    <col min="274" max="274" width="8.140625" style="1301" customWidth="1"/>
    <col min="275" max="275" width="7.28515625" style="1301" customWidth="1"/>
    <col min="276" max="276" width="6.140625" style="1301" customWidth="1"/>
    <col min="277" max="277" width="9.28515625" style="1301" customWidth="1"/>
    <col min="278" max="278" width="8.85546875" style="1301" customWidth="1"/>
    <col min="279" max="279" width="8.140625" style="1301" customWidth="1"/>
    <col min="280" max="280" width="8.42578125" style="1301" customWidth="1"/>
    <col min="281" max="281" width="6.7109375" style="1301" customWidth="1"/>
    <col min="282" max="283" width="10.42578125" style="1301" customWidth="1"/>
    <col min="284" max="284" width="8.42578125" style="1301" customWidth="1"/>
    <col min="285" max="285" width="7.7109375" style="1301" customWidth="1"/>
    <col min="286" max="286" width="5.42578125" style="1301" customWidth="1"/>
    <col min="287" max="512" width="9.140625" style="1301"/>
    <col min="513" max="513" width="7.85546875" style="1301" customWidth="1"/>
    <col min="514" max="514" width="8.140625" style="1301" customWidth="1"/>
    <col min="515" max="515" width="7.85546875" style="1301" customWidth="1"/>
    <col min="516" max="517" width="4.7109375" style="1301" customWidth="1"/>
    <col min="518" max="518" width="7" style="1301" customWidth="1"/>
    <col min="519" max="519" width="8.42578125" style="1301" customWidth="1"/>
    <col min="520" max="520" width="8.7109375" style="1301" customWidth="1"/>
    <col min="521" max="521" width="5.140625" style="1301" customWidth="1"/>
    <col min="522" max="522" width="4.7109375" style="1301" customWidth="1"/>
    <col min="523" max="523" width="6.7109375" style="1301" customWidth="1"/>
    <col min="524" max="524" width="9.85546875" style="1301" customWidth="1"/>
    <col min="525" max="525" width="8.42578125" style="1301" customWidth="1"/>
    <col min="526" max="526" width="6" style="1301" customWidth="1"/>
    <col min="527" max="527" width="5.28515625" style="1301" customWidth="1"/>
    <col min="528" max="529" width="9.42578125" style="1301" customWidth="1"/>
    <col min="530" max="530" width="8.140625" style="1301" customWidth="1"/>
    <col min="531" max="531" width="7.28515625" style="1301" customWidth="1"/>
    <col min="532" max="532" width="6.140625" style="1301" customWidth="1"/>
    <col min="533" max="533" width="9.28515625" style="1301" customWidth="1"/>
    <col min="534" max="534" width="8.85546875" style="1301" customWidth="1"/>
    <col min="535" max="535" width="8.140625" style="1301" customWidth="1"/>
    <col min="536" max="536" width="8.42578125" style="1301" customWidth="1"/>
    <col min="537" max="537" width="6.7109375" style="1301" customWidth="1"/>
    <col min="538" max="539" width="10.42578125" style="1301" customWidth="1"/>
    <col min="540" max="540" width="8.42578125" style="1301" customWidth="1"/>
    <col min="541" max="541" width="7.7109375" style="1301" customWidth="1"/>
    <col min="542" max="542" width="5.42578125" style="1301" customWidth="1"/>
    <col min="543" max="768" width="9.140625" style="1301"/>
    <col min="769" max="769" width="7.85546875" style="1301" customWidth="1"/>
    <col min="770" max="770" width="8.140625" style="1301" customWidth="1"/>
    <col min="771" max="771" width="7.85546875" style="1301" customWidth="1"/>
    <col min="772" max="773" width="4.7109375" style="1301" customWidth="1"/>
    <col min="774" max="774" width="7" style="1301" customWidth="1"/>
    <col min="775" max="775" width="8.42578125" style="1301" customWidth="1"/>
    <col min="776" max="776" width="8.7109375" style="1301" customWidth="1"/>
    <col min="777" max="777" width="5.140625" style="1301" customWidth="1"/>
    <col min="778" max="778" width="4.7109375" style="1301" customWidth="1"/>
    <col min="779" max="779" width="6.7109375" style="1301" customWidth="1"/>
    <col min="780" max="780" width="9.85546875" style="1301" customWidth="1"/>
    <col min="781" max="781" width="8.42578125" style="1301" customWidth="1"/>
    <col min="782" max="782" width="6" style="1301" customWidth="1"/>
    <col min="783" max="783" width="5.28515625" style="1301" customWidth="1"/>
    <col min="784" max="785" width="9.42578125" style="1301" customWidth="1"/>
    <col min="786" max="786" width="8.140625" style="1301" customWidth="1"/>
    <col min="787" max="787" width="7.28515625" style="1301" customWidth="1"/>
    <col min="788" max="788" width="6.140625" style="1301" customWidth="1"/>
    <col min="789" max="789" width="9.28515625" style="1301" customWidth="1"/>
    <col min="790" max="790" width="8.85546875" style="1301" customWidth="1"/>
    <col min="791" max="791" width="8.140625" style="1301" customWidth="1"/>
    <col min="792" max="792" width="8.42578125" style="1301" customWidth="1"/>
    <col min="793" max="793" width="6.7109375" style="1301" customWidth="1"/>
    <col min="794" max="795" width="10.42578125" style="1301" customWidth="1"/>
    <col min="796" max="796" width="8.42578125" style="1301" customWidth="1"/>
    <col min="797" max="797" width="7.7109375" style="1301" customWidth="1"/>
    <col min="798" max="798" width="5.42578125" style="1301" customWidth="1"/>
    <col min="799" max="1024" width="9.140625" style="1301"/>
    <col min="1025" max="1025" width="7.85546875" style="1301" customWidth="1"/>
    <col min="1026" max="1026" width="8.140625" style="1301" customWidth="1"/>
    <col min="1027" max="1027" width="7.85546875" style="1301" customWidth="1"/>
    <col min="1028" max="1029" width="4.7109375" style="1301" customWidth="1"/>
    <col min="1030" max="1030" width="7" style="1301" customWidth="1"/>
    <col min="1031" max="1031" width="8.42578125" style="1301" customWidth="1"/>
    <col min="1032" max="1032" width="8.7109375" style="1301" customWidth="1"/>
    <col min="1033" max="1033" width="5.140625" style="1301" customWidth="1"/>
    <col min="1034" max="1034" width="4.7109375" style="1301" customWidth="1"/>
    <col min="1035" max="1035" width="6.7109375" style="1301" customWidth="1"/>
    <col min="1036" max="1036" width="9.85546875" style="1301" customWidth="1"/>
    <col min="1037" max="1037" width="8.42578125" style="1301" customWidth="1"/>
    <col min="1038" max="1038" width="6" style="1301" customWidth="1"/>
    <col min="1039" max="1039" width="5.28515625" style="1301" customWidth="1"/>
    <col min="1040" max="1041" width="9.42578125" style="1301" customWidth="1"/>
    <col min="1042" max="1042" width="8.140625" style="1301" customWidth="1"/>
    <col min="1043" max="1043" width="7.28515625" style="1301" customWidth="1"/>
    <col min="1044" max="1044" width="6.140625" style="1301" customWidth="1"/>
    <col min="1045" max="1045" width="9.28515625" style="1301" customWidth="1"/>
    <col min="1046" max="1046" width="8.85546875" style="1301" customWidth="1"/>
    <col min="1047" max="1047" width="8.140625" style="1301" customWidth="1"/>
    <col min="1048" max="1048" width="8.42578125" style="1301" customWidth="1"/>
    <col min="1049" max="1049" width="6.7109375" style="1301" customWidth="1"/>
    <col min="1050" max="1051" width="10.42578125" style="1301" customWidth="1"/>
    <col min="1052" max="1052" width="8.42578125" style="1301" customWidth="1"/>
    <col min="1053" max="1053" width="7.7109375" style="1301" customWidth="1"/>
    <col min="1054" max="1054" width="5.42578125" style="1301" customWidth="1"/>
    <col min="1055" max="1280" width="9.140625" style="1301"/>
    <col min="1281" max="1281" width="7.85546875" style="1301" customWidth="1"/>
    <col min="1282" max="1282" width="8.140625" style="1301" customWidth="1"/>
    <col min="1283" max="1283" width="7.85546875" style="1301" customWidth="1"/>
    <col min="1284" max="1285" width="4.7109375" style="1301" customWidth="1"/>
    <col min="1286" max="1286" width="7" style="1301" customWidth="1"/>
    <col min="1287" max="1287" width="8.42578125" style="1301" customWidth="1"/>
    <col min="1288" max="1288" width="8.7109375" style="1301" customWidth="1"/>
    <col min="1289" max="1289" width="5.140625" style="1301" customWidth="1"/>
    <col min="1290" max="1290" width="4.7109375" style="1301" customWidth="1"/>
    <col min="1291" max="1291" width="6.7109375" style="1301" customWidth="1"/>
    <col min="1292" max="1292" width="9.85546875" style="1301" customWidth="1"/>
    <col min="1293" max="1293" width="8.42578125" style="1301" customWidth="1"/>
    <col min="1294" max="1294" width="6" style="1301" customWidth="1"/>
    <col min="1295" max="1295" width="5.28515625" style="1301" customWidth="1"/>
    <col min="1296" max="1297" width="9.42578125" style="1301" customWidth="1"/>
    <col min="1298" max="1298" width="8.140625" style="1301" customWidth="1"/>
    <col min="1299" max="1299" width="7.28515625" style="1301" customWidth="1"/>
    <col min="1300" max="1300" width="6.140625" style="1301" customWidth="1"/>
    <col min="1301" max="1301" width="9.28515625" style="1301" customWidth="1"/>
    <col min="1302" max="1302" width="8.85546875" style="1301" customWidth="1"/>
    <col min="1303" max="1303" width="8.140625" style="1301" customWidth="1"/>
    <col min="1304" max="1304" width="8.42578125" style="1301" customWidth="1"/>
    <col min="1305" max="1305" width="6.7109375" style="1301" customWidth="1"/>
    <col min="1306" max="1307" width="10.42578125" style="1301" customWidth="1"/>
    <col min="1308" max="1308" width="8.42578125" style="1301" customWidth="1"/>
    <col min="1309" max="1309" width="7.7109375" style="1301" customWidth="1"/>
    <col min="1310" max="1310" width="5.42578125" style="1301" customWidth="1"/>
    <col min="1311" max="1536" width="9.140625" style="1301"/>
    <col min="1537" max="1537" width="7.85546875" style="1301" customWidth="1"/>
    <col min="1538" max="1538" width="8.140625" style="1301" customWidth="1"/>
    <col min="1539" max="1539" width="7.85546875" style="1301" customWidth="1"/>
    <col min="1540" max="1541" width="4.7109375" style="1301" customWidth="1"/>
    <col min="1542" max="1542" width="7" style="1301" customWidth="1"/>
    <col min="1543" max="1543" width="8.42578125" style="1301" customWidth="1"/>
    <col min="1544" max="1544" width="8.7109375" style="1301" customWidth="1"/>
    <col min="1545" max="1545" width="5.140625" style="1301" customWidth="1"/>
    <col min="1546" max="1546" width="4.7109375" style="1301" customWidth="1"/>
    <col min="1547" max="1547" width="6.7109375" style="1301" customWidth="1"/>
    <col min="1548" max="1548" width="9.85546875" style="1301" customWidth="1"/>
    <col min="1549" max="1549" width="8.42578125" style="1301" customWidth="1"/>
    <col min="1550" max="1550" width="6" style="1301" customWidth="1"/>
    <col min="1551" max="1551" width="5.28515625" style="1301" customWidth="1"/>
    <col min="1552" max="1553" width="9.42578125" style="1301" customWidth="1"/>
    <col min="1554" max="1554" width="8.140625" style="1301" customWidth="1"/>
    <col min="1555" max="1555" width="7.28515625" style="1301" customWidth="1"/>
    <col min="1556" max="1556" width="6.140625" style="1301" customWidth="1"/>
    <col min="1557" max="1557" width="9.28515625" style="1301" customWidth="1"/>
    <col min="1558" max="1558" width="8.85546875" style="1301" customWidth="1"/>
    <col min="1559" max="1559" width="8.140625" style="1301" customWidth="1"/>
    <col min="1560" max="1560" width="8.42578125" style="1301" customWidth="1"/>
    <col min="1561" max="1561" width="6.7109375" style="1301" customWidth="1"/>
    <col min="1562" max="1563" width="10.42578125" style="1301" customWidth="1"/>
    <col min="1564" max="1564" width="8.42578125" style="1301" customWidth="1"/>
    <col min="1565" max="1565" width="7.7109375" style="1301" customWidth="1"/>
    <col min="1566" max="1566" width="5.42578125" style="1301" customWidth="1"/>
    <col min="1567" max="1792" width="9.140625" style="1301"/>
    <col min="1793" max="1793" width="7.85546875" style="1301" customWidth="1"/>
    <col min="1794" max="1794" width="8.140625" style="1301" customWidth="1"/>
    <col min="1795" max="1795" width="7.85546875" style="1301" customWidth="1"/>
    <col min="1796" max="1797" width="4.7109375" style="1301" customWidth="1"/>
    <col min="1798" max="1798" width="7" style="1301" customWidth="1"/>
    <col min="1799" max="1799" width="8.42578125" style="1301" customWidth="1"/>
    <col min="1800" max="1800" width="8.7109375" style="1301" customWidth="1"/>
    <col min="1801" max="1801" width="5.140625" style="1301" customWidth="1"/>
    <col min="1802" max="1802" width="4.7109375" style="1301" customWidth="1"/>
    <col min="1803" max="1803" width="6.7109375" style="1301" customWidth="1"/>
    <col min="1804" max="1804" width="9.85546875" style="1301" customWidth="1"/>
    <col min="1805" max="1805" width="8.42578125" style="1301" customWidth="1"/>
    <col min="1806" max="1806" width="6" style="1301" customWidth="1"/>
    <col min="1807" max="1807" width="5.28515625" style="1301" customWidth="1"/>
    <col min="1808" max="1809" width="9.42578125" style="1301" customWidth="1"/>
    <col min="1810" max="1810" width="8.140625" style="1301" customWidth="1"/>
    <col min="1811" max="1811" width="7.28515625" style="1301" customWidth="1"/>
    <col min="1812" max="1812" width="6.140625" style="1301" customWidth="1"/>
    <col min="1813" max="1813" width="9.28515625" style="1301" customWidth="1"/>
    <col min="1814" max="1814" width="8.85546875" style="1301" customWidth="1"/>
    <col min="1815" max="1815" width="8.140625" style="1301" customWidth="1"/>
    <col min="1816" max="1816" width="8.42578125" style="1301" customWidth="1"/>
    <col min="1817" max="1817" width="6.7109375" style="1301" customWidth="1"/>
    <col min="1818" max="1819" width="10.42578125" style="1301" customWidth="1"/>
    <col min="1820" max="1820" width="8.42578125" style="1301" customWidth="1"/>
    <col min="1821" max="1821" width="7.7109375" style="1301" customWidth="1"/>
    <col min="1822" max="1822" width="5.42578125" style="1301" customWidth="1"/>
    <col min="1823" max="2048" width="9.140625" style="1301"/>
    <col min="2049" max="2049" width="7.85546875" style="1301" customWidth="1"/>
    <col min="2050" max="2050" width="8.140625" style="1301" customWidth="1"/>
    <col min="2051" max="2051" width="7.85546875" style="1301" customWidth="1"/>
    <col min="2052" max="2053" width="4.7109375" style="1301" customWidth="1"/>
    <col min="2054" max="2054" width="7" style="1301" customWidth="1"/>
    <col min="2055" max="2055" width="8.42578125" style="1301" customWidth="1"/>
    <col min="2056" max="2056" width="8.7109375" style="1301" customWidth="1"/>
    <col min="2057" max="2057" width="5.140625" style="1301" customWidth="1"/>
    <col min="2058" max="2058" width="4.7109375" style="1301" customWidth="1"/>
    <col min="2059" max="2059" width="6.7109375" style="1301" customWidth="1"/>
    <col min="2060" max="2060" width="9.85546875" style="1301" customWidth="1"/>
    <col min="2061" max="2061" width="8.42578125" style="1301" customWidth="1"/>
    <col min="2062" max="2062" width="6" style="1301" customWidth="1"/>
    <col min="2063" max="2063" width="5.28515625" style="1301" customWidth="1"/>
    <col min="2064" max="2065" width="9.42578125" style="1301" customWidth="1"/>
    <col min="2066" max="2066" width="8.140625" style="1301" customWidth="1"/>
    <col min="2067" max="2067" width="7.28515625" style="1301" customWidth="1"/>
    <col min="2068" max="2068" width="6.140625" style="1301" customWidth="1"/>
    <col min="2069" max="2069" width="9.28515625" style="1301" customWidth="1"/>
    <col min="2070" max="2070" width="8.85546875" style="1301" customWidth="1"/>
    <col min="2071" max="2071" width="8.140625" style="1301" customWidth="1"/>
    <col min="2072" max="2072" width="8.42578125" style="1301" customWidth="1"/>
    <col min="2073" max="2073" width="6.7109375" style="1301" customWidth="1"/>
    <col min="2074" max="2075" width="10.42578125" style="1301" customWidth="1"/>
    <col min="2076" max="2076" width="8.42578125" style="1301" customWidth="1"/>
    <col min="2077" max="2077" width="7.7109375" style="1301" customWidth="1"/>
    <col min="2078" max="2078" width="5.42578125" style="1301" customWidth="1"/>
    <col min="2079" max="2304" width="9.140625" style="1301"/>
    <col min="2305" max="2305" width="7.85546875" style="1301" customWidth="1"/>
    <col min="2306" max="2306" width="8.140625" style="1301" customWidth="1"/>
    <col min="2307" max="2307" width="7.85546875" style="1301" customWidth="1"/>
    <col min="2308" max="2309" width="4.7109375" style="1301" customWidth="1"/>
    <col min="2310" max="2310" width="7" style="1301" customWidth="1"/>
    <col min="2311" max="2311" width="8.42578125" style="1301" customWidth="1"/>
    <col min="2312" max="2312" width="8.7109375" style="1301" customWidth="1"/>
    <col min="2313" max="2313" width="5.140625" style="1301" customWidth="1"/>
    <col min="2314" max="2314" width="4.7109375" style="1301" customWidth="1"/>
    <col min="2315" max="2315" width="6.7109375" style="1301" customWidth="1"/>
    <col min="2316" max="2316" width="9.85546875" style="1301" customWidth="1"/>
    <col min="2317" max="2317" width="8.42578125" style="1301" customWidth="1"/>
    <col min="2318" max="2318" width="6" style="1301" customWidth="1"/>
    <col min="2319" max="2319" width="5.28515625" style="1301" customWidth="1"/>
    <col min="2320" max="2321" width="9.42578125" style="1301" customWidth="1"/>
    <col min="2322" max="2322" width="8.140625" style="1301" customWidth="1"/>
    <col min="2323" max="2323" width="7.28515625" style="1301" customWidth="1"/>
    <col min="2324" max="2324" width="6.140625" style="1301" customWidth="1"/>
    <col min="2325" max="2325" width="9.28515625" style="1301" customWidth="1"/>
    <col min="2326" max="2326" width="8.85546875" style="1301" customWidth="1"/>
    <col min="2327" max="2327" width="8.140625" style="1301" customWidth="1"/>
    <col min="2328" max="2328" width="8.42578125" style="1301" customWidth="1"/>
    <col min="2329" max="2329" width="6.7109375" style="1301" customWidth="1"/>
    <col min="2330" max="2331" width="10.42578125" style="1301" customWidth="1"/>
    <col min="2332" max="2332" width="8.42578125" style="1301" customWidth="1"/>
    <col min="2333" max="2333" width="7.7109375" style="1301" customWidth="1"/>
    <col min="2334" max="2334" width="5.42578125" style="1301" customWidth="1"/>
    <col min="2335" max="2560" width="9.140625" style="1301"/>
    <col min="2561" max="2561" width="7.85546875" style="1301" customWidth="1"/>
    <col min="2562" max="2562" width="8.140625" style="1301" customWidth="1"/>
    <col min="2563" max="2563" width="7.85546875" style="1301" customWidth="1"/>
    <col min="2564" max="2565" width="4.7109375" style="1301" customWidth="1"/>
    <col min="2566" max="2566" width="7" style="1301" customWidth="1"/>
    <col min="2567" max="2567" width="8.42578125" style="1301" customWidth="1"/>
    <col min="2568" max="2568" width="8.7109375" style="1301" customWidth="1"/>
    <col min="2569" max="2569" width="5.140625" style="1301" customWidth="1"/>
    <col min="2570" max="2570" width="4.7109375" style="1301" customWidth="1"/>
    <col min="2571" max="2571" width="6.7109375" style="1301" customWidth="1"/>
    <col min="2572" max="2572" width="9.85546875" style="1301" customWidth="1"/>
    <col min="2573" max="2573" width="8.42578125" style="1301" customWidth="1"/>
    <col min="2574" max="2574" width="6" style="1301" customWidth="1"/>
    <col min="2575" max="2575" width="5.28515625" style="1301" customWidth="1"/>
    <col min="2576" max="2577" width="9.42578125" style="1301" customWidth="1"/>
    <col min="2578" max="2578" width="8.140625" style="1301" customWidth="1"/>
    <col min="2579" max="2579" width="7.28515625" style="1301" customWidth="1"/>
    <col min="2580" max="2580" width="6.140625" style="1301" customWidth="1"/>
    <col min="2581" max="2581" width="9.28515625" style="1301" customWidth="1"/>
    <col min="2582" max="2582" width="8.85546875" style="1301" customWidth="1"/>
    <col min="2583" max="2583" width="8.140625" style="1301" customWidth="1"/>
    <col min="2584" max="2584" width="8.42578125" style="1301" customWidth="1"/>
    <col min="2585" max="2585" width="6.7109375" style="1301" customWidth="1"/>
    <col min="2586" max="2587" width="10.42578125" style="1301" customWidth="1"/>
    <col min="2588" max="2588" width="8.42578125" style="1301" customWidth="1"/>
    <col min="2589" max="2589" width="7.7109375" style="1301" customWidth="1"/>
    <col min="2590" max="2590" width="5.42578125" style="1301" customWidth="1"/>
    <col min="2591" max="2816" width="9.140625" style="1301"/>
    <col min="2817" max="2817" width="7.85546875" style="1301" customWidth="1"/>
    <col min="2818" max="2818" width="8.140625" style="1301" customWidth="1"/>
    <col min="2819" max="2819" width="7.85546875" style="1301" customWidth="1"/>
    <col min="2820" max="2821" width="4.7109375" style="1301" customWidth="1"/>
    <col min="2822" max="2822" width="7" style="1301" customWidth="1"/>
    <col min="2823" max="2823" width="8.42578125" style="1301" customWidth="1"/>
    <col min="2824" max="2824" width="8.7109375" style="1301" customWidth="1"/>
    <col min="2825" max="2825" width="5.140625" style="1301" customWidth="1"/>
    <col min="2826" max="2826" width="4.7109375" style="1301" customWidth="1"/>
    <col min="2827" max="2827" width="6.7109375" style="1301" customWidth="1"/>
    <col min="2828" max="2828" width="9.85546875" style="1301" customWidth="1"/>
    <col min="2829" max="2829" width="8.42578125" style="1301" customWidth="1"/>
    <col min="2830" max="2830" width="6" style="1301" customWidth="1"/>
    <col min="2831" max="2831" width="5.28515625" style="1301" customWidth="1"/>
    <col min="2832" max="2833" width="9.42578125" style="1301" customWidth="1"/>
    <col min="2834" max="2834" width="8.140625" style="1301" customWidth="1"/>
    <col min="2835" max="2835" width="7.28515625" style="1301" customWidth="1"/>
    <col min="2836" max="2836" width="6.140625" style="1301" customWidth="1"/>
    <col min="2837" max="2837" width="9.28515625" style="1301" customWidth="1"/>
    <col min="2838" max="2838" width="8.85546875" style="1301" customWidth="1"/>
    <col min="2839" max="2839" width="8.140625" style="1301" customWidth="1"/>
    <col min="2840" max="2840" width="8.42578125" style="1301" customWidth="1"/>
    <col min="2841" max="2841" width="6.7109375" style="1301" customWidth="1"/>
    <col min="2842" max="2843" width="10.42578125" style="1301" customWidth="1"/>
    <col min="2844" max="2844" width="8.42578125" style="1301" customWidth="1"/>
    <col min="2845" max="2845" width="7.7109375" style="1301" customWidth="1"/>
    <col min="2846" max="2846" width="5.42578125" style="1301" customWidth="1"/>
    <col min="2847" max="3072" width="9.140625" style="1301"/>
    <col min="3073" max="3073" width="7.85546875" style="1301" customWidth="1"/>
    <col min="3074" max="3074" width="8.140625" style="1301" customWidth="1"/>
    <col min="3075" max="3075" width="7.85546875" style="1301" customWidth="1"/>
    <col min="3076" max="3077" width="4.7109375" style="1301" customWidth="1"/>
    <col min="3078" max="3078" width="7" style="1301" customWidth="1"/>
    <col min="3079" max="3079" width="8.42578125" style="1301" customWidth="1"/>
    <col min="3080" max="3080" width="8.7109375" style="1301" customWidth="1"/>
    <col min="3081" max="3081" width="5.140625" style="1301" customWidth="1"/>
    <col min="3082" max="3082" width="4.7109375" style="1301" customWidth="1"/>
    <col min="3083" max="3083" width="6.7109375" style="1301" customWidth="1"/>
    <col min="3084" max="3084" width="9.85546875" style="1301" customWidth="1"/>
    <col min="3085" max="3085" width="8.42578125" style="1301" customWidth="1"/>
    <col min="3086" max="3086" width="6" style="1301" customWidth="1"/>
    <col min="3087" max="3087" width="5.28515625" style="1301" customWidth="1"/>
    <col min="3088" max="3089" width="9.42578125" style="1301" customWidth="1"/>
    <col min="3090" max="3090" width="8.140625" style="1301" customWidth="1"/>
    <col min="3091" max="3091" width="7.28515625" style="1301" customWidth="1"/>
    <col min="3092" max="3092" width="6.140625" style="1301" customWidth="1"/>
    <col min="3093" max="3093" width="9.28515625" style="1301" customWidth="1"/>
    <col min="3094" max="3094" width="8.85546875" style="1301" customWidth="1"/>
    <col min="3095" max="3095" width="8.140625" style="1301" customWidth="1"/>
    <col min="3096" max="3096" width="8.42578125" style="1301" customWidth="1"/>
    <col min="3097" max="3097" width="6.7109375" style="1301" customWidth="1"/>
    <col min="3098" max="3099" width="10.42578125" style="1301" customWidth="1"/>
    <col min="3100" max="3100" width="8.42578125" style="1301" customWidth="1"/>
    <col min="3101" max="3101" width="7.7109375" style="1301" customWidth="1"/>
    <col min="3102" max="3102" width="5.42578125" style="1301" customWidth="1"/>
    <col min="3103" max="3328" width="9.140625" style="1301"/>
    <col min="3329" max="3329" width="7.85546875" style="1301" customWidth="1"/>
    <col min="3330" max="3330" width="8.140625" style="1301" customWidth="1"/>
    <col min="3331" max="3331" width="7.85546875" style="1301" customWidth="1"/>
    <col min="3332" max="3333" width="4.7109375" style="1301" customWidth="1"/>
    <col min="3334" max="3334" width="7" style="1301" customWidth="1"/>
    <col min="3335" max="3335" width="8.42578125" style="1301" customWidth="1"/>
    <col min="3336" max="3336" width="8.7109375" style="1301" customWidth="1"/>
    <col min="3337" max="3337" width="5.140625" style="1301" customWidth="1"/>
    <col min="3338" max="3338" width="4.7109375" style="1301" customWidth="1"/>
    <col min="3339" max="3339" width="6.7109375" style="1301" customWidth="1"/>
    <col min="3340" max="3340" width="9.85546875" style="1301" customWidth="1"/>
    <col min="3341" max="3341" width="8.42578125" style="1301" customWidth="1"/>
    <col min="3342" max="3342" width="6" style="1301" customWidth="1"/>
    <col min="3343" max="3343" width="5.28515625" style="1301" customWidth="1"/>
    <col min="3344" max="3345" width="9.42578125" style="1301" customWidth="1"/>
    <col min="3346" max="3346" width="8.140625" style="1301" customWidth="1"/>
    <col min="3347" max="3347" width="7.28515625" style="1301" customWidth="1"/>
    <col min="3348" max="3348" width="6.140625" style="1301" customWidth="1"/>
    <col min="3349" max="3349" width="9.28515625" style="1301" customWidth="1"/>
    <col min="3350" max="3350" width="8.85546875" style="1301" customWidth="1"/>
    <col min="3351" max="3351" width="8.140625" style="1301" customWidth="1"/>
    <col min="3352" max="3352" width="8.42578125" style="1301" customWidth="1"/>
    <col min="3353" max="3353" width="6.7109375" style="1301" customWidth="1"/>
    <col min="3354" max="3355" width="10.42578125" style="1301" customWidth="1"/>
    <col min="3356" max="3356" width="8.42578125" style="1301" customWidth="1"/>
    <col min="3357" max="3357" width="7.7109375" style="1301" customWidth="1"/>
    <col min="3358" max="3358" width="5.42578125" style="1301" customWidth="1"/>
    <col min="3359" max="3584" width="9.140625" style="1301"/>
    <col min="3585" max="3585" width="7.85546875" style="1301" customWidth="1"/>
    <col min="3586" max="3586" width="8.140625" style="1301" customWidth="1"/>
    <col min="3587" max="3587" width="7.85546875" style="1301" customWidth="1"/>
    <col min="3588" max="3589" width="4.7109375" style="1301" customWidth="1"/>
    <col min="3590" max="3590" width="7" style="1301" customWidth="1"/>
    <col min="3591" max="3591" width="8.42578125" style="1301" customWidth="1"/>
    <col min="3592" max="3592" width="8.7109375" style="1301" customWidth="1"/>
    <col min="3593" max="3593" width="5.140625" style="1301" customWidth="1"/>
    <col min="3594" max="3594" width="4.7109375" style="1301" customWidth="1"/>
    <col min="3595" max="3595" width="6.7109375" style="1301" customWidth="1"/>
    <col min="3596" max="3596" width="9.85546875" style="1301" customWidth="1"/>
    <col min="3597" max="3597" width="8.42578125" style="1301" customWidth="1"/>
    <col min="3598" max="3598" width="6" style="1301" customWidth="1"/>
    <col min="3599" max="3599" width="5.28515625" style="1301" customWidth="1"/>
    <col min="3600" max="3601" width="9.42578125" style="1301" customWidth="1"/>
    <col min="3602" max="3602" width="8.140625" style="1301" customWidth="1"/>
    <col min="3603" max="3603" width="7.28515625" style="1301" customWidth="1"/>
    <col min="3604" max="3604" width="6.140625" style="1301" customWidth="1"/>
    <col min="3605" max="3605" width="9.28515625" style="1301" customWidth="1"/>
    <col min="3606" max="3606" width="8.85546875" style="1301" customWidth="1"/>
    <col min="3607" max="3607" width="8.140625" style="1301" customWidth="1"/>
    <col min="3608" max="3608" width="8.42578125" style="1301" customWidth="1"/>
    <col min="3609" max="3609" width="6.7109375" style="1301" customWidth="1"/>
    <col min="3610" max="3611" width="10.42578125" style="1301" customWidth="1"/>
    <col min="3612" max="3612" width="8.42578125" style="1301" customWidth="1"/>
    <col min="3613" max="3613" width="7.7109375" style="1301" customWidth="1"/>
    <col min="3614" max="3614" width="5.42578125" style="1301" customWidth="1"/>
    <col min="3615" max="3840" width="9.140625" style="1301"/>
    <col min="3841" max="3841" width="7.85546875" style="1301" customWidth="1"/>
    <col min="3842" max="3842" width="8.140625" style="1301" customWidth="1"/>
    <col min="3843" max="3843" width="7.85546875" style="1301" customWidth="1"/>
    <col min="3844" max="3845" width="4.7109375" style="1301" customWidth="1"/>
    <col min="3846" max="3846" width="7" style="1301" customWidth="1"/>
    <col min="3847" max="3847" width="8.42578125" style="1301" customWidth="1"/>
    <col min="3848" max="3848" width="8.7109375" style="1301" customWidth="1"/>
    <col min="3849" max="3849" width="5.140625" style="1301" customWidth="1"/>
    <col min="3850" max="3850" width="4.7109375" style="1301" customWidth="1"/>
    <col min="3851" max="3851" width="6.7109375" style="1301" customWidth="1"/>
    <col min="3852" max="3852" width="9.85546875" style="1301" customWidth="1"/>
    <col min="3853" max="3853" width="8.42578125" style="1301" customWidth="1"/>
    <col min="3854" max="3854" width="6" style="1301" customWidth="1"/>
    <col min="3855" max="3855" width="5.28515625" style="1301" customWidth="1"/>
    <col min="3856" max="3857" width="9.42578125" style="1301" customWidth="1"/>
    <col min="3858" max="3858" width="8.140625" style="1301" customWidth="1"/>
    <col min="3859" max="3859" width="7.28515625" style="1301" customWidth="1"/>
    <col min="3860" max="3860" width="6.140625" style="1301" customWidth="1"/>
    <col min="3861" max="3861" width="9.28515625" style="1301" customWidth="1"/>
    <col min="3862" max="3862" width="8.85546875" style="1301" customWidth="1"/>
    <col min="3863" max="3863" width="8.140625" style="1301" customWidth="1"/>
    <col min="3864" max="3864" width="8.42578125" style="1301" customWidth="1"/>
    <col min="3865" max="3865" width="6.7109375" style="1301" customWidth="1"/>
    <col min="3866" max="3867" width="10.42578125" style="1301" customWidth="1"/>
    <col min="3868" max="3868" width="8.42578125" style="1301" customWidth="1"/>
    <col min="3869" max="3869" width="7.7109375" style="1301" customWidth="1"/>
    <col min="3870" max="3870" width="5.42578125" style="1301" customWidth="1"/>
    <col min="3871" max="4096" width="9.140625" style="1301"/>
    <col min="4097" max="4097" width="7.85546875" style="1301" customWidth="1"/>
    <col min="4098" max="4098" width="8.140625" style="1301" customWidth="1"/>
    <col min="4099" max="4099" width="7.85546875" style="1301" customWidth="1"/>
    <col min="4100" max="4101" width="4.7109375" style="1301" customWidth="1"/>
    <col min="4102" max="4102" width="7" style="1301" customWidth="1"/>
    <col min="4103" max="4103" width="8.42578125" style="1301" customWidth="1"/>
    <col min="4104" max="4104" width="8.7109375" style="1301" customWidth="1"/>
    <col min="4105" max="4105" width="5.140625" style="1301" customWidth="1"/>
    <col min="4106" max="4106" width="4.7109375" style="1301" customWidth="1"/>
    <col min="4107" max="4107" width="6.7109375" style="1301" customWidth="1"/>
    <col min="4108" max="4108" width="9.85546875" style="1301" customWidth="1"/>
    <col min="4109" max="4109" width="8.42578125" style="1301" customWidth="1"/>
    <col min="4110" max="4110" width="6" style="1301" customWidth="1"/>
    <col min="4111" max="4111" width="5.28515625" style="1301" customWidth="1"/>
    <col min="4112" max="4113" width="9.42578125" style="1301" customWidth="1"/>
    <col min="4114" max="4114" width="8.140625" style="1301" customWidth="1"/>
    <col min="4115" max="4115" width="7.28515625" style="1301" customWidth="1"/>
    <col min="4116" max="4116" width="6.140625" style="1301" customWidth="1"/>
    <col min="4117" max="4117" width="9.28515625" style="1301" customWidth="1"/>
    <col min="4118" max="4118" width="8.85546875" style="1301" customWidth="1"/>
    <col min="4119" max="4119" width="8.140625" style="1301" customWidth="1"/>
    <col min="4120" max="4120" width="8.42578125" style="1301" customWidth="1"/>
    <col min="4121" max="4121" width="6.7109375" style="1301" customWidth="1"/>
    <col min="4122" max="4123" width="10.42578125" style="1301" customWidth="1"/>
    <col min="4124" max="4124" width="8.42578125" style="1301" customWidth="1"/>
    <col min="4125" max="4125" width="7.7109375" style="1301" customWidth="1"/>
    <col min="4126" max="4126" width="5.42578125" style="1301" customWidth="1"/>
    <col min="4127" max="4352" width="9.140625" style="1301"/>
    <col min="4353" max="4353" width="7.85546875" style="1301" customWidth="1"/>
    <col min="4354" max="4354" width="8.140625" style="1301" customWidth="1"/>
    <col min="4355" max="4355" width="7.85546875" style="1301" customWidth="1"/>
    <col min="4356" max="4357" width="4.7109375" style="1301" customWidth="1"/>
    <col min="4358" max="4358" width="7" style="1301" customWidth="1"/>
    <col min="4359" max="4359" width="8.42578125" style="1301" customWidth="1"/>
    <col min="4360" max="4360" width="8.7109375" style="1301" customWidth="1"/>
    <col min="4361" max="4361" width="5.140625" style="1301" customWidth="1"/>
    <col min="4362" max="4362" width="4.7109375" style="1301" customWidth="1"/>
    <col min="4363" max="4363" width="6.7109375" style="1301" customWidth="1"/>
    <col min="4364" max="4364" width="9.85546875" style="1301" customWidth="1"/>
    <col min="4365" max="4365" width="8.42578125" style="1301" customWidth="1"/>
    <col min="4366" max="4366" width="6" style="1301" customWidth="1"/>
    <col min="4367" max="4367" width="5.28515625" style="1301" customWidth="1"/>
    <col min="4368" max="4369" width="9.42578125" style="1301" customWidth="1"/>
    <col min="4370" max="4370" width="8.140625" style="1301" customWidth="1"/>
    <col min="4371" max="4371" width="7.28515625" style="1301" customWidth="1"/>
    <col min="4372" max="4372" width="6.140625" style="1301" customWidth="1"/>
    <col min="4373" max="4373" width="9.28515625" style="1301" customWidth="1"/>
    <col min="4374" max="4374" width="8.85546875" style="1301" customWidth="1"/>
    <col min="4375" max="4375" width="8.140625" style="1301" customWidth="1"/>
    <col min="4376" max="4376" width="8.42578125" style="1301" customWidth="1"/>
    <col min="4377" max="4377" width="6.7109375" style="1301" customWidth="1"/>
    <col min="4378" max="4379" width="10.42578125" style="1301" customWidth="1"/>
    <col min="4380" max="4380" width="8.42578125" style="1301" customWidth="1"/>
    <col min="4381" max="4381" width="7.7109375" style="1301" customWidth="1"/>
    <col min="4382" max="4382" width="5.42578125" style="1301" customWidth="1"/>
    <col min="4383" max="4608" width="9.140625" style="1301"/>
    <col min="4609" max="4609" width="7.85546875" style="1301" customWidth="1"/>
    <col min="4610" max="4610" width="8.140625" style="1301" customWidth="1"/>
    <col min="4611" max="4611" width="7.85546875" style="1301" customWidth="1"/>
    <col min="4612" max="4613" width="4.7109375" style="1301" customWidth="1"/>
    <col min="4614" max="4614" width="7" style="1301" customWidth="1"/>
    <col min="4615" max="4615" width="8.42578125" style="1301" customWidth="1"/>
    <col min="4616" max="4616" width="8.7109375" style="1301" customWidth="1"/>
    <col min="4617" max="4617" width="5.140625" style="1301" customWidth="1"/>
    <col min="4618" max="4618" width="4.7109375" style="1301" customWidth="1"/>
    <col min="4619" max="4619" width="6.7109375" style="1301" customWidth="1"/>
    <col min="4620" max="4620" width="9.85546875" style="1301" customWidth="1"/>
    <col min="4621" max="4621" width="8.42578125" style="1301" customWidth="1"/>
    <col min="4622" max="4622" width="6" style="1301" customWidth="1"/>
    <col min="4623" max="4623" width="5.28515625" style="1301" customWidth="1"/>
    <col min="4624" max="4625" width="9.42578125" style="1301" customWidth="1"/>
    <col min="4626" max="4626" width="8.140625" style="1301" customWidth="1"/>
    <col min="4627" max="4627" width="7.28515625" style="1301" customWidth="1"/>
    <col min="4628" max="4628" width="6.140625" style="1301" customWidth="1"/>
    <col min="4629" max="4629" width="9.28515625" style="1301" customWidth="1"/>
    <col min="4630" max="4630" width="8.85546875" style="1301" customWidth="1"/>
    <col min="4631" max="4631" width="8.140625" style="1301" customWidth="1"/>
    <col min="4632" max="4632" width="8.42578125" style="1301" customWidth="1"/>
    <col min="4633" max="4633" width="6.7109375" style="1301" customWidth="1"/>
    <col min="4634" max="4635" width="10.42578125" style="1301" customWidth="1"/>
    <col min="4636" max="4636" width="8.42578125" style="1301" customWidth="1"/>
    <col min="4637" max="4637" width="7.7109375" style="1301" customWidth="1"/>
    <col min="4638" max="4638" width="5.42578125" style="1301" customWidth="1"/>
    <col min="4639" max="4864" width="9.140625" style="1301"/>
    <col min="4865" max="4865" width="7.85546875" style="1301" customWidth="1"/>
    <col min="4866" max="4866" width="8.140625" style="1301" customWidth="1"/>
    <col min="4867" max="4867" width="7.85546875" style="1301" customWidth="1"/>
    <col min="4868" max="4869" width="4.7109375" style="1301" customWidth="1"/>
    <col min="4870" max="4870" width="7" style="1301" customWidth="1"/>
    <col min="4871" max="4871" width="8.42578125" style="1301" customWidth="1"/>
    <col min="4872" max="4872" width="8.7109375" style="1301" customWidth="1"/>
    <col min="4873" max="4873" width="5.140625" style="1301" customWidth="1"/>
    <col min="4874" max="4874" width="4.7109375" style="1301" customWidth="1"/>
    <col min="4875" max="4875" width="6.7109375" style="1301" customWidth="1"/>
    <col min="4876" max="4876" width="9.85546875" style="1301" customWidth="1"/>
    <col min="4877" max="4877" width="8.42578125" style="1301" customWidth="1"/>
    <col min="4878" max="4878" width="6" style="1301" customWidth="1"/>
    <col min="4879" max="4879" width="5.28515625" style="1301" customWidth="1"/>
    <col min="4880" max="4881" width="9.42578125" style="1301" customWidth="1"/>
    <col min="4882" max="4882" width="8.140625" style="1301" customWidth="1"/>
    <col min="4883" max="4883" width="7.28515625" style="1301" customWidth="1"/>
    <col min="4884" max="4884" width="6.140625" style="1301" customWidth="1"/>
    <col min="4885" max="4885" width="9.28515625" style="1301" customWidth="1"/>
    <col min="4886" max="4886" width="8.85546875" style="1301" customWidth="1"/>
    <col min="4887" max="4887" width="8.140625" style="1301" customWidth="1"/>
    <col min="4888" max="4888" width="8.42578125" style="1301" customWidth="1"/>
    <col min="4889" max="4889" width="6.7109375" style="1301" customWidth="1"/>
    <col min="4890" max="4891" width="10.42578125" style="1301" customWidth="1"/>
    <col min="4892" max="4892" width="8.42578125" style="1301" customWidth="1"/>
    <col min="4893" max="4893" width="7.7109375" style="1301" customWidth="1"/>
    <col min="4894" max="4894" width="5.42578125" style="1301" customWidth="1"/>
    <col min="4895" max="5120" width="9.140625" style="1301"/>
    <col min="5121" max="5121" width="7.85546875" style="1301" customWidth="1"/>
    <col min="5122" max="5122" width="8.140625" style="1301" customWidth="1"/>
    <col min="5123" max="5123" width="7.85546875" style="1301" customWidth="1"/>
    <col min="5124" max="5125" width="4.7109375" style="1301" customWidth="1"/>
    <col min="5126" max="5126" width="7" style="1301" customWidth="1"/>
    <col min="5127" max="5127" width="8.42578125" style="1301" customWidth="1"/>
    <col min="5128" max="5128" width="8.7109375" style="1301" customWidth="1"/>
    <col min="5129" max="5129" width="5.140625" style="1301" customWidth="1"/>
    <col min="5130" max="5130" width="4.7109375" style="1301" customWidth="1"/>
    <col min="5131" max="5131" width="6.7109375" style="1301" customWidth="1"/>
    <col min="5132" max="5132" width="9.85546875" style="1301" customWidth="1"/>
    <col min="5133" max="5133" width="8.42578125" style="1301" customWidth="1"/>
    <col min="5134" max="5134" width="6" style="1301" customWidth="1"/>
    <col min="5135" max="5135" width="5.28515625" style="1301" customWidth="1"/>
    <col min="5136" max="5137" width="9.42578125" style="1301" customWidth="1"/>
    <col min="5138" max="5138" width="8.140625" style="1301" customWidth="1"/>
    <col min="5139" max="5139" width="7.28515625" style="1301" customWidth="1"/>
    <col min="5140" max="5140" width="6.140625" style="1301" customWidth="1"/>
    <col min="5141" max="5141" width="9.28515625" style="1301" customWidth="1"/>
    <col min="5142" max="5142" width="8.85546875" style="1301" customWidth="1"/>
    <col min="5143" max="5143" width="8.140625" style="1301" customWidth="1"/>
    <col min="5144" max="5144" width="8.42578125" style="1301" customWidth="1"/>
    <col min="5145" max="5145" width="6.7109375" style="1301" customWidth="1"/>
    <col min="5146" max="5147" width="10.42578125" style="1301" customWidth="1"/>
    <col min="5148" max="5148" width="8.42578125" style="1301" customWidth="1"/>
    <col min="5149" max="5149" width="7.7109375" style="1301" customWidth="1"/>
    <col min="5150" max="5150" width="5.42578125" style="1301" customWidth="1"/>
    <col min="5151" max="5376" width="9.140625" style="1301"/>
    <col min="5377" max="5377" width="7.85546875" style="1301" customWidth="1"/>
    <col min="5378" max="5378" width="8.140625" style="1301" customWidth="1"/>
    <col min="5379" max="5379" width="7.85546875" style="1301" customWidth="1"/>
    <col min="5380" max="5381" width="4.7109375" style="1301" customWidth="1"/>
    <col min="5382" max="5382" width="7" style="1301" customWidth="1"/>
    <col min="5383" max="5383" width="8.42578125" style="1301" customWidth="1"/>
    <col min="5384" max="5384" width="8.7109375" style="1301" customWidth="1"/>
    <col min="5385" max="5385" width="5.140625" style="1301" customWidth="1"/>
    <col min="5386" max="5386" width="4.7109375" style="1301" customWidth="1"/>
    <col min="5387" max="5387" width="6.7109375" style="1301" customWidth="1"/>
    <col min="5388" max="5388" width="9.85546875" style="1301" customWidth="1"/>
    <col min="5389" max="5389" width="8.42578125" style="1301" customWidth="1"/>
    <col min="5390" max="5390" width="6" style="1301" customWidth="1"/>
    <col min="5391" max="5391" width="5.28515625" style="1301" customWidth="1"/>
    <col min="5392" max="5393" width="9.42578125" style="1301" customWidth="1"/>
    <col min="5394" max="5394" width="8.140625" style="1301" customWidth="1"/>
    <col min="5395" max="5395" width="7.28515625" style="1301" customWidth="1"/>
    <col min="5396" max="5396" width="6.140625" style="1301" customWidth="1"/>
    <col min="5397" max="5397" width="9.28515625" style="1301" customWidth="1"/>
    <col min="5398" max="5398" width="8.85546875" style="1301" customWidth="1"/>
    <col min="5399" max="5399" width="8.140625" style="1301" customWidth="1"/>
    <col min="5400" max="5400" width="8.42578125" style="1301" customWidth="1"/>
    <col min="5401" max="5401" width="6.7109375" style="1301" customWidth="1"/>
    <col min="5402" max="5403" width="10.42578125" style="1301" customWidth="1"/>
    <col min="5404" max="5404" width="8.42578125" style="1301" customWidth="1"/>
    <col min="5405" max="5405" width="7.7109375" style="1301" customWidth="1"/>
    <col min="5406" max="5406" width="5.42578125" style="1301" customWidth="1"/>
    <col min="5407" max="5632" width="9.140625" style="1301"/>
    <col min="5633" max="5633" width="7.85546875" style="1301" customWidth="1"/>
    <col min="5634" max="5634" width="8.140625" style="1301" customWidth="1"/>
    <col min="5635" max="5635" width="7.85546875" style="1301" customWidth="1"/>
    <col min="5636" max="5637" width="4.7109375" style="1301" customWidth="1"/>
    <col min="5638" max="5638" width="7" style="1301" customWidth="1"/>
    <col min="5639" max="5639" width="8.42578125" style="1301" customWidth="1"/>
    <col min="5640" max="5640" width="8.7109375" style="1301" customWidth="1"/>
    <col min="5641" max="5641" width="5.140625" style="1301" customWidth="1"/>
    <col min="5642" max="5642" width="4.7109375" style="1301" customWidth="1"/>
    <col min="5643" max="5643" width="6.7109375" style="1301" customWidth="1"/>
    <col min="5644" max="5644" width="9.85546875" style="1301" customWidth="1"/>
    <col min="5645" max="5645" width="8.42578125" style="1301" customWidth="1"/>
    <col min="5646" max="5646" width="6" style="1301" customWidth="1"/>
    <col min="5647" max="5647" width="5.28515625" style="1301" customWidth="1"/>
    <col min="5648" max="5649" width="9.42578125" style="1301" customWidth="1"/>
    <col min="5650" max="5650" width="8.140625" style="1301" customWidth="1"/>
    <col min="5651" max="5651" width="7.28515625" style="1301" customWidth="1"/>
    <col min="5652" max="5652" width="6.140625" style="1301" customWidth="1"/>
    <col min="5653" max="5653" width="9.28515625" style="1301" customWidth="1"/>
    <col min="5654" max="5654" width="8.85546875" style="1301" customWidth="1"/>
    <col min="5655" max="5655" width="8.140625" style="1301" customWidth="1"/>
    <col min="5656" max="5656" width="8.42578125" style="1301" customWidth="1"/>
    <col min="5657" max="5657" width="6.7109375" style="1301" customWidth="1"/>
    <col min="5658" max="5659" width="10.42578125" style="1301" customWidth="1"/>
    <col min="5660" max="5660" width="8.42578125" style="1301" customWidth="1"/>
    <col min="5661" max="5661" width="7.7109375" style="1301" customWidth="1"/>
    <col min="5662" max="5662" width="5.42578125" style="1301" customWidth="1"/>
    <col min="5663" max="5888" width="9.140625" style="1301"/>
    <col min="5889" max="5889" width="7.85546875" style="1301" customWidth="1"/>
    <col min="5890" max="5890" width="8.140625" style="1301" customWidth="1"/>
    <col min="5891" max="5891" width="7.85546875" style="1301" customWidth="1"/>
    <col min="5892" max="5893" width="4.7109375" style="1301" customWidth="1"/>
    <col min="5894" max="5894" width="7" style="1301" customWidth="1"/>
    <col min="5895" max="5895" width="8.42578125" style="1301" customWidth="1"/>
    <col min="5896" max="5896" width="8.7109375" style="1301" customWidth="1"/>
    <col min="5897" max="5897" width="5.140625" style="1301" customWidth="1"/>
    <col min="5898" max="5898" width="4.7109375" style="1301" customWidth="1"/>
    <col min="5899" max="5899" width="6.7109375" style="1301" customWidth="1"/>
    <col min="5900" max="5900" width="9.85546875" style="1301" customWidth="1"/>
    <col min="5901" max="5901" width="8.42578125" style="1301" customWidth="1"/>
    <col min="5902" max="5902" width="6" style="1301" customWidth="1"/>
    <col min="5903" max="5903" width="5.28515625" style="1301" customWidth="1"/>
    <col min="5904" max="5905" width="9.42578125" style="1301" customWidth="1"/>
    <col min="5906" max="5906" width="8.140625" style="1301" customWidth="1"/>
    <col min="5907" max="5907" width="7.28515625" style="1301" customWidth="1"/>
    <col min="5908" max="5908" width="6.140625" style="1301" customWidth="1"/>
    <col min="5909" max="5909" width="9.28515625" style="1301" customWidth="1"/>
    <col min="5910" max="5910" width="8.85546875" style="1301" customWidth="1"/>
    <col min="5911" max="5911" width="8.140625" style="1301" customWidth="1"/>
    <col min="5912" max="5912" width="8.42578125" style="1301" customWidth="1"/>
    <col min="5913" max="5913" width="6.7109375" style="1301" customWidth="1"/>
    <col min="5914" max="5915" width="10.42578125" style="1301" customWidth="1"/>
    <col min="5916" max="5916" width="8.42578125" style="1301" customWidth="1"/>
    <col min="5917" max="5917" width="7.7109375" style="1301" customWidth="1"/>
    <col min="5918" max="5918" width="5.42578125" style="1301" customWidth="1"/>
    <col min="5919" max="6144" width="9.140625" style="1301"/>
    <col min="6145" max="6145" width="7.85546875" style="1301" customWidth="1"/>
    <col min="6146" max="6146" width="8.140625" style="1301" customWidth="1"/>
    <col min="6147" max="6147" width="7.85546875" style="1301" customWidth="1"/>
    <col min="6148" max="6149" width="4.7109375" style="1301" customWidth="1"/>
    <col min="6150" max="6150" width="7" style="1301" customWidth="1"/>
    <col min="6151" max="6151" width="8.42578125" style="1301" customWidth="1"/>
    <col min="6152" max="6152" width="8.7109375" style="1301" customWidth="1"/>
    <col min="6153" max="6153" width="5.140625" style="1301" customWidth="1"/>
    <col min="6154" max="6154" width="4.7109375" style="1301" customWidth="1"/>
    <col min="6155" max="6155" width="6.7109375" style="1301" customWidth="1"/>
    <col min="6156" max="6156" width="9.85546875" style="1301" customWidth="1"/>
    <col min="6157" max="6157" width="8.42578125" style="1301" customWidth="1"/>
    <col min="6158" max="6158" width="6" style="1301" customWidth="1"/>
    <col min="6159" max="6159" width="5.28515625" style="1301" customWidth="1"/>
    <col min="6160" max="6161" width="9.42578125" style="1301" customWidth="1"/>
    <col min="6162" max="6162" width="8.140625" style="1301" customWidth="1"/>
    <col min="6163" max="6163" width="7.28515625" style="1301" customWidth="1"/>
    <col min="6164" max="6164" width="6.140625" style="1301" customWidth="1"/>
    <col min="6165" max="6165" width="9.28515625" style="1301" customWidth="1"/>
    <col min="6166" max="6166" width="8.85546875" style="1301" customWidth="1"/>
    <col min="6167" max="6167" width="8.140625" style="1301" customWidth="1"/>
    <col min="6168" max="6168" width="8.42578125" style="1301" customWidth="1"/>
    <col min="6169" max="6169" width="6.7109375" style="1301" customWidth="1"/>
    <col min="6170" max="6171" width="10.42578125" style="1301" customWidth="1"/>
    <col min="6172" max="6172" width="8.42578125" style="1301" customWidth="1"/>
    <col min="6173" max="6173" width="7.7109375" style="1301" customWidth="1"/>
    <col min="6174" max="6174" width="5.42578125" style="1301" customWidth="1"/>
    <col min="6175" max="6400" width="9.140625" style="1301"/>
    <col min="6401" max="6401" width="7.85546875" style="1301" customWidth="1"/>
    <col min="6402" max="6402" width="8.140625" style="1301" customWidth="1"/>
    <col min="6403" max="6403" width="7.85546875" style="1301" customWidth="1"/>
    <col min="6404" max="6405" width="4.7109375" style="1301" customWidth="1"/>
    <col min="6406" max="6406" width="7" style="1301" customWidth="1"/>
    <col min="6407" max="6407" width="8.42578125" style="1301" customWidth="1"/>
    <col min="6408" max="6408" width="8.7109375" style="1301" customWidth="1"/>
    <col min="6409" max="6409" width="5.140625" style="1301" customWidth="1"/>
    <col min="6410" max="6410" width="4.7109375" style="1301" customWidth="1"/>
    <col min="6411" max="6411" width="6.7109375" style="1301" customWidth="1"/>
    <col min="6412" max="6412" width="9.85546875" style="1301" customWidth="1"/>
    <col min="6413" max="6413" width="8.42578125" style="1301" customWidth="1"/>
    <col min="6414" max="6414" width="6" style="1301" customWidth="1"/>
    <col min="6415" max="6415" width="5.28515625" style="1301" customWidth="1"/>
    <col min="6416" max="6417" width="9.42578125" style="1301" customWidth="1"/>
    <col min="6418" max="6418" width="8.140625" style="1301" customWidth="1"/>
    <col min="6419" max="6419" width="7.28515625" style="1301" customWidth="1"/>
    <col min="6420" max="6420" width="6.140625" style="1301" customWidth="1"/>
    <col min="6421" max="6421" width="9.28515625" style="1301" customWidth="1"/>
    <col min="6422" max="6422" width="8.85546875" style="1301" customWidth="1"/>
    <col min="6423" max="6423" width="8.140625" style="1301" customWidth="1"/>
    <col min="6424" max="6424" width="8.42578125" style="1301" customWidth="1"/>
    <col min="6425" max="6425" width="6.7109375" style="1301" customWidth="1"/>
    <col min="6426" max="6427" width="10.42578125" style="1301" customWidth="1"/>
    <col min="6428" max="6428" width="8.42578125" style="1301" customWidth="1"/>
    <col min="6429" max="6429" width="7.7109375" style="1301" customWidth="1"/>
    <col min="6430" max="6430" width="5.42578125" style="1301" customWidth="1"/>
    <col min="6431" max="6656" width="9.140625" style="1301"/>
    <col min="6657" max="6657" width="7.85546875" style="1301" customWidth="1"/>
    <col min="6658" max="6658" width="8.140625" style="1301" customWidth="1"/>
    <col min="6659" max="6659" width="7.85546875" style="1301" customWidth="1"/>
    <col min="6660" max="6661" width="4.7109375" style="1301" customWidth="1"/>
    <col min="6662" max="6662" width="7" style="1301" customWidth="1"/>
    <col min="6663" max="6663" width="8.42578125" style="1301" customWidth="1"/>
    <col min="6664" max="6664" width="8.7109375" style="1301" customWidth="1"/>
    <col min="6665" max="6665" width="5.140625" style="1301" customWidth="1"/>
    <col min="6666" max="6666" width="4.7109375" style="1301" customWidth="1"/>
    <col min="6667" max="6667" width="6.7109375" style="1301" customWidth="1"/>
    <col min="6668" max="6668" width="9.85546875" style="1301" customWidth="1"/>
    <col min="6669" max="6669" width="8.42578125" style="1301" customWidth="1"/>
    <col min="6670" max="6670" width="6" style="1301" customWidth="1"/>
    <col min="6671" max="6671" width="5.28515625" style="1301" customWidth="1"/>
    <col min="6672" max="6673" width="9.42578125" style="1301" customWidth="1"/>
    <col min="6674" max="6674" width="8.140625" style="1301" customWidth="1"/>
    <col min="6675" max="6675" width="7.28515625" style="1301" customWidth="1"/>
    <col min="6676" max="6676" width="6.140625" style="1301" customWidth="1"/>
    <col min="6677" max="6677" width="9.28515625" style="1301" customWidth="1"/>
    <col min="6678" max="6678" width="8.85546875" style="1301" customWidth="1"/>
    <col min="6679" max="6679" width="8.140625" style="1301" customWidth="1"/>
    <col min="6680" max="6680" width="8.42578125" style="1301" customWidth="1"/>
    <col min="6681" max="6681" width="6.7109375" style="1301" customWidth="1"/>
    <col min="6682" max="6683" width="10.42578125" style="1301" customWidth="1"/>
    <col min="6684" max="6684" width="8.42578125" style="1301" customWidth="1"/>
    <col min="6685" max="6685" width="7.7109375" style="1301" customWidth="1"/>
    <col min="6686" max="6686" width="5.42578125" style="1301" customWidth="1"/>
    <col min="6687" max="6912" width="9.140625" style="1301"/>
    <col min="6913" max="6913" width="7.85546875" style="1301" customWidth="1"/>
    <col min="6914" max="6914" width="8.140625" style="1301" customWidth="1"/>
    <col min="6915" max="6915" width="7.85546875" style="1301" customWidth="1"/>
    <col min="6916" max="6917" width="4.7109375" style="1301" customWidth="1"/>
    <col min="6918" max="6918" width="7" style="1301" customWidth="1"/>
    <col min="6919" max="6919" width="8.42578125" style="1301" customWidth="1"/>
    <col min="6920" max="6920" width="8.7109375" style="1301" customWidth="1"/>
    <col min="6921" max="6921" width="5.140625" style="1301" customWidth="1"/>
    <col min="6922" max="6922" width="4.7109375" style="1301" customWidth="1"/>
    <col min="6923" max="6923" width="6.7109375" style="1301" customWidth="1"/>
    <col min="6924" max="6924" width="9.85546875" style="1301" customWidth="1"/>
    <col min="6925" max="6925" width="8.42578125" style="1301" customWidth="1"/>
    <col min="6926" max="6926" width="6" style="1301" customWidth="1"/>
    <col min="6927" max="6927" width="5.28515625" style="1301" customWidth="1"/>
    <col min="6928" max="6929" width="9.42578125" style="1301" customWidth="1"/>
    <col min="6930" max="6930" width="8.140625" style="1301" customWidth="1"/>
    <col min="6931" max="6931" width="7.28515625" style="1301" customWidth="1"/>
    <col min="6932" max="6932" width="6.140625" style="1301" customWidth="1"/>
    <col min="6933" max="6933" width="9.28515625" style="1301" customWidth="1"/>
    <col min="6934" max="6934" width="8.85546875" style="1301" customWidth="1"/>
    <col min="6935" max="6935" width="8.140625" style="1301" customWidth="1"/>
    <col min="6936" max="6936" width="8.42578125" style="1301" customWidth="1"/>
    <col min="6937" max="6937" width="6.7109375" style="1301" customWidth="1"/>
    <col min="6938" max="6939" width="10.42578125" style="1301" customWidth="1"/>
    <col min="6940" max="6940" width="8.42578125" style="1301" customWidth="1"/>
    <col min="6941" max="6941" width="7.7109375" style="1301" customWidth="1"/>
    <col min="6942" max="6942" width="5.42578125" style="1301" customWidth="1"/>
    <col min="6943" max="7168" width="9.140625" style="1301"/>
    <col min="7169" max="7169" width="7.85546875" style="1301" customWidth="1"/>
    <col min="7170" max="7170" width="8.140625" style="1301" customWidth="1"/>
    <col min="7171" max="7171" width="7.85546875" style="1301" customWidth="1"/>
    <col min="7172" max="7173" width="4.7109375" style="1301" customWidth="1"/>
    <col min="7174" max="7174" width="7" style="1301" customWidth="1"/>
    <col min="7175" max="7175" width="8.42578125" style="1301" customWidth="1"/>
    <col min="7176" max="7176" width="8.7109375" style="1301" customWidth="1"/>
    <col min="7177" max="7177" width="5.140625" style="1301" customWidth="1"/>
    <col min="7178" max="7178" width="4.7109375" style="1301" customWidth="1"/>
    <col min="7179" max="7179" width="6.7109375" style="1301" customWidth="1"/>
    <col min="7180" max="7180" width="9.85546875" style="1301" customWidth="1"/>
    <col min="7181" max="7181" width="8.42578125" style="1301" customWidth="1"/>
    <col min="7182" max="7182" width="6" style="1301" customWidth="1"/>
    <col min="7183" max="7183" width="5.28515625" style="1301" customWidth="1"/>
    <col min="7184" max="7185" width="9.42578125" style="1301" customWidth="1"/>
    <col min="7186" max="7186" width="8.140625" style="1301" customWidth="1"/>
    <col min="7187" max="7187" width="7.28515625" style="1301" customWidth="1"/>
    <col min="7188" max="7188" width="6.140625" style="1301" customWidth="1"/>
    <col min="7189" max="7189" width="9.28515625" style="1301" customWidth="1"/>
    <col min="7190" max="7190" width="8.85546875" style="1301" customWidth="1"/>
    <col min="7191" max="7191" width="8.140625" style="1301" customWidth="1"/>
    <col min="7192" max="7192" width="8.42578125" style="1301" customWidth="1"/>
    <col min="7193" max="7193" width="6.7109375" style="1301" customWidth="1"/>
    <col min="7194" max="7195" width="10.42578125" style="1301" customWidth="1"/>
    <col min="7196" max="7196" width="8.42578125" style="1301" customWidth="1"/>
    <col min="7197" max="7197" width="7.7109375" style="1301" customWidth="1"/>
    <col min="7198" max="7198" width="5.42578125" style="1301" customWidth="1"/>
    <col min="7199" max="7424" width="9.140625" style="1301"/>
    <col min="7425" max="7425" width="7.85546875" style="1301" customWidth="1"/>
    <col min="7426" max="7426" width="8.140625" style="1301" customWidth="1"/>
    <col min="7427" max="7427" width="7.85546875" style="1301" customWidth="1"/>
    <col min="7428" max="7429" width="4.7109375" style="1301" customWidth="1"/>
    <col min="7430" max="7430" width="7" style="1301" customWidth="1"/>
    <col min="7431" max="7431" width="8.42578125" style="1301" customWidth="1"/>
    <col min="7432" max="7432" width="8.7109375" style="1301" customWidth="1"/>
    <col min="7433" max="7433" width="5.140625" style="1301" customWidth="1"/>
    <col min="7434" max="7434" width="4.7109375" style="1301" customWidth="1"/>
    <col min="7435" max="7435" width="6.7109375" style="1301" customWidth="1"/>
    <col min="7436" max="7436" width="9.85546875" style="1301" customWidth="1"/>
    <col min="7437" max="7437" width="8.42578125" style="1301" customWidth="1"/>
    <col min="7438" max="7438" width="6" style="1301" customWidth="1"/>
    <col min="7439" max="7439" width="5.28515625" style="1301" customWidth="1"/>
    <col min="7440" max="7441" width="9.42578125" style="1301" customWidth="1"/>
    <col min="7442" max="7442" width="8.140625" style="1301" customWidth="1"/>
    <col min="7443" max="7443" width="7.28515625" style="1301" customWidth="1"/>
    <col min="7444" max="7444" width="6.140625" style="1301" customWidth="1"/>
    <col min="7445" max="7445" width="9.28515625" style="1301" customWidth="1"/>
    <col min="7446" max="7446" width="8.85546875" style="1301" customWidth="1"/>
    <col min="7447" max="7447" width="8.140625" style="1301" customWidth="1"/>
    <col min="7448" max="7448" width="8.42578125" style="1301" customWidth="1"/>
    <col min="7449" max="7449" width="6.7109375" style="1301" customWidth="1"/>
    <col min="7450" max="7451" width="10.42578125" style="1301" customWidth="1"/>
    <col min="7452" max="7452" width="8.42578125" style="1301" customWidth="1"/>
    <col min="7453" max="7453" width="7.7109375" style="1301" customWidth="1"/>
    <col min="7454" max="7454" width="5.42578125" style="1301" customWidth="1"/>
    <col min="7455" max="7680" width="9.140625" style="1301"/>
    <col min="7681" max="7681" width="7.85546875" style="1301" customWidth="1"/>
    <col min="7682" max="7682" width="8.140625" style="1301" customWidth="1"/>
    <col min="7683" max="7683" width="7.85546875" style="1301" customWidth="1"/>
    <col min="7684" max="7685" width="4.7109375" style="1301" customWidth="1"/>
    <col min="7686" max="7686" width="7" style="1301" customWidth="1"/>
    <col min="7687" max="7687" width="8.42578125" style="1301" customWidth="1"/>
    <col min="7688" max="7688" width="8.7109375" style="1301" customWidth="1"/>
    <col min="7689" max="7689" width="5.140625" style="1301" customWidth="1"/>
    <col min="7690" max="7690" width="4.7109375" style="1301" customWidth="1"/>
    <col min="7691" max="7691" width="6.7109375" style="1301" customWidth="1"/>
    <col min="7692" max="7692" width="9.85546875" style="1301" customWidth="1"/>
    <col min="7693" max="7693" width="8.42578125" style="1301" customWidth="1"/>
    <col min="7694" max="7694" width="6" style="1301" customWidth="1"/>
    <col min="7695" max="7695" width="5.28515625" style="1301" customWidth="1"/>
    <col min="7696" max="7697" width="9.42578125" style="1301" customWidth="1"/>
    <col min="7698" max="7698" width="8.140625" style="1301" customWidth="1"/>
    <col min="7699" max="7699" width="7.28515625" style="1301" customWidth="1"/>
    <col min="7700" max="7700" width="6.140625" style="1301" customWidth="1"/>
    <col min="7701" max="7701" width="9.28515625" style="1301" customWidth="1"/>
    <col min="7702" max="7702" width="8.85546875" style="1301" customWidth="1"/>
    <col min="7703" max="7703" width="8.140625" style="1301" customWidth="1"/>
    <col min="7704" max="7704" width="8.42578125" style="1301" customWidth="1"/>
    <col min="7705" max="7705" width="6.7109375" style="1301" customWidth="1"/>
    <col min="7706" max="7707" width="10.42578125" style="1301" customWidth="1"/>
    <col min="7708" max="7708" width="8.42578125" style="1301" customWidth="1"/>
    <col min="7709" max="7709" width="7.7109375" style="1301" customWidth="1"/>
    <col min="7710" max="7710" width="5.42578125" style="1301" customWidth="1"/>
    <col min="7711" max="7936" width="9.140625" style="1301"/>
    <col min="7937" max="7937" width="7.85546875" style="1301" customWidth="1"/>
    <col min="7938" max="7938" width="8.140625" style="1301" customWidth="1"/>
    <col min="7939" max="7939" width="7.85546875" style="1301" customWidth="1"/>
    <col min="7940" max="7941" width="4.7109375" style="1301" customWidth="1"/>
    <col min="7942" max="7942" width="7" style="1301" customWidth="1"/>
    <col min="7943" max="7943" width="8.42578125" style="1301" customWidth="1"/>
    <col min="7944" max="7944" width="8.7109375" style="1301" customWidth="1"/>
    <col min="7945" max="7945" width="5.140625" style="1301" customWidth="1"/>
    <col min="7946" max="7946" width="4.7109375" style="1301" customWidth="1"/>
    <col min="7947" max="7947" width="6.7109375" style="1301" customWidth="1"/>
    <col min="7948" max="7948" width="9.85546875" style="1301" customWidth="1"/>
    <col min="7949" max="7949" width="8.42578125" style="1301" customWidth="1"/>
    <col min="7950" max="7950" width="6" style="1301" customWidth="1"/>
    <col min="7951" max="7951" width="5.28515625" style="1301" customWidth="1"/>
    <col min="7952" max="7953" width="9.42578125" style="1301" customWidth="1"/>
    <col min="7954" max="7954" width="8.140625" style="1301" customWidth="1"/>
    <col min="7955" max="7955" width="7.28515625" style="1301" customWidth="1"/>
    <col min="7956" max="7956" width="6.140625" style="1301" customWidth="1"/>
    <col min="7957" max="7957" width="9.28515625" style="1301" customWidth="1"/>
    <col min="7958" max="7958" width="8.85546875" style="1301" customWidth="1"/>
    <col min="7959" max="7959" width="8.140625" style="1301" customWidth="1"/>
    <col min="7960" max="7960" width="8.42578125" style="1301" customWidth="1"/>
    <col min="7961" max="7961" width="6.7109375" style="1301" customWidth="1"/>
    <col min="7962" max="7963" width="10.42578125" style="1301" customWidth="1"/>
    <col min="7964" max="7964" width="8.42578125" style="1301" customWidth="1"/>
    <col min="7965" max="7965" width="7.7109375" style="1301" customWidth="1"/>
    <col min="7966" max="7966" width="5.42578125" style="1301" customWidth="1"/>
    <col min="7967" max="8192" width="9.140625" style="1301"/>
    <col min="8193" max="8193" width="7.85546875" style="1301" customWidth="1"/>
    <col min="8194" max="8194" width="8.140625" style="1301" customWidth="1"/>
    <col min="8195" max="8195" width="7.85546875" style="1301" customWidth="1"/>
    <col min="8196" max="8197" width="4.7109375" style="1301" customWidth="1"/>
    <col min="8198" max="8198" width="7" style="1301" customWidth="1"/>
    <col min="8199" max="8199" width="8.42578125" style="1301" customWidth="1"/>
    <col min="8200" max="8200" width="8.7109375" style="1301" customWidth="1"/>
    <col min="8201" max="8201" width="5.140625" style="1301" customWidth="1"/>
    <col min="8202" max="8202" width="4.7109375" style="1301" customWidth="1"/>
    <col min="8203" max="8203" width="6.7109375" style="1301" customWidth="1"/>
    <col min="8204" max="8204" width="9.85546875" style="1301" customWidth="1"/>
    <col min="8205" max="8205" width="8.42578125" style="1301" customWidth="1"/>
    <col min="8206" max="8206" width="6" style="1301" customWidth="1"/>
    <col min="8207" max="8207" width="5.28515625" style="1301" customWidth="1"/>
    <col min="8208" max="8209" width="9.42578125" style="1301" customWidth="1"/>
    <col min="8210" max="8210" width="8.140625" style="1301" customWidth="1"/>
    <col min="8211" max="8211" width="7.28515625" style="1301" customWidth="1"/>
    <col min="8212" max="8212" width="6.140625" style="1301" customWidth="1"/>
    <col min="8213" max="8213" width="9.28515625" style="1301" customWidth="1"/>
    <col min="8214" max="8214" width="8.85546875" style="1301" customWidth="1"/>
    <col min="8215" max="8215" width="8.140625" style="1301" customWidth="1"/>
    <col min="8216" max="8216" width="8.42578125" style="1301" customWidth="1"/>
    <col min="8217" max="8217" width="6.7109375" style="1301" customWidth="1"/>
    <col min="8218" max="8219" width="10.42578125" style="1301" customWidth="1"/>
    <col min="8220" max="8220" width="8.42578125" style="1301" customWidth="1"/>
    <col min="8221" max="8221" width="7.7109375" style="1301" customWidth="1"/>
    <col min="8222" max="8222" width="5.42578125" style="1301" customWidth="1"/>
    <col min="8223" max="8448" width="9.140625" style="1301"/>
    <col min="8449" max="8449" width="7.85546875" style="1301" customWidth="1"/>
    <col min="8450" max="8450" width="8.140625" style="1301" customWidth="1"/>
    <col min="8451" max="8451" width="7.85546875" style="1301" customWidth="1"/>
    <col min="8452" max="8453" width="4.7109375" style="1301" customWidth="1"/>
    <col min="8454" max="8454" width="7" style="1301" customWidth="1"/>
    <col min="8455" max="8455" width="8.42578125" style="1301" customWidth="1"/>
    <col min="8456" max="8456" width="8.7109375" style="1301" customWidth="1"/>
    <col min="8457" max="8457" width="5.140625" style="1301" customWidth="1"/>
    <col min="8458" max="8458" width="4.7109375" style="1301" customWidth="1"/>
    <col min="8459" max="8459" width="6.7109375" style="1301" customWidth="1"/>
    <col min="8460" max="8460" width="9.85546875" style="1301" customWidth="1"/>
    <col min="8461" max="8461" width="8.42578125" style="1301" customWidth="1"/>
    <col min="8462" max="8462" width="6" style="1301" customWidth="1"/>
    <col min="8463" max="8463" width="5.28515625" style="1301" customWidth="1"/>
    <col min="8464" max="8465" width="9.42578125" style="1301" customWidth="1"/>
    <col min="8466" max="8466" width="8.140625" style="1301" customWidth="1"/>
    <col min="8467" max="8467" width="7.28515625" style="1301" customWidth="1"/>
    <col min="8468" max="8468" width="6.140625" style="1301" customWidth="1"/>
    <col min="8469" max="8469" width="9.28515625" style="1301" customWidth="1"/>
    <col min="8470" max="8470" width="8.85546875" style="1301" customWidth="1"/>
    <col min="8471" max="8471" width="8.140625" style="1301" customWidth="1"/>
    <col min="8472" max="8472" width="8.42578125" style="1301" customWidth="1"/>
    <col min="8473" max="8473" width="6.7109375" style="1301" customWidth="1"/>
    <col min="8474" max="8475" width="10.42578125" style="1301" customWidth="1"/>
    <col min="8476" max="8476" width="8.42578125" style="1301" customWidth="1"/>
    <col min="8477" max="8477" width="7.7109375" style="1301" customWidth="1"/>
    <col min="8478" max="8478" width="5.42578125" style="1301" customWidth="1"/>
    <col min="8479" max="8704" width="9.140625" style="1301"/>
    <col min="8705" max="8705" width="7.85546875" style="1301" customWidth="1"/>
    <col min="8706" max="8706" width="8.140625" style="1301" customWidth="1"/>
    <col min="8707" max="8707" width="7.85546875" style="1301" customWidth="1"/>
    <col min="8708" max="8709" width="4.7109375" style="1301" customWidth="1"/>
    <col min="8710" max="8710" width="7" style="1301" customWidth="1"/>
    <col min="8711" max="8711" width="8.42578125" style="1301" customWidth="1"/>
    <col min="8712" max="8712" width="8.7109375" style="1301" customWidth="1"/>
    <col min="8713" max="8713" width="5.140625" style="1301" customWidth="1"/>
    <col min="8714" max="8714" width="4.7109375" style="1301" customWidth="1"/>
    <col min="8715" max="8715" width="6.7109375" style="1301" customWidth="1"/>
    <col min="8716" max="8716" width="9.85546875" style="1301" customWidth="1"/>
    <col min="8717" max="8717" width="8.42578125" style="1301" customWidth="1"/>
    <col min="8718" max="8718" width="6" style="1301" customWidth="1"/>
    <col min="8719" max="8719" width="5.28515625" style="1301" customWidth="1"/>
    <col min="8720" max="8721" width="9.42578125" style="1301" customWidth="1"/>
    <col min="8722" max="8722" width="8.140625" style="1301" customWidth="1"/>
    <col min="8723" max="8723" width="7.28515625" style="1301" customWidth="1"/>
    <col min="8724" max="8724" width="6.140625" style="1301" customWidth="1"/>
    <col min="8725" max="8725" width="9.28515625" style="1301" customWidth="1"/>
    <col min="8726" max="8726" width="8.85546875" style="1301" customWidth="1"/>
    <col min="8727" max="8727" width="8.140625" style="1301" customWidth="1"/>
    <col min="8728" max="8728" width="8.42578125" style="1301" customWidth="1"/>
    <col min="8729" max="8729" width="6.7109375" style="1301" customWidth="1"/>
    <col min="8730" max="8731" width="10.42578125" style="1301" customWidth="1"/>
    <col min="8732" max="8732" width="8.42578125" style="1301" customWidth="1"/>
    <col min="8733" max="8733" width="7.7109375" style="1301" customWidth="1"/>
    <col min="8734" max="8734" width="5.42578125" style="1301" customWidth="1"/>
    <col min="8735" max="8960" width="9.140625" style="1301"/>
    <col min="8961" max="8961" width="7.85546875" style="1301" customWidth="1"/>
    <col min="8962" max="8962" width="8.140625" style="1301" customWidth="1"/>
    <col min="8963" max="8963" width="7.85546875" style="1301" customWidth="1"/>
    <col min="8964" max="8965" width="4.7109375" style="1301" customWidth="1"/>
    <col min="8966" max="8966" width="7" style="1301" customWidth="1"/>
    <col min="8967" max="8967" width="8.42578125" style="1301" customWidth="1"/>
    <col min="8968" max="8968" width="8.7109375" style="1301" customWidth="1"/>
    <col min="8969" max="8969" width="5.140625" style="1301" customWidth="1"/>
    <col min="8970" max="8970" width="4.7109375" style="1301" customWidth="1"/>
    <col min="8971" max="8971" width="6.7109375" style="1301" customWidth="1"/>
    <col min="8972" max="8972" width="9.85546875" style="1301" customWidth="1"/>
    <col min="8973" max="8973" width="8.42578125" style="1301" customWidth="1"/>
    <col min="8974" max="8974" width="6" style="1301" customWidth="1"/>
    <col min="8975" max="8975" width="5.28515625" style="1301" customWidth="1"/>
    <col min="8976" max="8977" width="9.42578125" style="1301" customWidth="1"/>
    <col min="8978" max="8978" width="8.140625" style="1301" customWidth="1"/>
    <col min="8979" max="8979" width="7.28515625" style="1301" customWidth="1"/>
    <col min="8980" max="8980" width="6.140625" style="1301" customWidth="1"/>
    <col min="8981" max="8981" width="9.28515625" style="1301" customWidth="1"/>
    <col min="8982" max="8982" width="8.85546875" style="1301" customWidth="1"/>
    <col min="8983" max="8983" width="8.140625" style="1301" customWidth="1"/>
    <col min="8984" max="8984" width="8.42578125" style="1301" customWidth="1"/>
    <col min="8985" max="8985" width="6.7109375" style="1301" customWidth="1"/>
    <col min="8986" max="8987" width="10.42578125" style="1301" customWidth="1"/>
    <col min="8988" max="8988" width="8.42578125" style="1301" customWidth="1"/>
    <col min="8989" max="8989" width="7.7109375" style="1301" customWidth="1"/>
    <col min="8990" max="8990" width="5.42578125" style="1301" customWidth="1"/>
    <col min="8991" max="9216" width="9.140625" style="1301"/>
    <col min="9217" max="9217" width="7.85546875" style="1301" customWidth="1"/>
    <col min="9218" max="9218" width="8.140625" style="1301" customWidth="1"/>
    <col min="9219" max="9219" width="7.85546875" style="1301" customWidth="1"/>
    <col min="9220" max="9221" width="4.7109375" style="1301" customWidth="1"/>
    <col min="9222" max="9222" width="7" style="1301" customWidth="1"/>
    <col min="9223" max="9223" width="8.42578125" style="1301" customWidth="1"/>
    <col min="9224" max="9224" width="8.7109375" style="1301" customWidth="1"/>
    <col min="9225" max="9225" width="5.140625" style="1301" customWidth="1"/>
    <col min="9226" max="9226" width="4.7109375" style="1301" customWidth="1"/>
    <col min="9227" max="9227" width="6.7109375" style="1301" customWidth="1"/>
    <col min="9228" max="9228" width="9.85546875" style="1301" customWidth="1"/>
    <col min="9229" max="9229" width="8.42578125" style="1301" customWidth="1"/>
    <col min="9230" max="9230" width="6" style="1301" customWidth="1"/>
    <col min="9231" max="9231" width="5.28515625" style="1301" customWidth="1"/>
    <col min="9232" max="9233" width="9.42578125" style="1301" customWidth="1"/>
    <col min="9234" max="9234" width="8.140625" style="1301" customWidth="1"/>
    <col min="9235" max="9235" width="7.28515625" style="1301" customWidth="1"/>
    <col min="9236" max="9236" width="6.140625" style="1301" customWidth="1"/>
    <col min="9237" max="9237" width="9.28515625" style="1301" customWidth="1"/>
    <col min="9238" max="9238" width="8.85546875" style="1301" customWidth="1"/>
    <col min="9239" max="9239" width="8.140625" style="1301" customWidth="1"/>
    <col min="9240" max="9240" width="8.42578125" style="1301" customWidth="1"/>
    <col min="9241" max="9241" width="6.7109375" style="1301" customWidth="1"/>
    <col min="9242" max="9243" width="10.42578125" style="1301" customWidth="1"/>
    <col min="9244" max="9244" width="8.42578125" style="1301" customWidth="1"/>
    <col min="9245" max="9245" width="7.7109375" style="1301" customWidth="1"/>
    <col min="9246" max="9246" width="5.42578125" style="1301" customWidth="1"/>
    <col min="9247" max="9472" width="9.140625" style="1301"/>
    <col min="9473" max="9473" width="7.85546875" style="1301" customWidth="1"/>
    <col min="9474" max="9474" width="8.140625" style="1301" customWidth="1"/>
    <col min="9475" max="9475" width="7.85546875" style="1301" customWidth="1"/>
    <col min="9476" max="9477" width="4.7109375" style="1301" customWidth="1"/>
    <col min="9478" max="9478" width="7" style="1301" customWidth="1"/>
    <col min="9479" max="9479" width="8.42578125" style="1301" customWidth="1"/>
    <col min="9480" max="9480" width="8.7109375" style="1301" customWidth="1"/>
    <col min="9481" max="9481" width="5.140625" style="1301" customWidth="1"/>
    <col min="9482" max="9482" width="4.7109375" style="1301" customWidth="1"/>
    <col min="9483" max="9483" width="6.7109375" style="1301" customWidth="1"/>
    <col min="9484" max="9484" width="9.85546875" style="1301" customWidth="1"/>
    <col min="9485" max="9485" width="8.42578125" style="1301" customWidth="1"/>
    <col min="9486" max="9486" width="6" style="1301" customWidth="1"/>
    <col min="9487" max="9487" width="5.28515625" style="1301" customWidth="1"/>
    <col min="9488" max="9489" width="9.42578125" style="1301" customWidth="1"/>
    <col min="9490" max="9490" width="8.140625" style="1301" customWidth="1"/>
    <col min="9491" max="9491" width="7.28515625" style="1301" customWidth="1"/>
    <col min="9492" max="9492" width="6.140625" style="1301" customWidth="1"/>
    <col min="9493" max="9493" width="9.28515625" style="1301" customWidth="1"/>
    <col min="9494" max="9494" width="8.85546875" style="1301" customWidth="1"/>
    <col min="9495" max="9495" width="8.140625" style="1301" customWidth="1"/>
    <col min="9496" max="9496" width="8.42578125" style="1301" customWidth="1"/>
    <col min="9497" max="9497" width="6.7109375" style="1301" customWidth="1"/>
    <col min="9498" max="9499" width="10.42578125" style="1301" customWidth="1"/>
    <col min="9500" max="9500" width="8.42578125" style="1301" customWidth="1"/>
    <col min="9501" max="9501" width="7.7109375" style="1301" customWidth="1"/>
    <col min="9502" max="9502" width="5.42578125" style="1301" customWidth="1"/>
    <col min="9503" max="9728" width="9.140625" style="1301"/>
    <col min="9729" max="9729" width="7.85546875" style="1301" customWidth="1"/>
    <col min="9730" max="9730" width="8.140625" style="1301" customWidth="1"/>
    <col min="9731" max="9731" width="7.85546875" style="1301" customWidth="1"/>
    <col min="9732" max="9733" width="4.7109375" style="1301" customWidth="1"/>
    <col min="9734" max="9734" width="7" style="1301" customWidth="1"/>
    <col min="9735" max="9735" width="8.42578125" style="1301" customWidth="1"/>
    <col min="9736" max="9736" width="8.7109375" style="1301" customWidth="1"/>
    <col min="9737" max="9737" width="5.140625" style="1301" customWidth="1"/>
    <col min="9738" max="9738" width="4.7109375" style="1301" customWidth="1"/>
    <col min="9739" max="9739" width="6.7109375" style="1301" customWidth="1"/>
    <col min="9740" max="9740" width="9.85546875" style="1301" customWidth="1"/>
    <col min="9741" max="9741" width="8.42578125" style="1301" customWidth="1"/>
    <col min="9742" max="9742" width="6" style="1301" customWidth="1"/>
    <col min="9743" max="9743" width="5.28515625" style="1301" customWidth="1"/>
    <col min="9744" max="9745" width="9.42578125" style="1301" customWidth="1"/>
    <col min="9746" max="9746" width="8.140625" style="1301" customWidth="1"/>
    <col min="9747" max="9747" width="7.28515625" style="1301" customWidth="1"/>
    <col min="9748" max="9748" width="6.140625" style="1301" customWidth="1"/>
    <col min="9749" max="9749" width="9.28515625" style="1301" customWidth="1"/>
    <col min="9750" max="9750" width="8.85546875" style="1301" customWidth="1"/>
    <col min="9751" max="9751" width="8.140625" style="1301" customWidth="1"/>
    <col min="9752" max="9752" width="8.42578125" style="1301" customWidth="1"/>
    <col min="9753" max="9753" width="6.7109375" style="1301" customWidth="1"/>
    <col min="9754" max="9755" width="10.42578125" style="1301" customWidth="1"/>
    <col min="9756" max="9756" width="8.42578125" style="1301" customWidth="1"/>
    <col min="9757" max="9757" width="7.7109375" style="1301" customWidth="1"/>
    <col min="9758" max="9758" width="5.42578125" style="1301" customWidth="1"/>
    <col min="9759" max="9984" width="9.140625" style="1301"/>
    <col min="9985" max="9985" width="7.85546875" style="1301" customWidth="1"/>
    <col min="9986" max="9986" width="8.140625" style="1301" customWidth="1"/>
    <col min="9987" max="9987" width="7.85546875" style="1301" customWidth="1"/>
    <col min="9988" max="9989" width="4.7109375" style="1301" customWidth="1"/>
    <col min="9990" max="9990" width="7" style="1301" customWidth="1"/>
    <col min="9991" max="9991" width="8.42578125" style="1301" customWidth="1"/>
    <col min="9992" max="9992" width="8.7109375" style="1301" customWidth="1"/>
    <col min="9993" max="9993" width="5.140625" style="1301" customWidth="1"/>
    <col min="9994" max="9994" width="4.7109375" style="1301" customWidth="1"/>
    <col min="9995" max="9995" width="6.7109375" style="1301" customWidth="1"/>
    <col min="9996" max="9996" width="9.85546875" style="1301" customWidth="1"/>
    <col min="9997" max="9997" width="8.42578125" style="1301" customWidth="1"/>
    <col min="9998" max="9998" width="6" style="1301" customWidth="1"/>
    <col min="9999" max="9999" width="5.28515625" style="1301" customWidth="1"/>
    <col min="10000" max="10001" width="9.42578125" style="1301" customWidth="1"/>
    <col min="10002" max="10002" width="8.140625" style="1301" customWidth="1"/>
    <col min="10003" max="10003" width="7.28515625" style="1301" customWidth="1"/>
    <col min="10004" max="10004" width="6.140625" style="1301" customWidth="1"/>
    <col min="10005" max="10005" width="9.28515625" style="1301" customWidth="1"/>
    <col min="10006" max="10006" width="8.85546875" style="1301" customWidth="1"/>
    <col min="10007" max="10007" width="8.140625" style="1301" customWidth="1"/>
    <col min="10008" max="10008" width="8.42578125" style="1301" customWidth="1"/>
    <col min="10009" max="10009" width="6.7109375" style="1301" customWidth="1"/>
    <col min="10010" max="10011" width="10.42578125" style="1301" customWidth="1"/>
    <col min="10012" max="10012" width="8.42578125" style="1301" customWidth="1"/>
    <col min="10013" max="10013" width="7.7109375" style="1301" customWidth="1"/>
    <col min="10014" max="10014" width="5.42578125" style="1301" customWidth="1"/>
    <col min="10015" max="10240" width="9.140625" style="1301"/>
    <col min="10241" max="10241" width="7.85546875" style="1301" customWidth="1"/>
    <col min="10242" max="10242" width="8.140625" style="1301" customWidth="1"/>
    <col min="10243" max="10243" width="7.85546875" style="1301" customWidth="1"/>
    <col min="10244" max="10245" width="4.7109375" style="1301" customWidth="1"/>
    <col min="10246" max="10246" width="7" style="1301" customWidth="1"/>
    <col min="10247" max="10247" width="8.42578125" style="1301" customWidth="1"/>
    <col min="10248" max="10248" width="8.7109375" style="1301" customWidth="1"/>
    <col min="10249" max="10249" width="5.140625" style="1301" customWidth="1"/>
    <col min="10250" max="10250" width="4.7109375" style="1301" customWidth="1"/>
    <col min="10251" max="10251" width="6.7109375" style="1301" customWidth="1"/>
    <col min="10252" max="10252" width="9.85546875" style="1301" customWidth="1"/>
    <col min="10253" max="10253" width="8.42578125" style="1301" customWidth="1"/>
    <col min="10254" max="10254" width="6" style="1301" customWidth="1"/>
    <col min="10255" max="10255" width="5.28515625" style="1301" customWidth="1"/>
    <col min="10256" max="10257" width="9.42578125" style="1301" customWidth="1"/>
    <col min="10258" max="10258" width="8.140625" style="1301" customWidth="1"/>
    <col min="10259" max="10259" width="7.28515625" style="1301" customWidth="1"/>
    <col min="10260" max="10260" width="6.140625" style="1301" customWidth="1"/>
    <col min="10261" max="10261" width="9.28515625" style="1301" customWidth="1"/>
    <col min="10262" max="10262" width="8.85546875" style="1301" customWidth="1"/>
    <col min="10263" max="10263" width="8.140625" style="1301" customWidth="1"/>
    <col min="10264" max="10264" width="8.42578125" style="1301" customWidth="1"/>
    <col min="10265" max="10265" width="6.7109375" style="1301" customWidth="1"/>
    <col min="10266" max="10267" width="10.42578125" style="1301" customWidth="1"/>
    <col min="10268" max="10268" width="8.42578125" style="1301" customWidth="1"/>
    <col min="10269" max="10269" width="7.7109375" style="1301" customWidth="1"/>
    <col min="10270" max="10270" width="5.42578125" style="1301" customWidth="1"/>
    <col min="10271" max="10496" width="9.140625" style="1301"/>
    <col min="10497" max="10497" width="7.85546875" style="1301" customWidth="1"/>
    <col min="10498" max="10498" width="8.140625" style="1301" customWidth="1"/>
    <col min="10499" max="10499" width="7.85546875" style="1301" customWidth="1"/>
    <col min="10500" max="10501" width="4.7109375" style="1301" customWidth="1"/>
    <col min="10502" max="10502" width="7" style="1301" customWidth="1"/>
    <col min="10503" max="10503" width="8.42578125" style="1301" customWidth="1"/>
    <col min="10504" max="10504" width="8.7109375" style="1301" customWidth="1"/>
    <col min="10505" max="10505" width="5.140625" style="1301" customWidth="1"/>
    <col min="10506" max="10506" width="4.7109375" style="1301" customWidth="1"/>
    <col min="10507" max="10507" width="6.7109375" style="1301" customWidth="1"/>
    <col min="10508" max="10508" width="9.85546875" style="1301" customWidth="1"/>
    <col min="10509" max="10509" width="8.42578125" style="1301" customWidth="1"/>
    <col min="10510" max="10510" width="6" style="1301" customWidth="1"/>
    <col min="10511" max="10511" width="5.28515625" style="1301" customWidth="1"/>
    <col min="10512" max="10513" width="9.42578125" style="1301" customWidth="1"/>
    <col min="10514" max="10514" width="8.140625" style="1301" customWidth="1"/>
    <col min="10515" max="10515" width="7.28515625" style="1301" customWidth="1"/>
    <col min="10516" max="10516" width="6.140625" style="1301" customWidth="1"/>
    <col min="10517" max="10517" width="9.28515625" style="1301" customWidth="1"/>
    <col min="10518" max="10518" width="8.85546875" style="1301" customWidth="1"/>
    <col min="10519" max="10519" width="8.140625" style="1301" customWidth="1"/>
    <col min="10520" max="10520" width="8.42578125" style="1301" customWidth="1"/>
    <col min="10521" max="10521" width="6.7109375" style="1301" customWidth="1"/>
    <col min="10522" max="10523" width="10.42578125" style="1301" customWidth="1"/>
    <col min="10524" max="10524" width="8.42578125" style="1301" customWidth="1"/>
    <col min="10525" max="10525" width="7.7109375" style="1301" customWidth="1"/>
    <col min="10526" max="10526" width="5.42578125" style="1301" customWidth="1"/>
    <col min="10527" max="10752" width="9.140625" style="1301"/>
    <col min="10753" max="10753" width="7.85546875" style="1301" customWidth="1"/>
    <col min="10754" max="10754" width="8.140625" style="1301" customWidth="1"/>
    <col min="10755" max="10755" width="7.85546875" style="1301" customWidth="1"/>
    <col min="10756" max="10757" width="4.7109375" style="1301" customWidth="1"/>
    <col min="10758" max="10758" width="7" style="1301" customWidth="1"/>
    <col min="10759" max="10759" width="8.42578125" style="1301" customWidth="1"/>
    <col min="10760" max="10760" width="8.7109375" style="1301" customWidth="1"/>
    <col min="10761" max="10761" width="5.140625" style="1301" customWidth="1"/>
    <col min="10762" max="10762" width="4.7109375" style="1301" customWidth="1"/>
    <col min="10763" max="10763" width="6.7109375" style="1301" customWidth="1"/>
    <col min="10764" max="10764" width="9.85546875" style="1301" customWidth="1"/>
    <col min="10765" max="10765" width="8.42578125" style="1301" customWidth="1"/>
    <col min="10766" max="10766" width="6" style="1301" customWidth="1"/>
    <col min="10767" max="10767" width="5.28515625" style="1301" customWidth="1"/>
    <col min="10768" max="10769" width="9.42578125" style="1301" customWidth="1"/>
    <col min="10770" max="10770" width="8.140625" style="1301" customWidth="1"/>
    <col min="10771" max="10771" width="7.28515625" style="1301" customWidth="1"/>
    <col min="10772" max="10772" width="6.140625" style="1301" customWidth="1"/>
    <col min="10773" max="10773" width="9.28515625" style="1301" customWidth="1"/>
    <col min="10774" max="10774" width="8.85546875" style="1301" customWidth="1"/>
    <col min="10775" max="10775" width="8.140625" style="1301" customWidth="1"/>
    <col min="10776" max="10776" width="8.42578125" style="1301" customWidth="1"/>
    <col min="10777" max="10777" width="6.7109375" style="1301" customWidth="1"/>
    <col min="10778" max="10779" width="10.42578125" style="1301" customWidth="1"/>
    <col min="10780" max="10780" width="8.42578125" style="1301" customWidth="1"/>
    <col min="10781" max="10781" width="7.7109375" style="1301" customWidth="1"/>
    <col min="10782" max="10782" width="5.42578125" style="1301" customWidth="1"/>
    <col min="10783" max="11008" width="9.140625" style="1301"/>
    <col min="11009" max="11009" width="7.85546875" style="1301" customWidth="1"/>
    <col min="11010" max="11010" width="8.140625" style="1301" customWidth="1"/>
    <col min="11011" max="11011" width="7.85546875" style="1301" customWidth="1"/>
    <col min="11012" max="11013" width="4.7109375" style="1301" customWidth="1"/>
    <col min="11014" max="11014" width="7" style="1301" customWidth="1"/>
    <col min="11015" max="11015" width="8.42578125" style="1301" customWidth="1"/>
    <col min="11016" max="11016" width="8.7109375" style="1301" customWidth="1"/>
    <col min="11017" max="11017" width="5.140625" style="1301" customWidth="1"/>
    <col min="11018" max="11018" width="4.7109375" style="1301" customWidth="1"/>
    <col min="11019" max="11019" width="6.7109375" style="1301" customWidth="1"/>
    <col min="11020" max="11020" width="9.85546875" style="1301" customWidth="1"/>
    <col min="11021" max="11021" width="8.42578125" style="1301" customWidth="1"/>
    <col min="11022" max="11022" width="6" style="1301" customWidth="1"/>
    <col min="11023" max="11023" width="5.28515625" style="1301" customWidth="1"/>
    <col min="11024" max="11025" width="9.42578125" style="1301" customWidth="1"/>
    <col min="11026" max="11026" width="8.140625" style="1301" customWidth="1"/>
    <col min="11027" max="11027" width="7.28515625" style="1301" customWidth="1"/>
    <col min="11028" max="11028" width="6.140625" style="1301" customWidth="1"/>
    <col min="11029" max="11029" width="9.28515625" style="1301" customWidth="1"/>
    <col min="11030" max="11030" width="8.85546875" style="1301" customWidth="1"/>
    <col min="11031" max="11031" width="8.140625" style="1301" customWidth="1"/>
    <col min="11032" max="11032" width="8.42578125" style="1301" customWidth="1"/>
    <col min="11033" max="11033" width="6.7109375" style="1301" customWidth="1"/>
    <col min="11034" max="11035" width="10.42578125" style="1301" customWidth="1"/>
    <col min="11036" max="11036" width="8.42578125" style="1301" customWidth="1"/>
    <col min="11037" max="11037" width="7.7109375" style="1301" customWidth="1"/>
    <col min="11038" max="11038" width="5.42578125" style="1301" customWidth="1"/>
    <col min="11039" max="11264" width="9.140625" style="1301"/>
    <col min="11265" max="11265" width="7.85546875" style="1301" customWidth="1"/>
    <col min="11266" max="11266" width="8.140625" style="1301" customWidth="1"/>
    <col min="11267" max="11267" width="7.85546875" style="1301" customWidth="1"/>
    <col min="11268" max="11269" width="4.7109375" style="1301" customWidth="1"/>
    <col min="11270" max="11270" width="7" style="1301" customWidth="1"/>
    <col min="11271" max="11271" width="8.42578125" style="1301" customWidth="1"/>
    <col min="11272" max="11272" width="8.7109375" style="1301" customWidth="1"/>
    <col min="11273" max="11273" width="5.140625" style="1301" customWidth="1"/>
    <col min="11274" max="11274" width="4.7109375" style="1301" customWidth="1"/>
    <col min="11275" max="11275" width="6.7109375" style="1301" customWidth="1"/>
    <col min="11276" max="11276" width="9.85546875" style="1301" customWidth="1"/>
    <col min="11277" max="11277" width="8.42578125" style="1301" customWidth="1"/>
    <col min="11278" max="11278" width="6" style="1301" customWidth="1"/>
    <col min="11279" max="11279" width="5.28515625" style="1301" customWidth="1"/>
    <col min="11280" max="11281" width="9.42578125" style="1301" customWidth="1"/>
    <col min="11282" max="11282" width="8.140625" style="1301" customWidth="1"/>
    <col min="11283" max="11283" width="7.28515625" style="1301" customWidth="1"/>
    <col min="11284" max="11284" width="6.140625" style="1301" customWidth="1"/>
    <col min="11285" max="11285" width="9.28515625" style="1301" customWidth="1"/>
    <col min="11286" max="11286" width="8.85546875" style="1301" customWidth="1"/>
    <col min="11287" max="11287" width="8.140625" style="1301" customWidth="1"/>
    <col min="11288" max="11288" width="8.42578125" style="1301" customWidth="1"/>
    <col min="11289" max="11289" width="6.7109375" style="1301" customWidth="1"/>
    <col min="11290" max="11291" width="10.42578125" style="1301" customWidth="1"/>
    <col min="11292" max="11292" width="8.42578125" style="1301" customWidth="1"/>
    <col min="11293" max="11293" width="7.7109375" style="1301" customWidth="1"/>
    <col min="11294" max="11294" width="5.42578125" style="1301" customWidth="1"/>
    <col min="11295" max="11520" width="9.140625" style="1301"/>
    <col min="11521" max="11521" width="7.85546875" style="1301" customWidth="1"/>
    <col min="11522" max="11522" width="8.140625" style="1301" customWidth="1"/>
    <col min="11523" max="11523" width="7.85546875" style="1301" customWidth="1"/>
    <col min="11524" max="11525" width="4.7109375" style="1301" customWidth="1"/>
    <col min="11526" max="11526" width="7" style="1301" customWidth="1"/>
    <col min="11527" max="11527" width="8.42578125" style="1301" customWidth="1"/>
    <col min="11528" max="11528" width="8.7109375" style="1301" customWidth="1"/>
    <col min="11529" max="11529" width="5.140625" style="1301" customWidth="1"/>
    <col min="11530" max="11530" width="4.7109375" style="1301" customWidth="1"/>
    <col min="11531" max="11531" width="6.7109375" style="1301" customWidth="1"/>
    <col min="11532" max="11532" width="9.85546875" style="1301" customWidth="1"/>
    <col min="11533" max="11533" width="8.42578125" style="1301" customWidth="1"/>
    <col min="11534" max="11534" width="6" style="1301" customWidth="1"/>
    <col min="11535" max="11535" width="5.28515625" style="1301" customWidth="1"/>
    <col min="11536" max="11537" width="9.42578125" style="1301" customWidth="1"/>
    <col min="11538" max="11538" width="8.140625" style="1301" customWidth="1"/>
    <col min="11539" max="11539" width="7.28515625" style="1301" customWidth="1"/>
    <col min="11540" max="11540" width="6.140625" style="1301" customWidth="1"/>
    <col min="11541" max="11541" width="9.28515625" style="1301" customWidth="1"/>
    <col min="11542" max="11542" width="8.85546875" style="1301" customWidth="1"/>
    <col min="11543" max="11543" width="8.140625" style="1301" customWidth="1"/>
    <col min="11544" max="11544" width="8.42578125" style="1301" customWidth="1"/>
    <col min="11545" max="11545" width="6.7109375" style="1301" customWidth="1"/>
    <col min="11546" max="11547" width="10.42578125" style="1301" customWidth="1"/>
    <col min="11548" max="11548" width="8.42578125" style="1301" customWidth="1"/>
    <col min="11549" max="11549" width="7.7109375" style="1301" customWidth="1"/>
    <col min="11550" max="11550" width="5.42578125" style="1301" customWidth="1"/>
    <col min="11551" max="11776" width="9.140625" style="1301"/>
    <col min="11777" max="11777" width="7.85546875" style="1301" customWidth="1"/>
    <col min="11778" max="11778" width="8.140625" style="1301" customWidth="1"/>
    <col min="11779" max="11779" width="7.85546875" style="1301" customWidth="1"/>
    <col min="11780" max="11781" width="4.7109375" style="1301" customWidth="1"/>
    <col min="11782" max="11782" width="7" style="1301" customWidth="1"/>
    <col min="11783" max="11783" width="8.42578125" style="1301" customWidth="1"/>
    <col min="11784" max="11784" width="8.7109375" style="1301" customWidth="1"/>
    <col min="11785" max="11785" width="5.140625" style="1301" customWidth="1"/>
    <col min="11786" max="11786" width="4.7109375" style="1301" customWidth="1"/>
    <col min="11787" max="11787" width="6.7109375" style="1301" customWidth="1"/>
    <col min="11788" max="11788" width="9.85546875" style="1301" customWidth="1"/>
    <col min="11789" max="11789" width="8.42578125" style="1301" customWidth="1"/>
    <col min="11790" max="11790" width="6" style="1301" customWidth="1"/>
    <col min="11791" max="11791" width="5.28515625" style="1301" customWidth="1"/>
    <col min="11792" max="11793" width="9.42578125" style="1301" customWidth="1"/>
    <col min="11794" max="11794" width="8.140625" style="1301" customWidth="1"/>
    <col min="11795" max="11795" width="7.28515625" style="1301" customWidth="1"/>
    <col min="11796" max="11796" width="6.140625" style="1301" customWidth="1"/>
    <col min="11797" max="11797" width="9.28515625" style="1301" customWidth="1"/>
    <col min="11798" max="11798" width="8.85546875" style="1301" customWidth="1"/>
    <col min="11799" max="11799" width="8.140625" style="1301" customWidth="1"/>
    <col min="11800" max="11800" width="8.42578125" style="1301" customWidth="1"/>
    <col min="11801" max="11801" width="6.7109375" style="1301" customWidth="1"/>
    <col min="11802" max="11803" width="10.42578125" style="1301" customWidth="1"/>
    <col min="11804" max="11804" width="8.42578125" style="1301" customWidth="1"/>
    <col min="11805" max="11805" width="7.7109375" style="1301" customWidth="1"/>
    <col min="11806" max="11806" width="5.42578125" style="1301" customWidth="1"/>
    <col min="11807" max="12032" width="9.140625" style="1301"/>
    <col min="12033" max="12033" width="7.85546875" style="1301" customWidth="1"/>
    <col min="12034" max="12034" width="8.140625" style="1301" customWidth="1"/>
    <col min="12035" max="12035" width="7.85546875" style="1301" customWidth="1"/>
    <col min="12036" max="12037" width="4.7109375" style="1301" customWidth="1"/>
    <col min="12038" max="12038" width="7" style="1301" customWidth="1"/>
    <col min="12039" max="12039" width="8.42578125" style="1301" customWidth="1"/>
    <col min="12040" max="12040" width="8.7109375" style="1301" customWidth="1"/>
    <col min="12041" max="12041" width="5.140625" style="1301" customWidth="1"/>
    <col min="12042" max="12042" width="4.7109375" style="1301" customWidth="1"/>
    <col min="12043" max="12043" width="6.7109375" style="1301" customWidth="1"/>
    <col min="12044" max="12044" width="9.85546875" style="1301" customWidth="1"/>
    <col min="12045" max="12045" width="8.42578125" style="1301" customWidth="1"/>
    <col min="12046" max="12046" width="6" style="1301" customWidth="1"/>
    <col min="12047" max="12047" width="5.28515625" style="1301" customWidth="1"/>
    <col min="12048" max="12049" width="9.42578125" style="1301" customWidth="1"/>
    <col min="12050" max="12050" width="8.140625" style="1301" customWidth="1"/>
    <col min="12051" max="12051" width="7.28515625" style="1301" customWidth="1"/>
    <col min="12052" max="12052" width="6.140625" style="1301" customWidth="1"/>
    <col min="12053" max="12053" width="9.28515625" style="1301" customWidth="1"/>
    <col min="12054" max="12054" width="8.85546875" style="1301" customWidth="1"/>
    <col min="12055" max="12055" width="8.140625" style="1301" customWidth="1"/>
    <col min="12056" max="12056" width="8.42578125" style="1301" customWidth="1"/>
    <col min="12057" max="12057" width="6.7109375" style="1301" customWidth="1"/>
    <col min="12058" max="12059" width="10.42578125" style="1301" customWidth="1"/>
    <col min="12060" max="12060" width="8.42578125" style="1301" customWidth="1"/>
    <col min="12061" max="12061" width="7.7109375" style="1301" customWidth="1"/>
    <col min="12062" max="12062" width="5.42578125" style="1301" customWidth="1"/>
    <col min="12063" max="12288" width="9.140625" style="1301"/>
    <col min="12289" max="12289" width="7.85546875" style="1301" customWidth="1"/>
    <col min="12290" max="12290" width="8.140625" style="1301" customWidth="1"/>
    <col min="12291" max="12291" width="7.85546875" style="1301" customWidth="1"/>
    <col min="12292" max="12293" width="4.7109375" style="1301" customWidth="1"/>
    <col min="12294" max="12294" width="7" style="1301" customWidth="1"/>
    <col min="12295" max="12295" width="8.42578125" style="1301" customWidth="1"/>
    <col min="12296" max="12296" width="8.7109375" style="1301" customWidth="1"/>
    <col min="12297" max="12297" width="5.140625" style="1301" customWidth="1"/>
    <col min="12298" max="12298" width="4.7109375" style="1301" customWidth="1"/>
    <col min="12299" max="12299" width="6.7109375" style="1301" customWidth="1"/>
    <col min="12300" max="12300" width="9.85546875" style="1301" customWidth="1"/>
    <col min="12301" max="12301" width="8.42578125" style="1301" customWidth="1"/>
    <col min="12302" max="12302" width="6" style="1301" customWidth="1"/>
    <col min="12303" max="12303" width="5.28515625" style="1301" customWidth="1"/>
    <col min="12304" max="12305" width="9.42578125" style="1301" customWidth="1"/>
    <col min="12306" max="12306" width="8.140625" style="1301" customWidth="1"/>
    <col min="12307" max="12307" width="7.28515625" style="1301" customWidth="1"/>
    <col min="12308" max="12308" width="6.140625" style="1301" customWidth="1"/>
    <col min="12309" max="12309" width="9.28515625" style="1301" customWidth="1"/>
    <col min="12310" max="12310" width="8.85546875" style="1301" customWidth="1"/>
    <col min="12311" max="12311" width="8.140625" style="1301" customWidth="1"/>
    <col min="12312" max="12312" width="8.42578125" style="1301" customWidth="1"/>
    <col min="12313" max="12313" width="6.7109375" style="1301" customWidth="1"/>
    <col min="12314" max="12315" width="10.42578125" style="1301" customWidth="1"/>
    <col min="12316" max="12316" width="8.42578125" style="1301" customWidth="1"/>
    <col min="12317" max="12317" width="7.7109375" style="1301" customWidth="1"/>
    <col min="12318" max="12318" width="5.42578125" style="1301" customWidth="1"/>
    <col min="12319" max="12544" width="9.140625" style="1301"/>
    <col min="12545" max="12545" width="7.85546875" style="1301" customWidth="1"/>
    <col min="12546" max="12546" width="8.140625" style="1301" customWidth="1"/>
    <col min="12547" max="12547" width="7.85546875" style="1301" customWidth="1"/>
    <col min="12548" max="12549" width="4.7109375" style="1301" customWidth="1"/>
    <col min="12550" max="12550" width="7" style="1301" customWidth="1"/>
    <col min="12551" max="12551" width="8.42578125" style="1301" customWidth="1"/>
    <col min="12552" max="12552" width="8.7109375" style="1301" customWidth="1"/>
    <col min="12553" max="12553" width="5.140625" style="1301" customWidth="1"/>
    <col min="12554" max="12554" width="4.7109375" style="1301" customWidth="1"/>
    <col min="12555" max="12555" width="6.7109375" style="1301" customWidth="1"/>
    <col min="12556" max="12556" width="9.85546875" style="1301" customWidth="1"/>
    <col min="12557" max="12557" width="8.42578125" style="1301" customWidth="1"/>
    <col min="12558" max="12558" width="6" style="1301" customWidth="1"/>
    <col min="12559" max="12559" width="5.28515625" style="1301" customWidth="1"/>
    <col min="12560" max="12561" width="9.42578125" style="1301" customWidth="1"/>
    <col min="12562" max="12562" width="8.140625" style="1301" customWidth="1"/>
    <col min="12563" max="12563" width="7.28515625" style="1301" customWidth="1"/>
    <col min="12564" max="12564" width="6.140625" style="1301" customWidth="1"/>
    <col min="12565" max="12565" width="9.28515625" style="1301" customWidth="1"/>
    <col min="12566" max="12566" width="8.85546875" style="1301" customWidth="1"/>
    <col min="12567" max="12567" width="8.140625" style="1301" customWidth="1"/>
    <col min="12568" max="12568" width="8.42578125" style="1301" customWidth="1"/>
    <col min="12569" max="12569" width="6.7109375" style="1301" customWidth="1"/>
    <col min="12570" max="12571" width="10.42578125" style="1301" customWidth="1"/>
    <col min="12572" max="12572" width="8.42578125" style="1301" customWidth="1"/>
    <col min="12573" max="12573" width="7.7109375" style="1301" customWidth="1"/>
    <col min="12574" max="12574" width="5.42578125" style="1301" customWidth="1"/>
    <col min="12575" max="12800" width="9.140625" style="1301"/>
    <col min="12801" max="12801" width="7.85546875" style="1301" customWidth="1"/>
    <col min="12802" max="12802" width="8.140625" style="1301" customWidth="1"/>
    <col min="12803" max="12803" width="7.85546875" style="1301" customWidth="1"/>
    <col min="12804" max="12805" width="4.7109375" style="1301" customWidth="1"/>
    <col min="12806" max="12806" width="7" style="1301" customWidth="1"/>
    <col min="12807" max="12807" width="8.42578125" style="1301" customWidth="1"/>
    <col min="12808" max="12808" width="8.7109375" style="1301" customWidth="1"/>
    <col min="12809" max="12809" width="5.140625" style="1301" customWidth="1"/>
    <col min="12810" max="12810" width="4.7109375" style="1301" customWidth="1"/>
    <col min="12811" max="12811" width="6.7109375" style="1301" customWidth="1"/>
    <col min="12812" max="12812" width="9.85546875" style="1301" customWidth="1"/>
    <col min="12813" max="12813" width="8.42578125" style="1301" customWidth="1"/>
    <col min="12814" max="12814" width="6" style="1301" customWidth="1"/>
    <col min="12815" max="12815" width="5.28515625" style="1301" customWidth="1"/>
    <col min="12816" max="12817" width="9.42578125" style="1301" customWidth="1"/>
    <col min="12818" max="12818" width="8.140625" style="1301" customWidth="1"/>
    <col min="12819" max="12819" width="7.28515625" style="1301" customWidth="1"/>
    <col min="12820" max="12820" width="6.140625" style="1301" customWidth="1"/>
    <col min="12821" max="12821" width="9.28515625" style="1301" customWidth="1"/>
    <col min="12822" max="12822" width="8.85546875" style="1301" customWidth="1"/>
    <col min="12823" max="12823" width="8.140625" style="1301" customWidth="1"/>
    <col min="12824" max="12824" width="8.42578125" style="1301" customWidth="1"/>
    <col min="12825" max="12825" width="6.7109375" style="1301" customWidth="1"/>
    <col min="12826" max="12827" width="10.42578125" style="1301" customWidth="1"/>
    <col min="12828" max="12828" width="8.42578125" style="1301" customWidth="1"/>
    <col min="12829" max="12829" width="7.7109375" style="1301" customWidth="1"/>
    <col min="12830" max="12830" width="5.42578125" style="1301" customWidth="1"/>
    <col min="12831" max="13056" width="9.140625" style="1301"/>
    <col min="13057" max="13057" width="7.85546875" style="1301" customWidth="1"/>
    <col min="13058" max="13058" width="8.140625" style="1301" customWidth="1"/>
    <col min="13059" max="13059" width="7.85546875" style="1301" customWidth="1"/>
    <col min="13060" max="13061" width="4.7109375" style="1301" customWidth="1"/>
    <col min="13062" max="13062" width="7" style="1301" customWidth="1"/>
    <col min="13063" max="13063" width="8.42578125" style="1301" customWidth="1"/>
    <col min="13064" max="13064" width="8.7109375" style="1301" customWidth="1"/>
    <col min="13065" max="13065" width="5.140625" style="1301" customWidth="1"/>
    <col min="13066" max="13066" width="4.7109375" style="1301" customWidth="1"/>
    <col min="13067" max="13067" width="6.7109375" style="1301" customWidth="1"/>
    <col min="13068" max="13068" width="9.85546875" style="1301" customWidth="1"/>
    <col min="13069" max="13069" width="8.42578125" style="1301" customWidth="1"/>
    <col min="13070" max="13070" width="6" style="1301" customWidth="1"/>
    <col min="13071" max="13071" width="5.28515625" style="1301" customWidth="1"/>
    <col min="13072" max="13073" width="9.42578125" style="1301" customWidth="1"/>
    <col min="13074" max="13074" width="8.140625" style="1301" customWidth="1"/>
    <col min="13075" max="13075" width="7.28515625" style="1301" customWidth="1"/>
    <col min="13076" max="13076" width="6.140625" style="1301" customWidth="1"/>
    <col min="13077" max="13077" width="9.28515625" style="1301" customWidth="1"/>
    <col min="13078" max="13078" width="8.85546875" style="1301" customWidth="1"/>
    <col min="13079" max="13079" width="8.140625" style="1301" customWidth="1"/>
    <col min="13080" max="13080" width="8.42578125" style="1301" customWidth="1"/>
    <col min="13081" max="13081" width="6.7109375" style="1301" customWidth="1"/>
    <col min="13082" max="13083" width="10.42578125" style="1301" customWidth="1"/>
    <col min="13084" max="13084" width="8.42578125" style="1301" customWidth="1"/>
    <col min="13085" max="13085" width="7.7109375" style="1301" customWidth="1"/>
    <col min="13086" max="13086" width="5.42578125" style="1301" customWidth="1"/>
    <col min="13087" max="13312" width="9.140625" style="1301"/>
    <col min="13313" max="13313" width="7.85546875" style="1301" customWidth="1"/>
    <col min="13314" max="13314" width="8.140625" style="1301" customWidth="1"/>
    <col min="13315" max="13315" width="7.85546875" style="1301" customWidth="1"/>
    <col min="13316" max="13317" width="4.7109375" style="1301" customWidth="1"/>
    <col min="13318" max="13318" width="7" style="1301" customWidth="1"/>
    <col min="13319" max="13319" width="8.42578125" style="1301" customWidth="1"/>
    <col min="13320" max="13320" width="8.7109375" style="1301" customWidth="1"/>
    <col min="13321" max="13321" width="5.140625" style="1301" customWidth="1"/>
    <col min="13322" max="13322" width="4.7109375" style="1301" customWidth="1"/>
    <col min="13323" max="13323" width="6.7109375" style="1301" customWidth="1"/>
    <col min="13324" max="13324" width="9.85546875" style="1301" customWidth="1"/>
    <col min="13325" max="13325" width="8.42578125" style="1301" customWidth="1"/>
    <col min="13326" max="13326" width="6" style="1301" customWidth="1"/>
    <col min="13327" max="13327" width="5.28515625" style="1301" customWidth="1"/>
    <col min="13328" max="13329" width="9.42578125" style="1301" customWidth="1"/>
    <col min="13330" max="13330" width="8.140625" style="1301" customWidth="1"/>
    <col min="13331" max="13331" width="7.28515625" style="1301" customWidth="1"/>
    <col min="13332" max="13332" width="6.140625" style="1301" customWidth="1"/>
    <col min="13333" max="13333" width="9.28515625" style="1301" customWidth="1"/>
    <col min="13334" max="13334" width="8.85546875" style="1301" customWidth="1"/>
    <col min="13335" max="13335" width="8.140625" style="1301" customWidth="1"/>
    <col min="13336" max="13336" width="8.42578125" style="1301" customWidth="1"/>
    <col min="13337" max="13337" width="6.7109375" style="1301" customWidth="1"/>
    <col min="13338" max="13339" width="10.42578125" style="1301" customWidth="1"/>
    <col min="13340" max="13340" width="8.42578125" style="1301" customWidth="1"/>
    <col min="13341" max="13341" width="7.7109375" style="1301" customWidth="1"/>
    <col min="13342" max="13342" width="5.42578125" style="1301" customWidth="1"/>
    <col min="13343" max="13568" width="9.140625" style="1301"/>
    <col min="13569" max="13569" width="7.85546875" style="1301" customWidth="1"/>
    <col min="13570" max="13570" width="8.140625" style="1301" customWidth="1"/>
    <col min="13571" max="13571" width="7.85546875" style="1301" customWidth="1"/>
    <col min="13572" max="13573" width="4.7109375" style="1301" customWidth="1"/>
    <col min="13574" max="13574" width="7" style="1301" customWidth="1"/>
    <col min="13575" max="13575" width="8.42578125" style="1301" customWidth="1"/>
    <col min="13576" max="13576" width="8.7109375" style="1301" customWidth="1"/>
    <col min="13577" max="13577" width="5.140625" style="1301" customWidth="1"/>
    <col min="13578" max="13578" width="4.7109375" style="1301" customWidth="1"/>
    <col min="13579" max="13579" width="6.7109375" style="1301" customWidth="1"/>
    <col min="13580" max="13580" width="9.85546875" style="1301" customWidth="1"/>
    <col min="13581" max="13581" width="8.42578125" style="1301" customWidth="1"/>
    <col min="13582" max="13582" width="6" style="1301" customWidth="1"/>
    <col min="13583" max="13583" width="5.28515625" style="1301" customWidth="1"/>
    <col min="13584" max="13585" width="9.42578125" style="1301" customWidth="1"/>
    <col min="13586" max="13586" width="8.140625" style="1301" customWidth="1"/>
    <col min="13587" max="13587" width="7.28515625" style="1301" customWidth="1"/>
    <col min="13588" max="13588" width="6.140625" style="1301" customWidth="1"/>
    <col min="13589" max="13589" width="9.28515625" style="1301" customWidth="1"/>
    <col min="13590" max="13590" width="8.85546875" style="1301" customWidth="1"/>
    <col min="13591" max="13591" width="8.140625" style="1301" customWidth="1"/>
    <col min="13592" max="13592" width="8.42578125" style="1301" customWidth="1"/>
    <col min="13593" max="13593" width="6.7109375" style="1301" customWidth="1"/>
    <col min="13594" max="13595" width="10.42578125" style="1301" customWidth="1"/>
    <col min="13596" max="13596" width="8.42578125" style="1301" customWidth="1"/>
    <col min="13597" max="13597" width="7.7109375" style="1301" customWidth="1"/>
    <col min="13598" max="13598" width="5.42578125" style="1301" customWidth="1"/>
    <col min="13599" max="13824" width="9.140625" style="1301"/>
    <col min="13825" max="13825" width="7.85546875" style="1301" customWidth="1"/>
    <col min="13826" max="13826" width="8.140625" style="1301" customWidth="1"/>
    <col min="13827" max="13827" width="7.85546875" style="1301" customWidth="1"/>
    <col min="13828" max="13829" width="4.7109375" style="1301" customWidth="1"/>
    <col min="13830" max="13830" width="7" style="1301" customWidth="1"/>
    <col min="13831" max="13831" width="8.42578125" style="1301" customWidth="1"/>
    <col min="13832" max="13832" width="8.7109375" style="1301" customWidth="1"/>
    <col min="13833" max="13833" width="5.140625" style="1301" customWidth="1"/>
    <col min="13834" max="13834" width="4.7109375" style="1301" customWidth="1"/>
    <col min="13835" max="13835" width="6.7109375" style="1301" customWidth="1"/>
    <col min="13836" max="13836" width="9.85546875" style="1301" customWidth="1"/>
    <col min="13837" max="13837" width="8.42578125" style="1301" customWidth="1"/>
    <col min="13838" max="13838" width="6" style="1301" customWidth="1"/>
    <col min="13839" max="13839" width="5.28515625" style="1301" customWidth="1"/>
    <col min="13840" max="13841" width="9.42578125" style="1301" customWidth="1"/>
    <col min="13842" max="13842" width="8.140625" style="1301" customWidth="1"/>
    <col min="13843" max="13843" width="7.28515625" style="1301" customWidth="1"/>
    <col min="13844" max="13844" width="6.140625" style="1301" customWidth="1"/>
    <col min="13845" max="13845" width="9.28515625" style="1301" customWidth="1"/>
    <col min="13846" max="13846" width="8.85546875" style="1301" customWidth="1"/>
    <col min="13847" max="13847" width="8.140625" style="1301" customWidth="1"/>
    <col min="13848" max="13848" width="8.42578125" style="1301" customWidth="1"/>
    <col min="13849" max="13849" width="6.7109375" style="1301" customWidth="1"/>
    <col min="13850" max="13851" width="10.42578125" style="1301" customWidth="1"/>
    <col min="13852" max="13852" width="8.42578125" style="1301" customWidth="1"/>
    <col min="13853" max="13853" width="7.7109375" style="1301" customWidth="1"/>
    <col min="13854" max="13854" width="5.42578125" style="1301" customWidth="1"/>
    <col min="13855" max="14080" width="9.140625" style="1301"/>
    <col min="14081" max="14081" width="7.85546875" style="1301" customWidth="1"/>
    <col min="14082" max="14082" width="8.140625" style="1301" customWidth="1"/>
    <col min="14083" max="14083" width="7.85546875" style="1301" customWidth="1"/>
    <col min="14084" max="14085" width="4.7109375" style="1301" customWidth="1"/>
    <col min="14086" max="14086" width="7" style="1301" customWidth="1"/>
    <col min="14087" max="14087" width="8.42578125" style="1301" customWidth="1"/>
    <col min="14088" max="14088" width="8.7109375" style="1301" customWidth="1"/>
    <col min="14089" max="14089" width="5.140625" style="1301" customWidth="1"/>
    <col min="14090" max="14090" width="4.7109375" style="1301" customWidth="1"/>
    <col min="14091" max="14091" width="6.7109375" style="1301" customWidth="1"/>
    <col min="14092" max="14092" width="9.85546875" style="1301" customWidth="1"/>
    <col min="14093" max="14093" width="8.42578125" style="1301" customWidth="1"/>
    <col min="14094" max="14094" width="6" style="1301" customWidth="1"/>
    <col min="14095" max="14095" width="5.28515625" style="1301" customWidth="1"/>
    <col min="14096" max="14097" width="9.42578125" style="1301" customWidth="1"/>
    <col min="14098" max="14098" width="8.140625" style="1301" customWidth="1"/>
    <col min="14099" max="14099" width="7.28515625" style="1301" customWidth="1"/>
    <col min="14100" max="14100" width="6.140625" style="1301" customWidth="1"/>
    <col min="14101" max="14101" width="9.28515625" style="1301" customWidth="1"/>
    <col min="14102" max="14102" width="8.85546875" style="1301" customWidth="1"/>
    <col min="14103" max="14103" width="8.140625" style="1301" customWidth="1"/>
    <col min="14104" max="14104" width="8.42578125" style="1301" customWidth="1"/>
    <col min="14105" max="14105" width="6.7109375" style="1301" customWidth="1"/>
    <col min="14106" max="14107" width="10.42578125" style="1301" customWidth="1"/>
    <col min="14108" max="14108" width="8.42578125" style="1301" customWidth="1"/>
    <col min="14109" max="14109" width="7.7109375" style="1301" customWidth="1"/>
    <col min="14110" max="14110" width="5.42578125" style="1301" customWidth="1"/>
    <col min="14111" max="14336" width="9.140625" style="1301"/>
    <col min="14337" max="14337" width="7.85546875" style="1301" customWidth="1"/>
    <col min="14338" max="14338" width="8.140625" style="1301" customWidth="1"/>
    <col min="14339" max="14339" width="7.85546875" style="1301" customWidth="1"/>
    <col min="14340" max="14341" width="4.7109375" style="1301" customWidth="1"/>
    <col min="14342" max="14342" width="7" style="1301" customWidth="1"/>
    <col min="14343" max="14343" width="8.42578125" style="1301" customWidth="1"/>
    <col min="14344" max="14344" width="8.7109375" style="1301" customWidth="1"/>
    <col min="14345" max="14345" width="5.140625" style="1301" customWidth="1"/>
    <col min="14346" max="14346" width="4.7109375" style="1301" customWidth="1"/>
    <col min="14347" max="14347" width="6.7109375" style="1301" customWidth="1"/>
    <col min="14348" max="14348" width="9.85546875" style="1301" customWidth="1"/>
    <col min="14349" max="14349" width="8.42578125" style="1301" customWidth="1"/>
    <col min="14350" max="14350" width="6" style="1301" customWidth="1"/>
    <col min="14351" max="14351" width="5.28515625" style="1301" customWidth="1"/>
    <col min="14352" max="14353" width="9.42578125" style="1301" customWidth="1"/>
    <col min="14354" max="14354" width="8.140625" style="1301" customWidth="1"/>
    <col min="14355" max="14355" width="7.28515625" style="1301" customWidth="1"/>
    <col min="14356" max="14356" width="6.140625" style="1301" customWidth="1"/>
    <col min="14357" max="14357" width="9.28515625" style="1301" customWidth="1"/>
    <col min="14358" max="14358" width="8.85546875" style="1301" customWidth="1"/>
    <col min="14359" max="14359" width="8.140625" style="1301" customWidth="1"/>
    <col min="14360" max="14360" width="8.42578125" style="1301" customWidth="1"/>
    <col min="14361" max="14361" width="6.7109375" style="1301" customWidth="1"/>
    <col min="14362" max="14363" width="10.42578125" style="1301" customWidth="1"/>
    <col min="14364" max="14364" width="8.42578125" style="1301" customWidth="1"/>
    <col min="14365" max="14365" width="7.7109375" style="1301" customWidth="1"/>
    <col min="14366" max="14366" width="5.42578125" style="1301" customWidth="1"/>
    <col min="14367" max="14592" width="9.140625" style="1301"/>
    <col min="14593" max="14593" width="7.85546875" style="1301" customWidth="1"/>
    <col min="14594" max="14594" width="8.140625" style="1301" customWidth="1"/>
    <col min="14595" max="14595" width="7.85546875" style="1301" customWidth="1"/>
    <col min="14596" max="14597" width="4.7109375" style="1301" customWidth="1"/>
    <col min="14598" max="14598" width="7" style="1301" customWidth="1"/>
    <col min="14599" max="14599" width="8.42578125" style="1301" customWidth="1"/>
    <col min="14600" max="14600" width="8.7109375" style="1301" customWidth="1"/>
    <col min="14601" max="14601" width="5.140625" style="1301" customWidth="1"/>
    <col min="14602" max="14602" width="4.7109375" style="1301" customWidth="1"/>
    <col min="14603" max="14603" width="6.7109375" style="1301" customWidth="1"/>
    <col min="14604" max="14604" width="9.85546875" style="1301" customWidth="1"/>
    <col min="14605" max="14605" width="8.42578125" style="1301" customWidth="1"/>
    <col min="14606" max="14606" width="6" style="1301" customWidth="1"/>
    <col min="14607" max="14607" width="5.28515625" style="1301" customWidth="1"/>
    <col min="14608" max="14609" width="9.42578125" style="1301" customWidth="1"/>
    <col min="14610" max="14610" width="8.140625" style="1301" customWidth="1"/>
    <col min="14611" max="14611" width="7.28515625" style="1301" customWidth="1"/>
    <col min="14612" max="14612" width="6.140625" style="1301" customWidth="1"/>
    <col min="14613" max="14613" width="9.28515625" style="1301" customWidth="1"/>
    <col min="14614" max="14614" width="8.85546875" style="1301" customWidth="1"/>
    <col min="14615" max="14615" width="8.140625" style="1301" customWidth="1"/>
    <col min="14616" max="14616" width="8.42578125" style="1301" customWidth="1"/>
    <col min="14617" max="14617" width="6.7109375" style="1301" customWidth="1"/>
    <col min="14618" max="14619" width="10.42578125" style="1301" customWidth="1"/>
    <col min="14620" max="14620" width="8.42578125" style="1301" customWidth="1"/>
    <col min="14621" max="14621" width="7.7109375" style="1301" customWidth="1"/>
    <col min="14622" max="14622" width="5.42578125" style="1301" customWidth="1"/>
    <col min="14623" max="14848" width="9.140625" style="1301"/>
    <col min="14849" max="14849" width="7.85546875" style="1301" customWidth="1"/>
    <col min="14850" max="14850" width="8.140625" style="1301" customWidth="1"/>
    <col min="14851" max="14851" width="7.85546875" style="1301" customWidth="1"/>
    <col min="14852" max="14853" width="4.7109375" style="1301" customWidth="1"/>
    <col min="14854" max="14854" width="7" style="1301" customWidth="1"/>
    <col min="14855" max="14855" width="8.42578125" style="1301" customWidth="1"/>
    <col min="14856" max="14856" width="8.7109375" style="1301" customWidth="1"/>
    <col min="14857" max="14857" width="5.140625" style="1301" customWidth="1"/>
    <col min="14858" max="14858" width="4.7109375" style="1301" customWidth="1"/>
    <col min="14859" max="14859" width="6.7109375" style="1301" customWidth="1"/>
    <col min="14860" max="14860" width="9.85546875" style="1301" customWidth="1"/>
    <col min="14861" max="14861" width="8.42578125" style="1301" customWidth="1"/>
    <col min="14862" max="14862" width="6" style="1301" customWidth="1"/>
    <col min="14863" max="14863" width="5.28515625" style="1301" customWidth="1"/>
    <col min="14864" max="14865" width="9.42578125" style="1301" customWidth="1"/>
    <col min="14866" max="14866" width="8.140625" style="1301" customWidth="1"/>
    <col min="14867" max="14867" width="7.28515625" style="1301" customWidth="1"/>
    <col min="14868" max="14868" width="6.140625" style="1301" customWidth="1"/>
    <col min="14869" max="14869" width="9.28515625" style="1301" customWidth="1"/>
    <col min="14870" max="14870" width="8.85546875" style="1301" customWidth="1"/>
    <col min="14871" max="14871" width="8.140625" style="1301" customWidth="1"/>
    <col min="14872" max="14872" width="8.42578125" style="1301" customWidth="1"/>
    <col min="14873" max="14873" width="6.7109375" style="1301" customWidth="1"/>
    <col min="14874" max="14875" width="10.42578125" style="1301" customWidth="1"/>
    <col min="14876" max="14876" width="8.42578125" style="1301" customWidth="1"/>
    <col min="14877" max="14877" width="7.7109375" style="1301" customWidth="1"/>
    <col min="14878" max="14878" width="5.42578125" style="1301" customWidth="1"/>
    <col min="14879" max="15104" width="9.140625" style="1301"/>
    <col min="15105" max="15105" width="7.85546875" style="1301" customWidth="1"/>
    <col min="15106" max="15106" width="8.140625" style="1301" customWidth="1"/>
    <col min="15107" max="15107" width="7.85546875" style="1301" customWidth="1"/>
    <col min="15108" max="15109" width="4.7109375" style="1301" customWidth="1"/>
    <col min="15110" max="15110" width="7" style="1301" customWidth="1"/>
    <col min="15111" max="15111" width="8.42578125" style="1301" customWidth="1"/>
    <col min="15112" max="15112" width="8.7109375" style="1301" customWidth="1"/>
    <col min="15113" max="15113" width="5.140625" style="1301" customWidth="1"/>
    <col min="15114" max="15114" width="4.7109375" style="1301" customWidth="1"/>
    <col min="15115" max="15115" width="6.7109375" style="1301" customWidth="1"/>
    <col min="15116" max="15116" width="9.85546875" style="1301" customWidth="1"/>
    <col min="15117" max="15117" width="8.42578125" style="1301" customWidth="1"/>
    <col min="15118" max="15118" width="6" style="1301" customWidth="1"/>
    <col min="15119" max="15119" width="5.28515625" style="1301" customWidth="1"/>
    <col min="15120" max="15121" width="9.42578125" style="1301" customWidth="1"/>
    <col min="15122" max="15122" width="8.140625" style="1301" customWidth="1"/>
    <col min="15123" max="15123" width="7.28515625" style="1301" customWidth="1"/>
    <col min="15124" max="15124" width="6.140625" style="1301" customWidth="1"/>
    <col min="15125" max="15125" width="9.28515625" style="1301" customWidth="1"/>
    <col min="15126" max="15126" width="8.85546875" style="1301" customWidth="1"/>
    <col min="15127" max="15127" width="8.140625" style="1301" customWidth="1"/>
    <col min="15128" max="15128" width="8.42578125" style="1301" customWidth="1"/>
    <col min="15129" max="15129" width="6.7109375" style="1301" customWidth="1"/>
    <col min="15130" max="15131" width="10.42578125" style="1301" customWidth="1"/>
    <col min="15132" max="15132" width="8.42578125" style="1301" customWidth="1"/>
    <col min="15133" max="15133" width="7.7109375" style="1301" customWidth="1"/>
    <col min="15134" max="15134" width="5.42578125" style="1301" customWidth="1"/>
    <col min="15135" max="15360" width="9.140625" style="1301"/>
    <col min="15361" max="15361" width="7.85546875" style="1301" customWidth="1"/>
    <col min="15362" max="15362" width="8.140625" style="1301" customWidth="1"/>
    <col min="15363" max="15363" width="7.85546875" style="1301" customWidth="1"/>
    <col min="15364" max="15365" width="4.7109375" style="1301" customWidth="1"/>
    <col min="15366" max="15366" width="7" style="1301" customWidth="1"/>
    <col min="15367" max="15367" width="8.42578125" style="1301" customWidth="1"/>
    <col min="15368" max="15368" width="8.7109375" style="1301" customWidth="1"/>
    <col min="15369" max="15369" width="5.140625" style="1301" customWidth="1"/>
    <col min="15370" max="15370" width="4.7109375" style="1301" customWidth="1"/>
    <col min="15371" max="15371" width="6.7109375" style="1301" customWidth="1"/>
    <col min="15372" max="15372" width="9.85546875" style="1301" customWidth="1"/>
    <col min="15373" max="15373" width="8.42578125" style="1301" customWidth="1"/>
    <col min="15374" max="15374" width="6" style="1301" customWidth="1"/>
    <col min="15375" max="15375" width="5.28515625" style="1301" customWidth="1"/>
    <col min="15376" max="15377" width="9.42578125" style="1301" customWidth="1"/>
    <col min="15378" max="15378" width="8.140625" style="1301" customWidth="1"/>
    <col min="15379" max="15379" width="7.28515625" style="1301" customWidth="1"/>
    <col min="15380" max="15380" width="6.140625" style="1301" customWidth="1"/>
    <col min="15381" max="15381" width="9.28515625" style="1301" customWidth="1"/>
    <col min="15382" max="15382" width="8.85546875" style="1301" customWidth="1"/>
    <col min="15383" max="15383" width="8.140625" style="1301" customWidth="1"/>
    <col min="15384" max="15384" width="8.42578125" style="1301" customWidth="1"/>
    <col min="15385" max="15385" width="6.7109375" style="1301" customWidth="1"/>
    <col min="15386" max="15387" width="10.42578125" style="1301" customWidth="1"/>
    <col min="15388" max="15388" width="8.42578125" style="1301" customWidth="1"/>
    <col min="15389" max="15389" width="7.7109375" style="1301" customWidth="1"/>
    <col min="15390" max="15390" width="5.42578125" style="1301" customWidth="1"/>
    <col min="15391" max="15616" width="9.140625" style="1301"/>
    <col min="15617" max="15617" width="7.85546875" style="1301" customWidth="1"/>
    <col min="15618" max="15618" width="8.140625" style="1301" customWidth="1"/>
    <col min="15619" max="15619" width="7.85546875" style="1301" customWidth="1"/>
    <col min="15620" max="15621" width="4.7109375" style="1301" customWidth="1"/>
    <col min="15622" max="15622" width="7" style="1301" customWidth="1"/>
    <col min="15623" max="15623" width="8.42578125" style="1301" customWidth="1"/>
    <col min="15624" max="15624" width="8.7109375" style="1301" customWidth="1"/>
    <col min="15625" max="15625" width="5.140625" style="1301" customWidth="1"/>
    <col min="15626" max="15626" width="4.7109375" style="1301" customWidth="1"/>
    <col min="15627" max="15627" width="6.7109375" style="1301" customWidth="1"/>
    <col min="15628" max="15628" width="9.85546875" style="1301" customWidth="1"/>
    <col min="15629" max="15629" width="8.42578125" style="1301" customWidth="1"/>
    <col min="15630" max="15630" width="6" style="1301" customWidth="1"/>
    <col min="15631" max="15631" width="5.28515625" style="1301" customWidth="1"/>
    <col min="15632" max="15633" width="9.42578125" style="1301" customWidth="1"/>
    <col min="15634" max="15634" width="8.140625" style="1301" customWidth="1"/>
    <col min="15635" max="15635" width="7.28515625" style="1301" customWidth="1"/>
    <col min="15636" max="15636" width="6.140625" style="1301" customWidth="1"/>
    <col min="15637" max="15637" width="9.28515625" style="1301" customWidth="1"/>
    <col min="15638" max="15638" width="8.85546875" style="1301" customWidth="1"/>
    <col min="15639" max="15639" width="8.140625" style="1301" customWidth="1"/>
    <col min="15640" max="15640" width="8.42578125" style="1301" customWidth="1"/>
    <col min="15641" max="15641" width="6.7109375" style="1301" customWidth="1"/>
    <col min="15642" max="15643" width="10.42578125" style="1301" customWidth="1"/>
    <col min="15644" max="15644" width="8.42578125" style="1301" customWidth="1"/>
    <col min="15645" max="15645" width="7.7109375" style="1301" customWidth="1"/>
    <col min="15646" max="15646" width="5.42578125" style="1301" customWidth="1"/>
    <col min="15647" max="15872" width="9.140625" style="1301"/>
    <col min="15873" max="15873" width="7.85546875" style="1301" customWidth="1"/>
    <col min="15874" max="15874" width="8.140625" style="1301" customWidth="1"/>
    <col min="15875" max="15875" width="7.85546875" style="1301" customWidth="1"/>
    <col min="15876" max="15877" width="4.7109375" style="1301" customWidth="1"/>
    <col min="15878" max="15878" width="7" style="1301" customWidth="1"/>
    <col min="15879" max="15879" width="8.42578125" style="1301" customWidth="1"/>
    <col min="15880" max="15880" width="8.7109375" style="1301" customWidth="1"/>
    <col min="15881" max="15881" width="5.140625" style="1301" customWidth="1"/>
    <col min="15882" max="15882" width="4.7109375" style="1301" customWidth="1"/>
    <col min="15883" max="15883" width="6.7109375" style="1301" customWidth="1"/>
    <col min="15884" max="15884" width="9.85546875" style="1301" customWidth="1"/>
    <col min="15885" max="15885" width="8.42578125" style="1301" customWidth="1"/>
    <col min="15886" max="15886" width="6" style="1301" customWidth="1"/>
    <col min="15887" max="15887" width="5.28515625" style="1301" customWidth="1"/>
    <col min="15888" max="15889" width="9.42578125" style="1301" customWidth="1"/>
    <col min="15890" max="15890" width="8.140625" style="1301" customWidth="1"/>
    <col min="15891" max="15891" width="7.28515625" style="1301" customWidth="1"/>
    <col min="15892" max="15892" width="6.140625" style="1301" customWidth="1"/>
    <col min="15893" max="15893" width="9.28515625" style="1301" customWidth="1"/>
    <col min="15894" max="15894" width="8.85546875" style="1301" customWidth="1"/>
    <col min="15895" max="15895" width="8.140625" style="1301" customWidth="1"/>
    <col min="15896" max="15896" width="8.42578125" style="1301" customWidth="1"/>
    <col min="15897" max="15897" width="6.7109375" style="1301" customWidth="1"/>
    <col min="15898" max="15899" width="10.42578125" style="1301" customWidth="1"/>
    <col min="15900" max="15900" width="8.42578125" style="1301" customWidth="1"/>
    <col min="15901" max="15901" width="7.7109375" style="1301" customWidth="1"/>
    <col min="15902" max="15902" width="5.42578125" style="1301" customWidth="1"/>
    <col min="15903" max="16128" width="9.140625" style="1301"/>
    <col min="16129" max="16129" width="7.85546875" style="1301" customWidth="1"/>
    <col min="16130" max="16130" width="8.140625" style="1301" customWidth="1"/>
    <col min="16131" max="16131" width="7.85546875" style="1301" customWidth="1"/>
    <col min="16132" max="16133" width="4.7109375" style="1301" customWidth="1"/>
    <col min="16134" max="16134" width="7" style="1301" customWidth="1"/>
    <col min="16135" max="16135" width="8.42578125" style="1301" customWidth="1"/>
    <col min="16136" max="16136" width="8.7109375" style="1301" customWidth="1"/>
    <col min="16137" max="16137" width="5.140625" style="1301" customWidth="1"/>
    <col min="16138" max="16138" width="4.7109375" style="1301" customWidth="1"/>
    <col min="16139" max="16139" width="6.7109375" style="1301" customWidth="1"/>
    <col min="16140" max="16140" width="9.85546875" style="1301" customWidth="1"/>
    <col min="16141" max="16141" width="8.42578125" style="1301" customWidth="1"/>
    <col min="16142" max="16142" width="6" style="1301" customWidth="1"/>
    <col min="16143" max="16143" width="5.28515625" style="1301" customWidth="1"/>
    <col min="16144" max="16145" width="9.42578125" style="1301" customWidth="1"/>
    <col min="16146" max="16146" width="8.140625" style="1301" customWidth="1"/>
    <col min="16147" max="16147" width="7.28515625" style="1301" customWidth="1"/>
    <col min="16148" max="16148" width="6.140625" style="1301" customWidth="1"/>
    <col min="16149" max="16149" width="9.28515625" style="1301" customWidth="1"/>
    <col min="16150" max="16150" width="8.85546875" style="1301" customWidth="1"/>
    <col min="16151" max="16151" width="8.140625" style="1301" customWidth="1"/>
    <col min="16152" max="16152" width="8.42578125" style="1301" customWidth="1"/>
    <col min="16153" max="16153" width="6.7109375" style="1301" customWidth="1"/>
    <col min="16154" max="16155" width="10.42578125" style="1301" customWidth="1"/>
    <col min="16156" max="16156" width="8.42578125" style="1301" customWidth="1"/>
    <col min="16157" max="16157" width="7.7109375" style="1301" customWidth="1"/>
    <col min="16158" max="16158" width="5.42578125" style="1301" customWidth="1"/>
    <col min="16159" max="16384" width="9.140625" style="1301"/>
  </cols>
  <sheetData>
    <row r="1" spans="1:256" customFormat="1" ht="66.75" customHeight="1" thickBot="1">
      <c r="A1" s="1316"/>
      <c r="B1" s="1317"/>
      <c r="C1" s="1316"/>
      <c r="D1" s="3985" t="s">
        <v>2341</v>
      </c>
      <c r="E1" s="3985"/>
      <c r="F1" s="3985"/>
      <c r="G1" s="3985"/>
      <c r="H1" s="3985"/>
      <c r="I1" s="3985"/>
      <c r="J1" s="3985"/>
      <c r="K1" s="3985"/>
      <c r="L1" s="1318"/>
      <c r="M1" s="1319"/>
      <c r="N1" s="1319"/>
      <c r="O1" s="1319"/>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c r="BZ1" s="113"/>
      <c r="CA1" s="113"/>
      <c r="CB1" s="113"/>
      <c r="CC1" s="113"/>
      <c r="CD1" s="113"/>
      <c r="CE1" s="113"/>
      <c r="CF1" s="113"/>
      <c r="CG1" s="113"/>
      <c r="CH1" s="113"/>
      <c r="CI1" s="113"/>
      <c r="CJ1" s="113"/>
      <c r="CK1" s="113"/>
      <c r="CL1" s="113"/>
      <c r="CM1" s="113"/>
      <c r="CN1" s="113"/>
      <c r="CO1" s="113"/>
      <c r="CP1" s="113"/>
      <c r="CQ1" s="113"/>
      <c r="CR1" s="113"/>
      <c r="CS1" s="113"/>
      <c r="CT1" s="113"/>
      <c r="CU1" s="113"/>
      <c r="CV1" s="113"/>
      <c r="CW1" s="113"/>
      <c r="CX1" s="113"/>
      <c r="CY1" s="113"/>
      <c r="CZ1" s="113"/>
      <c r="DA1" s="113"/>
      <c r="DB1" s="113"/>
      <c r="DC1" s="113"/>
      <c r="DD1" s="113"/>
      <c r="DE1" s="113"/>
      <c r="DF1" s="113"/>
      <c r="DG1" s="113"/>
      <c r="DH1" s="113"/>
      <c r="DI1" s="113"/>
      <c r="DJ1" s="113"/>
      <c r="DK1" s="113"/>
      <c r="DL1" s="113"/>
      <c r="DM1" s="113"/>
      <c r="DN1" s="113"/>
      <c r="DO1" s="113"/>
      <c r="DP1" s="113"/>
      <c r="DQ1" s="113"/>
      <c r="DR1" s="113"/>
      <c r="DS1" s="113"/>
      <c r="DT1" s="113"/>
      <c r="DU1" s="113"/>
      <c r="DV1" s="113"/>
      <c r="DW1" s="113"/>
      <c r="DX1" s="113"/>
      <c r="DY1" s="113"/>
      <c r="DZ1" s="113"/>
      <c r="EA1" s="113"/>
      <c r="EB1" s="113"/>
      <c r="EC1" s="113"/>
      <c r="ED1" s="113"/>
      <c r="EE1" s="113"/>
      <c r="EF1" s="113"/>
      <c r="EG1" s="113"/>
      <c r="EH1" s="113"/>
      <c r="EI1" s="113"/>
      <c r="EJ1" s="113"/>
      <c r="EK1" s="113"/>
      <c r="EL1" s="113"/>
      <c r="EM1" s="113"/>
      <c r="EN1" s="113"/>
      <c r="EO1" s="113"/>
      <c r="EP1" s="113"/>
      <c r="EQ1" s="113"/>
      <c r="ER1" s="113"/>
      <c r="ES1" s="113"/>
      <c r="ET1" s="113"/>
      <c r="EU1" s="113"/>
      <c r="EV1" s="113"/>
      <c r="EW1" s="113"/>
      <c r="EX1" s="113"/>
      <c r="EY1" s="113"/>
      <c r="EZ1" s="113"/>
      <c r="FA1" s="113"/>
      <c r="FB1" s="113"/>
      <c r="FC1" s="113"/>
      <c r="FD1" s="113"/>
      <c r="FE1" s="113"/>
      <c r="FF1" s="113"/>
      <c r="FG1" s="113"/>
      <c r="FH1" s="113"/>
      <c r="FI1" s="113"/>
      <c r="FJ1" s="113"/>
      <c r="FK1" s="113"/>
      <c r="FL1" s="113"/>
      <c r="FM1" s="113"/>
      <c r="FN1" s="113"/>
      <c r="FO1" s="113"/>
      <c r="FP1" s="113"/>
      <c r="FQ1" s="113"/>
      <c r="FR1" s="113"/>
      <c r="FS1" s="113"/>
      <c r="FT1" s="113"/>
      <c r="FU1" s="113"/>
      <c r="FV1" s="113"/>
      <c r="FW1" s="113"/>
      <c r="FX1" s="113"/>
      <c r="FY1" s="113"/>
      <c r="FZ1" s="113"/>
      <c r="GA1" s="113"/>
      <c r="GB1" s="113"/>
      <c r="GC1" s="113"/>
      <c r="GD1" s="113"/>
      <c r="GE1" s="113"/>
      <c r="GF1" s="113"/>
      <c r="GG1" s="113"/>
      <c r="GH1" s="113"/>
      <c r="GI1" s="113"/>
      <c r="GJ1" s="113"/>
      <c r="GK1" s="113"/>
      <c r="GL1" s="113"/>
      <c r="GM1" s="113"/>
      <c r="GN1" s="113"/>
      <c r="GO1" s="113"/>
      <c r="GP1" s="113"/>
      <c r="GQ1" s="113"/>
      <c r="GR1" s="113"/>
      <c r="GS1" s="113"/>
      <c r="GT1" s="113"/>
      <c r="GU1" s="113"/>
      <c r="GV1" s="113"/>
      <c r="GW1" s="113"/>
      <c r="GX1" s="113"/>
      <c r="GY1" s="113"/>
      <c r="GZ1" s="113"/>
      <c r="HA1" s="113"/>
      <c r="HB1" s="113"/>
      <c r="HC1" s="113"/>
      <c r="HD1" s="113"/>
      <c r="HE1" s="113"/>
      <c r="HF1" s="113"/>
      <c r="HG1" s="113"/>
      <c r="HH1" s="113"/>
      <c r="HI1" s="113"/>
      <c r="HJ1" s="113"/>
      <c r="HK1" s="113"/>
      <c r="HL1" s="113"/>
      <c r="HM1" s="113"/>
      <c r="HN1" s="113"/>
      <c r="HO1" s="113"/>
      <c r="HP1" s="113"/>
      <c r="HQ1" s="113"/>
      <c r="HR1" s="113"/>
      <c r="HS1" s="113"/>
      <c r="HT1" s="113"/>
      <c r="HU1" s="113"/>
      <c r="HV1" s="113"/>
      <c r="HW1" s="113"/>
      <c r="HX1" s="113"/>
      <c r="HY1" s="113"/>
      <c r="HZ1" s="113"/>
      <c r="IA1" s="113"/>
      <c r="IB1" s="113"/>
      <c r="IC1" s="113"/>
      <c r="ID1" s="113"/>
      <c r="IE1" s="113"/>
      <c r="IF1" s="113"/>
      <c r="IG1" s="113"/>
      <c r="IH1" s="113"/>
      <c r="II1" s="113"/>
      <c r="IJ1" s="113"/>
      <c r="IK1" s="113"/>
      <c r="IL1" s="113"/>
      <c r="IM1" s="113"/>
      <c r="IN1" s="113"/>
      <c r="IO1" s="113"/>
      <c r="IP1" s="113"/>
      <c r="IQ1" s="113"/>
      <c r="IR1" s="113"/>
      <c r="IS1" s="113"/>
      <c r="IT1" s="113"/>
    </row>
    <row r="2" spans="1:256" customFormat="1" ht="12.75" customHeight="1">
      <c r="B2" s="328"/>
      <c r="D2" s="1315"/>
      <c r="E2" s="1315"/>
      <c r="F2" s="1315"/>
      <c r="G2" s="1315"/>
      <c r="H2" s="1315"/>
      <c r="I2" s="1315"/>
      <c r="J2" s="1315"/>
      <c r="K2" s="1315"/>
      <c r="L2" s="327"/>
      <c r="M2" s="3986" t="str">
        <f>'Drop-Down Lists'!A2</f>
        <v>v 05.01.2026</v>
      </c>
      <c r="N2" s="3986"/>
      <c r="O2" s="3986"/>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c r="GB2" s="113"/>
      <c r="GC2" s="113"/>
      <c r="GD2" s="113"/>
      <c r="GE2" s="113"/>
      <c r="GF2" s="113"/>
      <c r="GG2" s="113"/>
      <c r="GH2" s="113"/>
      <c r="GI2" s="113"/>
      <c r="GJ2" s="113"/>
      <c r="GK2" s="113"/>
      <c r="GL2" s="113"/>
      <c r="GM2" s="113"/>
      <c r="GN2" s="113"/>
      <c r="GO2" s="113"/>
      <c r="GP2" s="113"/>
      <c r="GQ2" s="113"/>
      <c r="GR2" s="113"/>
      <c r="GS2" s="113"/>
      <c r="GT2" s="113"/>
      <c r="GU2" s="113"/>
      <c r="GV2" s="113"/>
      <c r="GW2" s="113"/>
      <c r="GX2" s="113"/>
      <c r="GY2" s="113"/>
      <c r="GZ2" s="113"/>
      <c r="HA2" s="113"/>
      <c r="HB2" s="113"/>
      <c r="HC2" s="113"/>
      <c r="HD2" s="113"/>
      <c r="HE2" s="113"/>
      <c r="HF2" s="113"/>
      <c r="HG2" s="113"/>
      <c r="HH2" s="113"/>
      <c r="HI2" s="113"/>
      <c r="HJ2" s="113"/>
      <c r="HK2" s="113"/>
      <c r="HL2" s="113"/>
      <c r="HM2" s="113"/>
      <c r="HN2" s="113"/>
      <c r="HO2" s="113"/>
      <c r="HP2" s="113"/>
      <c r="HQ2" s="113"/>
      <c r="HR2" s="113"/>
      <c r="HS2" s="113"/>
      <c r="HT2" s="113"/>
      <c r="HU2" s="113"/>
      <c r="HV2" s="113"/>
      <c r="HW2" s="113"/>
      <c r="HX2" s="113"/>
      <c r="HY2" s="113"/>
      <c r="HZ2" s="113"/>
      <c r="IA2" s="113"/>
      <c r="IB2" s="113"/>
      <c r="IC2" s="113"/>
      <c r="ID2" s="113"/>
      <c r="IE2" s="113"/>
      <c r="IF2" s="113"/>
      <c r="IG2" s="113"/>
      <c r="IH2" s="113"/>
      <c r="II2" s="113"/>
      <c r="IJ2" s="113"/>
      <c r="IK2" s="113"/>
      <c r="IL2" s="113"/>
      <c r="IM2" s="113"/>
      <c r="IN2" s="113"/>
      <c r="IO2" s="113"/>
      <c r="IP2" s="113"/>
      <c r="IQ2" s="113"/>
      <c r="IR2" s="113"/>
      <c r="IS2" s="113"/>
      <c r="IT2" s="113"/>
    </row>
    <row r="3" spans="1:256" s="1294" customFormat="1" ht="38.25">
      <c r="A3" s="1293" t="s">
        <v>2342</v>
      </c>
      <c r="B3" s="1293" t="s">
        <v>2343</v>
      </c>
      <c r="C3" s="1293" t="s">
        <v>2344</v>
      </c>
      <c r="D3" s="1293" t="s">
        <v>583</v>
      </c>
      <c r="E3" s="1293" t="s">
        <v>2345</v>
      </c>
      <c r="F3" s="1293" t="s">
        <v>2346</v>
      </c>
      <c r="G3" s="1293" t="s">
        <v>2343</v>
      </c>
      <c r="H3" s="1293" t="s">
        <v>2347</v>
      </c>
      <c r="I3" s="1293" t="s">
        <v>583</v>
      </c>
      <c r="J3" s="1293" t="s">
        <v>2345</v>
      </c>
      <c r="K3" s="1293" t="s">
        <v>2348</v>
      </c>
      <c r="L3" s="1293" t="s">
        <v>2343</v>
      </c>
      <c r="M3" s="1293" t="s">
        <v>2344</v>
      </c>
      <c r="N3" s="1293" t="s">
        <v>583</v>
      </c>
      <c r="O3" s="1293" t="s">
        <v>2345</v>
      </c>
      <c r="P3" s="1293" t="s">
        <v>2349</v>
      </c>
      <c r="Q3" s="1293" t="s">
        <v>2343</v>
      </c>
      <c r="R3" s="1293" t="s">
        <v>2344</v>
      </c>
      <c r="S3" s="1293" t="s">
        <v>583</v>
      </c>
      <c r="T3" s="1293" t="s">
        <v>2345</v>
      </c>
      <c r="U3" s="1293" t="s">
        <v>2350</v>
      </c>
      <c r="V3" s="1293" t="s">
        <v>2343</v>
      </c>
      <c r="W3" s="1293" t="s">
        <v>2347</v>
      </c>
      <c r="X3" s="1293" t="s">
        <v>583</v>
      </c>
      <c r="Y3" s="1293" t="s">
        <v>2345</v>
      </c>
      <c r="Z3" s="1293" t="s">
        <v>2351</v>
      </c>
      <c r="AA3" s="1293" t="s">
        <v>2343</v>
      </c>
      <c r="AB3" s="1293" t="s">
        <v>2352</v>
      </c>
      <c r="AC3" s="1293" t="s">
        <v>583</v>
      </c>
      <c r="AD3" s="1293" t="s">
        <v>2345</v>
      </c>
      <c r="AE3" s="1291"/>
      <c r="AF3" s="1291"/>
      <c r="AG3" s="1291"/>
      <c r="AH3" s="1291"/>
      <c r="AI3" s="1291"/>
      <c r="AJ3" s="1291"/>
      <c r="AK3" s="1291"/>
      <c r="AL3" s="1291"/>
      <c r="AM3" s="1291"/>
      <c r="AN3" s="1291"/>
      <c r="AO3" s="1291"/>
      <c r="AP3" s="1291"/>
      <c r="AQ3" s="1291"/>
      <c r="AR3" s="1291"/>
      <c r="AS3" s="1291"/>
      <c r="AT3" s="1291"/>
      <c r="AU3" s="1291"/>
      <c r="AV3" s="1291"/>
      <c r="AW3" s="1291"/>
      <c r="AX3" s="1291"/>
      <c r="AY3" s="1291"/>
      <c r="AZ3" s="1291"/>
      <c r="BA3" s="1291"/>
      <c r="BB3" s="1291"/>
      <c r="BC3" s="1291"/>
      <c r="BD3" s="1291"/>
      <c r="BE3" s="1291"/>
      <c r="BF3" s="1291"/>
      <c r="BG3" s="1291"/>
      <c r="BH3" s="1291"/>
      <c r="BI3" s="1291"/>
      <c r="BJ3" s="1291"/>
      <c r="BK3" s="1291"/>
      <c r="BL3" s="1291"/>
      <c r="BM3" s="1291"/>
      <c r="BN3" s="1291"/>
      <c r="BO3" s="1291"/>
      <c r="BP3" s="1291"/>
      <c r="BQ3" s="1291"/>
      <c r="BR3" s="1291"/>
      <c r="BS3" s="1291"/>
      <c r="BT3" s="1291"/>
      <c r="BU3" s="1291"/>
      <c r="BV3" s="1291"/>
      <c r="BW3" s="1291"/>
      <c r="BX3" s="1291"/>
      <c r="BY3" s="1291"/>
      <c r="BZ3" s="1291"/>
      <c r="CA3" s="1291"/>
      <c r="CB3" s="1291"/>
      <c r="CC3" s="1291"/>
      <c r="CD3" s="1291"/>
      <c r="CE3" s="1291"/>
      <c r="CF3" s="1291"/>
      <c r="CG3" s="1291"/>
      <c r="CH3" s="1291"/>
      <c r="CI3" s="1291"/>
      <c r="CJ3" s="1291"/>
      <c r="CK3" s="1291"/>
      <c r="CL3" s="1291"/>
      <c r="CM3" s="1291"/>
      <c r="CN3" s="1291"/>
      <c r="CO3" s="1291"/>
      <c r="CP3" s="1291"/>
      <c r="CQ3" s="1291"/>
      <c r="CR3" s="1291"/>
      <c r="CS3" s="1291"/>
      <c r="CT3" s="1291"/>
      <c r="CU3" s="1291"/>
      <c r="CV3" s="1291"/>
      <c r="CW3" s="1291"/>
      <c r="CX3" s="1291"/>
      <c r="CY3" s="1291"/>
      <c r="CZ3" s="1291"/>
      <c r="DA3" s="1291"/>
      <c r="DB3" s="1291"/>
      <c r="DC3" s="1291"/>
      <c r="DD3" s="1291"/>
      <c r="DE3" s="1291"/>
      <c r="DF3" s="1291"/>
      <c r="DG3" s="1291"/>
      <c r="DH3" s="1291"/>
      <c r="DI3" s="1291"/>
      <c r="DJ3" s="1291"/>
      <c r="DK3" s="1291"/>
      <c r="DL3" s="1291"/>
      <c r="DM3" s="1291"/>
      <c r="DN3" s="1291"/>
      <c r="DO3" s="1291"/>
      <c r="DP3" s="1291"/>
      <c r="DQ3" s="1291"/>
      <c r="DR3" s="1291"/>
      <c r="DS3" s="1291"/>
      <c r="DT3" s="1291"/>
      <c r="DU3" s="1291"/>
      <c r="DV3" s="1291"/>
      <c r="DW3" s="1291"/>
      <c r="DX3" s="1291"/>
      <c r="DY3" s="1291"/>
      <c r="DZ3" s="1291"/>
      <c r="EA3" s="1291"/>
      <c r="EB3" s="1291"/>
      <c r="EC3" s="1291"/>
      <c r="ED3" s="1291"/>
      <c r="EE3" s="1291"/>
      <c r="EF3" s="1291"/>
      <c r="EG3" s="1291"/>
      <c r="EH3" s="1291"/>
      <c r="EI3" s="1291"/>
      <c r="EJ3" s="1291"/>
      <c r="EK3" s="1291"/>
      <c r="EL3" s="1291"/>
      <c r="EM3" s="1291"/>
      <c r="EN3" s="1291"/>
      <c r="EO3" s="1291"/>
      <c r="EP3" s="1291"/>
      <c r="EQ3" s="1291"/>
      <c r="ER3" s="1291"/>
      <c r="ES3" s="1291"/>
      <c r="ET3" s="1291"/>
      <c r="EU3" s="1291"/>
      <c r="EV3" s="1291"/>
      <c r="EW3" s="1291"/>
      <c r="EX3" s="1291"/>
      <c r="EY3" s="1291"/>
      <c r="EZ3" s="1291"/>
      <c r="FA3" s="1291"/>
      <c r="FB3" s="1291"/>
      <c r="FC3" s="1291"/>
      <c r="FD3" s="1291"/>
      <c r="FE3" s="1291"/>
      <c r="FF3" s="1291"/>
      <c r="FG3" s="1291"/>
      <c r="FH3" s="1291"/>
      <c r="FI3" s="1291"/>
      <c r="FJ3" s="1291"/>
      <c r="FK3" s="1291"/>
      <c r="FL3" s="1291"/>
      <c r="FM3" s="1291"/>
      <c r="FN3" s="1291"/>
      <c r="FO3" s="1291"/>
      <c r="FP3" s="1291"/>
      <c r="FQ3" s="1291"/>
      <c r="FR3" s="1291"/>
      <c r="FS3" s="1291"/>
      <c r="FT3" s="1291"/>
      <c r="FU3" s="1291"/>
      <c r="FV3" s="1291"/>
      <c r="FW3" s="1291"/>
      <c r="FX3" s="1291"/>
      <c r="FY3" s="1291"/>
      <c r="FZ3" s="1291"/>
      <c r="GA3" s="1291"/>
      <c r="GB3" s="1291"/>
      <c r="GC3" s="1291"/>
      <c r="GD3" s="1291"/>
      <c r="GE3" s="1291"/>
      <c r="GF3" s="1291"/>
      <c r="GG3" s="1291"/>
      <c r="GH3" s="1291"/>
      <c r="GI3" s="1291"/>
      <c r="GJ3" s="1291"/>
      <c r="GK3" s="1291"/>
      <c r="GL3" s="1291"/>
      <c r="GM3" s="1291"/>
      <c r="GN3" s="1291"/>
      <c r="GO3" s="1291"/>
      <c r="GP3" s="1291"/>
      <c r="GQ3" s="1291"/>
      <c r="GR3" s="1291"/>
      <c r="GS3" s="1291"/>
      <c r="GT3" s="1291"/>
      <c r="GU3" s="1291"/>
      <c r="GV3" s="1291"/>
      <c r="GW3" s="1291"/>
      <c r="GX3" s="1291"/>
      <c r="GY3" s="1291"/>
      <c r="GZ3" s="1291"/>
      <c r="HA3" s="1291"/>
      <c r="HB3" s="1291"/>
      <c r="HC3" s="1291"/>
      <c r="HD3" s="1291"/>
      <c r="HE3" s="1291"/>
      <c r="HF3" s="1291"/>
      <c r="HG3" s="1291"/>
      <c r="HH3" s="1291"/>
      <c r="HI3" s="1291"/>
      <c r="HJ3" s="1291"/>
      <c r="HK3" s="1291"/>
      <c r="HL3" s="1291"/>
      <c r="HM3" s="1291"/>
      <c r="HN3" s="1291"/>
      <c r="HO3" s="1291"/>
      <c r="HP3" s="1291"/>
      <c r="HQ3" s="1291"/>
      <c r="HR3" s="1291"/>
      <c r="HS3" s="1291"/>
      <c r="HT3" s="1291"/>
      <c r="HU3" s="1291"/>
      <c r="HV3" s="1291"/>
      <c r="HW3" s="1291"/>
      <c r="HX3" s="1291"/>
      <c r="HY3" s="1291"/>
      <c r="HZ3" s="1291"/>
      <c r="IA3" s="1291"/>
      <c r="IB3" s="1291"/>
      <c r="IC3" s="1291"/>
      <c r="ID3" s="1291"/>
      <c r="IE3" s="1291"/>
      <c r="IF3" s="1291"/>
      <c r="IG3" s="1291"/>
      <c r="IH3" s="1291"/>
      <c r="II3" s="1291"/>
      <c r="IJ3" s="1291"/>
      <c r="IK3" s="1291"/>
      <c r="IL3" s="1291"/>
      <c r="IM3" s="1291"/>
      <c r="IN3" s="1291"/>
      <c r="IO3" s="1291"/>
      <c r="IP3" s="1291"/>
      <c r="IQ3" s="1291"/>
      <c r="IR3" s="1291"/>
      <c r="IS3" s="1291"/>
      <c r="IT3" s="1291"/>
      <c r="IU3" s="1291"/>
      <c r="IV3" s="1291"/>
    </row>
    <row r="4" spans="1:256">
      <c r="A4" s="1295">
        <v>1</v>
      </c>
      <c r="B4" s="1296"/>
      <c r="C4" s="1296"/>
      <c r="D4" s="1297" t="s">
        <v>194</v>
      </c>
      <c r="E4" s="1297"/>
      <c r="F4" s="1298">
        <v>31</v>
      </c>
      <c r="G4" s="1296"/>
      <c r="H4" s="1296"/>
      <c r="I4" s="1299" t="str">
        <f>IF(ISBLANK(G4)," ",((G4-B33)/(H4/100)))</f>
        <v xml:space="preserve"> </v>
      </c>
      <c r="J4" s="1299" t="str">
        <f>IF(ISBLANK(G4), "", (I4+D28+D29+D30+D31+D32+D33)/7)</f>
        <v/>
      </c>
      <c r="K4" s="1295">
        <v>61</v>
      </c>
      <c r="L4" s="1296"/>
      <c r="M4" s="1296"/>
      <c r="N4" s="1299" t="str">
        <f>IF(ISBLANK(L4)," ",((L4-G33)/(M4/100)))</f>
        <v xml:space="preserve"> </v>
      </c>
      <c r="O4" s="1299" t="str">
        <f>IF(ISBLANK(L4), "", (N4+I28+I29+I30+I31+I32+I33)/7)</f>
        <v/>
      </c>
      <c r="P4" s="1295">
        <v>91</v>
      </c>
      <c r="Q4" s="1296"/>
      <c r="R4" s="1296"/>
      <c r="S4" s="1297" t="str">
        <f>IF(ISBLANK(Q4)," ",((Q4-L33)/(R4/100)))</f>
        <v xml:space="preserve"> </v>
      </c>
      <c r="T4" s="1299" t="str">
        <f>IF(ISBLANK(Q4), "",AVERAGE(S4,N28:N33))</f>
        <v/>
      </c>
      <c r="U4" s="1298">
        <v>121</v>
      </c>
      <c r="V4" s="1296"/>
      <c r="W4" s="1296"/>
      <c r="X4" s="1299" t="str">
        <f>IF(ISBLANK(V4)," ",((V4-Q33)/(W4/100)))</f>
        <v xml:space="preserve"> </v>
      </c>
      <c r="Y4" s="1299" t="str">
        <f>IF(ISBLANK(V4), "",AVERAGE(X4,S28:S33))</f>
        <v/>
      </c>
      <c r="Z4" s="1295">
        <v>151</v>
      </c>
      <c r="AA4" s="1296"/>
      <c r="AB4" s="1296"/>
      <c r="AC4" s="1299" t="str">
        <f>IF(ISBLANK(AA4)," ",((AA4-V33)/(AB4/100)))</f>
        <v xml:space="preserve"> </v>
      </c>
      <c r="AD4" s="1299" t="str">
        <f>IF(ISBLANK(AA4), "",AVERAGE(AC4,X28:X33))</f>
        <v/>
      </c>
      <c r="AE4" s="1300"/>
      <c r="AF4" s="1300"/>
      <c r="AG4" s="1300"/>
      <c r="AH4" s="1300"/>
      <c r="AI4" s="1300"/>
      <c r="AJ4" s="1300"/>
      <c r="AK4" s="1300"/>
      <c r="AL4" s="1300"/>
      <c r="AM4" s="1300"/>
      <c r="AN4" s="1300"/>
      <c r="AO4" s="1300"/>
      <c r="AP4" s="1300"/>
      <c r="AQ4" s="1300"/>
      <c r="AR4" s="1300"/>
      <c r="AS4" s="1300"/>
      <c r="AT4" s="1300"/>
      <c r="AU4" s="1300"/>
      <c r="AV4" s="1300"/>
      <c r="AW4" s="1300"/>
      <c r="AX4" s="1300"/>
      <c r="AY4" s="1300"/>
      <c r="AZ4" s="1300"/>
      <c r="BA4" s="1300"/>
      <c r="BB4" s="1300"/>
      <c r="BC4" s="1300"/>
      <c r="BD4" s="1300"/>
      <c r="BE4" s="1300"/>
      <c r="BF4" s="1300"/>
      <c r="BG4" s="1300"/>
      <c r="BH4" s="1300"/>
      <c r="BI4" s="1300"/>
      <c r="BJ4" s="1300"/>
      <c r="BK4" s="1300"/>
      <c r="BL4" s="1300"/>
      <c r="BM4" s="1300"/>
      <c r="BN4" s="1300"/>
      <c r="BO4" s="1300"/>
      <c r="BP4" s="1300"/>
      <c r="BQ4" s="1300"/>
      <c r="BR4" s="1300"/>
      <c r="BS4" s="1300"/>
      <c r="BT4" s="1300"/>
      <c r="BU4" s="1300"/>
      <c r="BV4" s="1300"/>
      <c r="BW4" s="1300"/>
      <c r="BX4" s="1300"/>
      <c r="BY4" s="1300"/>
      <c r="BZ4" s="1300"/>
      <c r="CA4" s="1300"/>
      <c r="CB4" s="1300"/>
      <c r="CC4" s="1300"/>
      <c r="CD4" s="1300"/>
      <c r="CE4" s="1300"/>
      <c r="CF4" s="1300"/>
      <c r="CG4" s="1300"/>
      <c r="CH4" s="1300"/>
      <c r="CI4" s="1300"/>
      <c r="CJ4" s="1300"/>
      <c r="CK4" s="1300"/>
      <c r="CL4" s="1300"/>
      <c r="CM4" s="1300"/>
      <c r="CN4" s="1300"/>
      <c r="CO4" s="1300"/>
      <c r="CP4" s="1300"/>
      <c r="CQ4" s="1300"/>
      <c r="CR4" s="1300"/>
      <c r="CS4" s="1300"/>
      <c r="CT4" s="1300"/>
      <c r="CU4" s="1300"/>
      <c r="CV4" s="1300"/>
      <c r="CW4" s="1300"/>
      <c r="CX4" s="1300"/>
      <c r="CY4" s="1300"/>
      <c r="CZ4" s="1300"/>
      <c r="DA4" s="1300"/>
      <c r="DB4" s="1300"/>
      <c r="DC4" s="1300"/>
      <c r="DD4" s="1300"/>
      <c r="DE4" s="1300"/>
      <c r="DF4" s="1300"/>
      <c r="DG4" s="1300"/>
      <c r="DH4" s="1300"/>
      <c r="DI4" s="1300"/>
      <c r="DJ4" s="1300"/>
      <c r="DK4" s="1300"/>
      <c r="DL4" s="1300"/>
      <c r="DM4" s="1300"/>
      <c r="DN4" s="1300"/>
      <c r="DO4" s="1300"/>
      <c r="DP4" s="1300"/>
      <c r="DQ4" s="1300"/>
      <c r="DR4" s="1300"/>
      <c r="DS4" s="1300"/>
      <c r="DT4" s="1300"/>
      <c r="DU4" s="1300"/>
      <c r="DV4" s="1300"/>
      <c r="DW4" s="1300"/>
      <c r="DX4" s="1300"/>
      <c r="DY4" s="1300"/>
      <c r="DZ4" s="1300"/>
      <c r="EA4" s="1300"/>
      <c r="EB4" s="1300"/>
      <c r="EC4" s="1300"/>
      <c r="ED4" s="1300"/>
      <c r="EE4" s="1300"/>
      <c r="EF4" s="1300"/>
      <c r="EG4" s="1300"/>
      <c r="EH4" s="1300"/>
      <c r="EI4" s="1300"/>
      <c r="EJ4" s="1300"/>
      <c r="EK4" s="1300"/>
      <c r="EL4" s="1300"/>
      <c r="EM4" s="1300"/>
      <c r="EN4" s="1300"/>
      <c r="EO4" s="1300"/>
      <c r="EP4" s="1300"/>
      <c r="EQ4" s="1300"/>
      <c r="ER4" s="1300"/>
      <c r="ES4" s="1300"/>
      <c r="ET4" s="1300"/>
      <c r="EU4" s="1300"/>
      <c r="EV4" s="1300"/>
      <c r="EW4" s="1300"/>
      <c r="EX4" s="1300"/>
      <c r="EY4" s="1300"/>
      <c r="EZ4" s="1300"/>
      <c r="FA4" s="1300"/>
      <c r="FB4" s="1300"/>
      <c r="FC4" s="1300"/>
      <c r="FD4" s="1300"/>
      <c r="FE4" s="1300"/>
      <c r="FF4" s="1300"/>
      <c r="FG4" s="1300"/>
      <c r="FH4" s="1300"/>
      <c r="FI4" s="1300"/>
      <c r="FJ4" s="1300"/>
      <c r="FK4" s="1300"/>
      <c r="FL4" s="1300"/>
      <c r="FM4" s="1300"/>
      <c r="FN4" s="1300"/>
      <c r="FO4" s="1300"/>
      <c r="FP4" s="1300"/>
      <c r="FQ4" s="1300"/>
      <c r="FR4" s="1300"/>
      <c r="FS4" s="1300"/>
      <c r="FT4" s="1300"/>
      <c r="FU4" s="1300"/>
      <c r="FV4" s="1300"/>
      <c r="FW4" s="1300"/>
      <c r="FX4" s="1300"/>
      <c r="FY4" s="1300"/>
      <c r="FZ4" s="1300"/>
      <c r="GA4" s="1300"/>
      <c r="GB4" s="1300"/>
      <c r="GC4" s="1300"/>
      <c r="GD4" s="1300"/>
      <c r="GE4" s="1300"/>
      <c r="GF4" s="1300"/>
      <c r="GG4" s="1300"/>
      <c r="GH4" s="1300"/>
      <c r="GI4" s="1300"/>
      <c r="GJ4" s="1300"/>
      <c r="GK4" s="1300"/>
      <c r="GL4" s="1300"/>
      <c r="GM4" s="1300"/>
      <c r="GN4" s="1300"/>
      <c r="GO4" s="1300"/>
      <c r="GP4" s="1300"/>
      <c r="GQ4" s="1300"/>
      <c r="GR4" s="1300"/>
      <c r="GS4" s="1300"/>
      <c r="GT4" s="1300"/>
      <c r="GU4" s="1300"/>
      <c r="GV4" s="1300"/>
      <c r="GW4" s="1300"/>
      <c r="GX4" s="1300"/>
      <c r="GY4" s="1300"/>
      <c r="GZ4" s="1300"/>
      <c r="HA4" s="1300"/>
      <c r="HB4" s="1300"/>
      <c r="HC4" s="1300"/>
      <c r="HD4" s="1300"/>
      <c r="HE4" s="1300"/>
      <c r="HF4" s="1300"/>
      <c r="HG4" s="1300"/>
      <c r="HH4" s="1300"/>
      <c r="HI4" s="1300"/>
      <c r="HJ4" s="1300"/>
      <c r="HK4" s="1300"/>
      <c r="HL4" s="1300"/>
      <c r="HM4" s="1300"/>
      <c r="HN4" s="1300"/>
      <c r="HO4" s="1300"/>
      <c r="HP4" s="1300"/>
      <c r="HQ4" s="1300"/>
      <c r="HR4" s="1300"/>
      <c r="HS4" s="1300"/>
      <c r="HT4" s="1300"/>
      <c r="HU4" s="1300"/>
      <c r="HV4" s="1300"/>
      <c r="HW4" s="1300"/>
      <c r="HX4" s="1300"/>
      <c r="HY4" s="1300"/>
      <c r="HZ4" s="1300"/>
      <c r="IA4" s="1300"/>
      <c r="IB4" s="1300"/>
      <c r="IC4" s="1300"/>
      <c r="ID4" s="1300"/>
      <c r="IE4" s="1300"/>
      <c r="IF4" s="1300"/>
      <c r="IG4" s="1300"/>
      <c r="IH4" s="1300"/>
      <c r="II4" s="1300"/>
      <c r="IJ4" s="1300"/>
      <c r="IK4" s="1300"/>
      <c r="IL4" s="1300"/>
      <c r="IM4" s="1300"/>
      <c r="IN4" s="1300"/>
      <c r="IO4" s="1300"/>
      <c r="IP4" s="1300"/>
      <c r="IQ4" s="1300"/>
      <c r="IR4" s="1300"/>
      <c r="IS4" s="1300"/>
      <c r="IT4" s="1300"/>
      <c r="IU4" s="1300"/>
      <c r="IV4" s="1300"/>
    </row>
    <row r="5" spans="1:256">
      <c r="A5" s="1295">
        <f>A4+1</f>
        <v>2</v>
      </c>
      <c r="B5" s="1296"/>
      <c r="C5" s="1296"/>
      <c r="D5" s="1299" t="str">
        <f>IF(ISBLANK(B5)," ",(B5-B4)/(C5/100))</f>
        <v xml:space="preserve"> </v>
      </c>
      <c r="E5" s="1299"/>
      <c r="F5" s="1298">
        <f>F4+1</f>
        <v>32</v>
      </c>
      <c r="G5" s="1296"/>
      <c r="H5" s="1296"/>
      <c r="I5" s="1299" t="str">
        <f>IF(ISBLANK(G5)," ",((G5-G4)/(H5/100)))</f>
        <v xml:space="preserve"> </v>
      </c>
      <c r="J5" s="1299" t="str">
        <f>IF(ISBLANK(G5), " ", (I4+I5+D29+D30+D31+D32+D33)/7)</f>
        <v xml:space="preserve"> </v>
      </c>
      <c r="K5" s="1295">
        <f>K4+1</f>
        <v>62</v>
      </c>
      <c r="L5" s="1296"/>
      <c r="M5" s="1296"/>
      <c r="N5" s="1299" t="str">
        <f>IF(ISBLANK(L5)," ",((L5-L4)/(M5/100)))</f>
        <v xml:space="preserve"> </v>
      </c>
      <c r="O5" s="1299" t="str">
        <f>IF(ISBLANK(L5), " ", (N4+N5+I29+I30+I31+I32+I33)/7)</f>
        <v xml:space="preserve"> </v>
      </c>
      <c r="P5" s="1295">
        <f>P4+1</f>
        <v>92</v>
      </c>
      <c r="Q5" s="1296"/>
      <c r="R5" s="1296"/>
      <c r="S5" s="1299" t="str">
        <f>IF(ISBLANK(Q5)," ",(Q5-Q4)/(R5/100))</f>
        <v xml:space="preserve"> </v>
      </c>
      <c r="T5" s="1299" t="str">
        <f>IF(ISBLANK(Q5), "",AVERAGE(S4:S5,N29:N33))</f>
        <v/>
      </c>
      <c r="U5" s="1298">
        <f>U4+1</f>
        <v>122</v>
      </c>
      <c r="V5" s="1296"/>
      <c r="W5" s="1296"/>
      <c r="X5" s="1299" t="str">
        <f>IF(ISBLANK(V5)," ",((V5-V4)/(W5/100)))</f>
        <v xml:space="preserve"> </v>
      </c>
      <c r="Y5" s="1299" t="str">
        <f>IF(ISBLANK(V5), "",AVERAGE(X4:X5,S29:S33))</f>
        <v/>
      </c>
      <c r="Z5" s="1295">
        <f>Z4+1</f>
        <v>152</v>
      </c>
      <c r="AA5" s="1296"/>
      <c r="AB5" s="1296"/>
      <c r="AC5" s="1299" t="str">
        <f>IF(ISBLANK(AA5)," ",((AA5-AA4)/(AB5/100)))</f>
        <v xml:space="preserve"> </v>
      </c>
      <c r="AD5" s="1299" t="str">
        <f>IF(ISBLANK(AA5), "",AVERAGE(AC4:AC5,X29:X33))</f>
        <v/>
      </c>
      <c r="AE5" s="1300"/>
      <c r="AF5" s="1300"/>
      <c r="AG5" s="1300"/>
      <c r="AH5" s="1300"/>
      <c r="AI5" s="1300"/>
      <c r="AJ5" s="1300"/>
      <c r="AK5" s="1300"/>
      <c r="AL5" s="1300"/>
      <c r="AM5" s="1300"/>
      <c r="AN5" s="1300"/>
      <c r="AO5" s="1300"/>
      <c r="AP5" s="1300"/>
      <c r="AQ5" s="1300"/>
      <c r="AR5" s="1300"/>
      <c r="AS5" s="1300"/>
      <c r="AT5" s="1300"/>
      <c r="AU5" s="1300"/>
      <c r="AV5" s="1300"/>
      <c r="AW5" s="1300"/>
      <c r="AX5" s="1300"/>
      <c r="AY5" s="1300"/>
      <c r="AZ5" s="1300"/>
      <c r="BA5" s="1300"/>
      <c r="BB5" s="1300"/>
      <c r="BC5" s="1300"/>
      <c r="BD5" s="1300"/>
      <c r="BE5" s="1300"/>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0"/>
      <c r="DJ5" s="1300"/>
      <c r="DK5" s="1300"/>
      <c r="DL5" s="1300"/>
      <c r="DM5" s="1300"/>
      <c r="DN5" s="1300"/>
      <c r="DO5" s="1300"/>
      <c r="DP5" s="1300"/>
      <c r="DQ5" s="1300"/>
      <c r="DR5" s="1300"/>
      <c r="DS5" s="1300"/>
      <c r="DT5" s="1300"/>
      <c r="DU5" s="1300"/>
      <c r="DV5" s="1300"/>
      <c r="DW5" s="1300"/>
      <c r="DX5" s="1300"/>
      <c r="DY5" s="1300"/>
      <c r="DZ5" s="1300"/>
      <c r="EA5" s="1300"/>
      <c r="EB5" s="1300"/>
      <c r="EC5" s="1300"/>
      <c r="ED5" s="1300"/>
      <c r="EE5" s="1300"/>
      <c r="EF5" s="1300"/>
      <c r="EG5" s="1300"/>
      <c r="EH5" s="1300"/>
      <c r="EI5" s="1300"/>
      <c r="EJ5" s="1300"/>
      <c r="EK5" s="1300"/>
      <c r="EL5" s="1300"/>
      <c r="EM5" s="1300"/>
      <c r="EN5" s="1300"/>
      <c r="EO5" s="1300"/>
      <c r="EP5" s="1300"/>
      <c r="EQ5" s="1300"/>
      <c r="ER5" s="1300"/>
      <c r="ES5" s="1300"/>
      <c r="ET5" s="1300"/>
      <c r="EU5" s="1300"/>
      <c r="EV5" s="1300"/>
      <c r="EW5" s="1300"/>
      <c r="EX5" s="1300"/>
      <c r="EY5" s="1300"/>
      <c r="EZ5" s="1300"/>
      <c r="FA5" s="1300"/>
      <c r="FB5" s="1300"/>
      <c r="FC5" s="1300"/>
      <c r="FD5" s="1300"/>
      <c r="FE5" s="1300"/>
      <c r="FF5" s="1300"/>
      <c r="FG5" s="1300"/>
      <c r="FH5" s="1300"/>
      <c r="FI5" s="1300"/>
      <c r="FJ5" s="1300"/>
      <c r="FK5" s="1300"/>
      <c r="FL5" s="1300"/>
      <c r="FM5" s="1300"/>
      <c r="FN5" s="1300"/>
      <c r="FO5" s="1300"/>
      <c r="FP5" s="1300"/>
      <c r="FQ5" s="1300"/>
      <c r="FR5" s="1300"/>
      <c r="FS5" s="1300"/>
      <c r="FT5" s="1300"/>
      <c r="FU5" s="1300"/>
      <c r="FV5" s="1300"/>
      <c r="FW5" s="1300"/>
      <c r="FX5" s="1300"/>
      <c r="FY5" s="1300"/>
      <c r="FZ5" s="1300"/>
      <c r="GA5" s="1300"/>
      <c r="GB5" s="1300"/>
      <c r="GC5" s="1300"/>
      <c r="GD5" s="1300"/>
      <c r="GE5" s="1300"/>
      <c r="GF5" s="1300"/>
      <c r="GG5" s="1300"/>
      <c r="GH5" s="1300"/>
      <c r="GI5" s="1300"/>
      <c r="GJ5" s="1300"/>
      <c r="GK5" s="1300"/>
      <c r="GL5" s="1300"/>
      <c r="GM5" s="1300"/>
      <c r="GN5" s="1300"/>
      <c r="GO5" s="1300"/>
      <c r="GP5" s="1300"/>
      <c r="GQ5" s="1300"/>
      <c r="GR5" s="1300"/>
      <c r="GS5" s="1300"/>
      <c r="GT5" s="1300"/>
      <c r="GU5" s="1300"/>
      <c r="GV5" s="1300"/>
      <c r="GW5" s="1300"/>
      <c r="GX5" s="1300"/>
      <c r="GY5" s="1300"/>
      <c r="GZ5" s="1300"/>
      <c r="HA5" s="1300"/>
      <c r="HB5" s="1300"/>
      <c r="HC5" s="1300"/>
      <c r="HD5" s="1300"/>
      <c r="HE5" s="1300"/>
      <c r="HF5" s="1300"/>
      <c r="HG5" s="1300"/>
      <c r="HH5" s="1300"/>
      <c r="HI5" s="1300"/>
      <c r="HJ5" s="1300"/>
      <c r="HK5" s="1300"/>
      <c r="HL5" s="1300"/>
      <c r="HM5" s="1300"/>
      <c r="HN5" s="1300"/>
      <c r="HO5" s="1300"/>
      <c r="HP5" s="1300"/>
      <c r="HQ5" s="1300"/>
      <c r="HR5" s="1300"/>
      <c r="HS5" s="1300"/>
      <c r="HT5" s="1300"/>
      <c r="HU5" s="1300"/>
      <c r="HV5" s="1300"/>
      <c r="HW5" s="1300"/>
      <c r="HX5" s="1300"/>
      <c r="HY5" s="1300"/>
      <c r="HZ5" s="1300"/>
      <c r="IA5" s="1300"/>
      <c r="IB5" s="1300"/>
      <c r="IC5" s="1300"/>
      <c r="ID5" s="1300"/>
      <c r="IE5" s="1300"/>
      <c r="IF5" s="1300"/>
      <c r="IG5" s="1300"/>
      <c r="IH5" s="1300"/>
      <c r="II5" s="1300"/>
      <c r="IJ5" s="1300"/>
      <c r="IK5" s="1300"/>
      <c r="IL5" s="1300"/>
      <c r="IM5" s="1300"/>
      <c r="IN5" s="1300"/>
      <c r="IO5" s="1300"/>
      <c r="IP5" s="1300"/>
      <c r="IQ5" s="1300"/>
      <c r="IR5" s="1300"/>
      <c r="IS5" s="1300"/>
      <c r="IT5" s="1300"/>
      <c r="IU5" s="1300"/>
      <c r="IV5" s="1300"/>
    </row>
    <row r="6" spans="1:256">
      <c r="A6" s="1295">
        <f t="shared" ref="A6:A33" si="0">A5+1</f>
        <v>3</v>
      </c>
      <c r="B6" s="1296"/>
      <c r="C6" s="1296"/>
      <c r="D6" s="1299" t="str">
        <f t="shared" ref="D6:D33" si="1">IF(ISBLANK(B6)," ",(B6-B5)/(C6/100))</f>
        <v xml:space="preserve"> </v>
      </c>
      <c r="E6" s="1299"/>
      <c r="F6" s="1298">
        <f t="shared" ref="F6:F33" si="2">F5+1</f>
        <v>33</v>
      </c>
      <c r="G6" s="1296"/>
      <c r="H6" s="1296"/>
      <c r="I6" s="1299" t="str">
        <f t="shared" ref="I6:I33" si="3">IF(ISBLANK(G6)," ",((G6-G5)/(H6/100)))</f>
        <v xml:space="preserve"> </v>
      </c>
      <c r="J6" s="1299" t="str">
        <f>IF(ISBLANK(G6), "", (I4+I5+I6+D30+D31+D32+D33)/7)</f>
        <v/>
      </c>
      <c r="K6" s="1295">
        <f t="shared" ref="K6:K33" si="4">K5+1</f>
        <v>63</v>
      </c>
      <c r="L6" s="1296"/>
      <c r="M6" s="1296"/>
      <c r="N6" s="1299" t="str">
        <f t="shared" ref="N6:N27" si="5">IF(ISBLANK(L6)," ",((L6-L5)/(M6/100)))</f>
        <v xml:space="preserve"> </v>
      </c>
      <c r="O6" s="1299" t="str">
        <f>IF(ISBLANK(L6), "", (N4+N5+N6+I30+I31+I32+I33)/7)</f>
        <v/>
      </c>
      <c r="P6" s="1295">
        <f t="shared" ref="P6:P33" si="6">P5+1</f>
        <v>93</v>
      </c>
      <c r="Q6" s="1296"/>
      <c r="R6" s="1296"/>
      <c r="S6" s="1299" t="str">
        <f t="shared" ref="S6:S33" si="7">IF(ISBLANK(Q6)," ",(Q6-Q5)/(R6/100))</f>
        <v xml:space="preserve"> </v>
      </c>
      <c r="T6" s="1299" t="str">
        <f>IF(ISBLANK(Q6), "",AVERAGE(S4:S6:N30:N33))</f>
        <v/>
      </c>
      <c r="U6" s="1298">
        <f t="shared" ref="U6:U33" si="8">U5+1</f>
        <v>123</v>
      </c>
      <c r="V6" s="1296"/>
      <c r="W6" s="1296"/>
      <c r="X6" s="1299" t="str">
        <f t="shared" ref="X6:X33" si="9">IF(ISBLANK(V6)," ",((V6-V5)/(W6/100)))</f>
        <v xml:space="preserve"> </v>
      </c>
      <c r="Y6" s="1299" t="str">
        <f>IF(ISBLANK(V6), "",AVERAGE(X4:X6:S30:S33))</f>
        <v/>
      </c>
      <c r="Z6" s="1295">
        <f t="shared" ref="Z6:Z33" si="10">Z5+1</f>
        <v>153</v>
      </c>
      <c r="AA6" s="1296"/>
      <c r="AB6" s="1296"/>
      <c r="AC6" s="1299" t="str">
        <f t="shared" ref="AC6:AC33" si="11">IF(ISBLANK(AA6)," ",((AA6-AA5)/(AB6/100)))</f>
        <v xml:space="preserve"> </v>
      </c>
      <c r="AD6" s="1299" t="str">
        <f>IF(ISBLANK(AA6), "",AVERAGE(AC4:AC6:X30:X33))</f>
        <v/>
      </c>
      <c r="AE6" s="1300"/>
      <c r="AF6" s="1300"/>
      <c r="AG6" s="1300"/>
      <c r="AH6" s="1300"/>
      <c r="AI6" s="1300"/>
      <c r="AJ6" s="1300"/>
      <c r="AK6" s="1300"/>
      <c r="AL6" s="1300"/>
      <c r="AM6" s="1300"/>
      <c r="AN6" s="1300"/>
      <c r="AO6" s="1300"/>
      <c r="AP6" s="1300"/>
      <c r="AQ6" s="1300"/>
      <c r="AR6" s="1300"/>
      <c r="AS6" s="1300"/>
      <c r="AT6" s="1300"/>
      <c r="AU6" s="1300"/>
      <c r="AV6" s="1300"/>
      <c r="AW6" s="1300"/>
      <c r="AX6" s="1300"/>
      <c r="AY6" s="1300"/>
      <c r="AZ6" s="1300"/>
      <c r="BA6" s="1300"/>
      <c r="BB6" s="1300"/>
      <c r="BC6" s="1300"/>
      <c r="BD6" s="1300"/>
      <c r="BE6" s="1300"/>
      <c r="BF6" s="1300"/>
      <c r="BG6" s="1300"/>
      <c r="BH6" s="1300"/>
      <c r="BI6" s="1300"/>
      <c r="BJ6" s="1300"/>
      <c r="BK6" s="1300"/>
      <c r="BL6" s="1300"/>
      <c r="BM6" s="1300"/>
      <c r="BN6" s="1300"/>
      <c r="BO6" s="1300"/>
      <c r="BP6" s="1300"/>
      <c r="BQ6" s="1300"/>
      <c r="BR6" s="1300"/>
      <c r="BS6" s="1300"/>
      <c r="BT6" s="1300"/>
      <c r="BU6" s="1300"/>
      <c r="BV6" s="1300"/>
      <c r="BW6" s="1300"/>
      <c r="BX6" s="1300"/>
      <c r="BY6" s="1300"/>
      <c r="BZ6" s="1300"/>
      <c r="CA6" s="1300"/>
      <c r="CB6" s="1300"/>
      <c r="CC6" s="1300"/>
      <c r="CD6" s="1300"/>
      <c r="CE6" s="1300"/>
      <c r="CF6" s="1300"/>
      <c r="CG6" s="1300"/>
      <c r="CH6" s="1300"/>
      <c r="CI6" s="1300"/>
      <c r="CJ6" s="1300"/>
      <c r="CK6" s="1300"/>
      <c r="CL6" s="1300"/>
      <c r="CM6" s="1300"/>
      <c r="CN6" s="1300"/>
      <c r="CO6" s="1300"/>
      <c r="CP6" s="1300"/>
      <c r="CQ6" s="1300"/>
      <c r="CR6" s="1300"/>
      <c r="CS6" s="1300"/>
      <c r="CT6" s="1300"/>
      <c r="CU6" s="1300"/>
      <c r="CV6" s="1300"/>
      <c r="CW6" s="1300"/>
      <c r="CX6" s="1300"/>
      <c r="CY6" s="1300"/>
      <c r="CZ6" s="1300"/>
      <c r="DA6" s="1300"/>
      <c r="DB6" s="1300"/>
      <c r="DC6" s="1300"/>
      <c r="DD6" s="1300"/>
      <c r="DE6" s="1300"/>
      <c r="DF6" s="1300"/>
      <c r="DG6" s="1300"/>
      <c r="DH6" s="1300"/>
      <c r="DI6" s="1300"/>
      <c r="DJ6" s="1300"/>
      <c r="DK6" s="1300"/>
      <c r="DL6" s="1300"/>
      <c r="DM6" s="1300"/>
      <c r="DN6" s="1300"/>
      <c r="DO6" s="1300"/>
      <c r="DP6" s="1300"/>
      <c r="DQ6" s="1300"/>
      <c r="DR6" s="1300"/>
      <c r="DS6" s="1300"/>
      <c r="DT6" s="1300"/>
      <c r="DU6" s="1300"/>
      <c r="DV6" s="1300"/>
      <c r="DW6" s="1300"/>
      <c r="DX6" s="1300"/>
      <c r="DY6" s="1300"/>
      <c r="DZ6" s="1300"/>
      <c r="EA6" s="1300"/>
      <c r="EB6" s="1300"/>
      <c r="EC6" s="1300"/>
      <c r="ED6" s="1300"/>
      <c r="EE6" s="1300"/>
      <c r="EF6" s="1300"/>
      <c r="EG6" s="1300"/>
      <c r="EH6" s="1300"/>
      <c r="EI6" s="1300"/>
      <c r="EJ6" s="1300"/>
      <c r="EK6" s="1300"/>
      <c r="EL6" s="1300"/>
      <c r="EM6" s="1300"/>
      <c r="EN6" s="1300"/>
      <c r="EO6" s="1300"/>
      <c r="EP6" s="1300"/>
      <c r="EQ6" s="1300"/>
      <c r="ER6" s="1300"/>
      <c r="ES6" s="1300"/>
      <c r="ET6" s="1300"/>
      <c r="EU6" s="1300"/>
      <c r="EV6" s="1300"/>
      <c r="EW6" s="1300"/>
      <c r="EX6" s="1300"/>
      <c r="EY6" s="1300"/>
      <c r="EZ6" s="1300"/>
      <c r="FA6" s="1300"/>
      <c r="FB6" s="1300"/>
      <c r="FC6" s="1300"/>
      <c r="FD6" s="1300"/>
      <c r="FE6" s="1300"/>
      <c r="FF6" s="1300"/>
      <c r="FG6" s="1300"/>
      <c r="FH6" s="1300"/>
      <c r="FI6" s="1300"/>
      <c r="FJ6" s="1300"/>
      <c r="FK6" s="1300"/>
      <c r="FL6" s="1300"/>
      <c r="FM6" s="1300"/>
      <c r="FN6" s="1300"/>
      <c r="FO6" s="1300"/>
      <c r="FP6" s="1300"/>
      <c r="FQ6" s="1300"/>
      <c r="FR6" s="1300"/>
      <c r="FS6" s="1300"/>
      <c r="FT6" s="1300"/>
      <c r="FU6" s="1300"/>
      <c r="FV6" s="1300"/>
      <c r="FW6" s="1300"/>
      <c r="FX6" s="1300"/>
      <c r="FY6" s="1300"/>
      <c r="FZ6" s="1300"/>
      <c r="GA6" s="1300"/>
      <c r="GB6" s="1300"/>
      <c r="GC6" s="1300"/>
      <c r="GD6" s="1300"/>
      <c r="GE6" s="1300"/>
      <c r="GF6" s="1300"/>
      <c r="GG6" s="1300"/>
      <c r="GH6" s="1300"/>
      <c r="GI6" s="1300"/>
      <c r="GJ6" s="1300"/>
      <c r="GK6" s="1300"/>
      <c r="GL6" s="1300"/>
      <c r="GM6" s="1300"/>
      <c r="GN6" s="1300"/>
      <c r="GO6" s="1300"/>
      <c r="GP6" s="1300"/>
      <c r="GQ6" s="1300"/>
      <c r="GR6" s="1300"/>
      <c r="GS6" s="1300"/>
      <c r="GT6" s="1300"/>
      <c r="GU6" s="1300"/>
      <c r="GV6" s="1300"/>
      <c r="GW6" s="1300"/>
      <c r="GX6" s="1300"/>
      <c r="GY6" s="1300"/>
      <c r="GZ6" s="1300"/>
      <c r="HA6" s="1300"/>
      <c r="HB6" s="1300"/>
      <c r="HC6" s="1300"/>
      <c r="HD6" s="1300"/>
      <c r="HE6" s="1300"/>
      <c r="HF6" s="1300"/>
      <c r="HG6" s="1300"/>
      <c r="HH6" s="1300"/>
      <c r="HI6" s="1300"/>
      <c r="HJ6" s="1300"/>
      <c r="HK6" s="1300"/>
      <c r="HL6" s="1300"/>
      <c r="HM6" s="1300"/>
      <c r="HN6" s="1300"/>
      <c r="HO6" s="1300"/>
      <c r="HP6" s="1300"/>
      <c r="HQ6" s="1300"/>
      <c r="HR6" s="1300"/>
      <c r="HS6" s="1300"/>
      <c r="HT6" s="1300"/>
      <c r="HU6" s="1300"/>
      <c r="HV6" s="1300"/>
      <c r="HW6" s="1300"/>
      <c r="HX6" s="1300"/>
      <c r="HY6" s="1300"/>
      <c r="HZ6" s="1300"/>
      <c r="IA6" s="1300"/>
      <c r="IB6" s="1300"/>
      <c r="IC6" s="1300"/>
      <c r="ID6" s="1300"/>
      <c r="IE6" s="1300"/>
      <c r="IF6" s="1300"/>
      <c r="IG6" s="1300"/>
      <c r="IH6" s="1300"/>
      <c r="II6" s="1300"/>
      <c r="IJ6" s="1300"/>
      <c r="IK6" s="1300"/>
      <c r="IL6" s="1300"/>
      <c r="IM6" s="1300"/>
      <c r="IN6" s="1300"/>
      <c r="IO6" s="1300"/>
      <c r="IP6" s="1300"/>
      <c r="IQ6" s="1300"/>
      <c r="IR6" s="1300"/>
      <c r="IS6" s="1300"/>
      <c r="IT6" s="1300"/>
      <c r="IU6" s="1300"/>
      <c r="IV6" s="1300"/>
    </row>
    <row r="7" spans="1:256">
      <c r="A7" s="1295">
        <f t="shared" si="0"/>
        <v>4</v>
      </c>
      <c r="B7" s="1296"/>
      <c r="C7" s="1296"/>
      <c r="D7" s="1299" t="str">
        <f t="shared" si="1"/>
        <v xml:space="preserve"> </v>
      </c>
      <c r="E7" s="1299"/>
      <c r="F7" s="1298">
        <f t="shared" si="2"/>
        <v>34</v>
      </c>
      <c r="G7" s="1302"/>
      <c r="H7" s="1302"/>
      <c r="I7" s="1299" t="str">
        <f t="shared" si="3"/>
        <v xml:space="preserve"> </v>
      </c>
      <c r="J7" s="1299" t="str">
        <f>IF(ISBLANK(G7), "",(I5+I4+I6+I7+D31+D32+D33)/7)</f>
        <v/>
      </c>
      <c r="K7" s="1295">
        <f t="shared" si="4"/>
        <v>64</v>
      </c>
      <c r="L7" s="1302"/>
      <c r="M7" s="1302"/>
      <c r="N7" s="1299" t="str">
        <f t="shared" si="5"/>
        <v xml:space="preserve"> </v>
      </c>
      <c r="O7" s="1299" t="str">
        <f>IF(ISBLANK(L7), "",(N5+N4+N6+N7+I31+I32+I33)/7)</f>
        <v/>
      </c>
      <c r="P7" s="1295">
        <f t="shared" si="6"/>
        <v>94</v>
      </c>
      <c r="Q7" s="1296"/>
      <c r="R7" s="1296"/>
      <c r="S7" s="1299" t="str">
        <f t="shared" si="7"/>
        <v xml:space="preserve"> </v>
      </c>
      <c r="T7" s="1299" t="str">
        <f>IF(ISBLANK(Q7), "",AVERAGE(S4:S7:N31:N33))</f>
        <v/>
      </c>
      <c r="U7" s="1298">
        <f t="shared" si="8"/>
        <v>124</v>
      </c>
      <c r="V7" s="1296"/>
      <c r="W7" s="1296"/>
      <c r="X7" s="1299" t="str">
        <f t="shared" si="9"/>
        <v xml:space="preserve"> </v>
      </c>
      <c r="Y7" s="1299" t="str">
        <f>IF(ISBLANK(V7), "",AVERAGE(X4:X7:S31:S33))</f>
        <v/>
      </c>
      <c r="Z7" s="1295">
        <f t="shared" si="10"/>
        <v>154</v>
      </c>
      <c r="AA7" s="1296"/>
      <c r="AB7" s="1296"/>
      <c r="AC7" s="1299" t="str">
        <f t="shared" si="11"/>
        <v xml:space="preserve"> </v>
      </c>
      <c r="AD7" s="1299" t="str">
        <f>IF(ISBLANK(AA7), "",AVERAGE(AC4:AC7:X31:X33))</f>
        <v/>
      </c>
      <c r="AE7" s="1300"/>
      <c r="AF7" s="1300"/>
      <c r="AG7" s="1300"/>
      <c r="AH7" s="1300"/>
      <c r="AI7" s="1300"/>
      <c r="AJ7" s="1300"/>
      <c r="AK7" s="1300"/>
      <c r="AL7" s="1300"/>
      <c r="AM7" s="1300"/>
      <c r="AN7" s="1300"/>
      <c r="AO7" s="1300"/>
      <c r="AP7" s="1300"/>
      <c r="AQ7" s="1300"/>
      <c r="AR7" s="1300"/>
      <c r="AS7" s="1300"/>
      <c r="AT7" s="1300"/>
      <c r="AU7" s="1300"/>
      <c r="AV7" s="1300"/>
      <c r="AW7" s="1300"/>
      <c r="AX7" s="1300"/>
      <c r="AY7" s="1300"/>
      <c r="AZ7" s="1300"/>
      <c r="BA7" s="1300"/>
      <c r="BB7" s="1300"/>
      <c r="BC7" s="1300"/>
      <c r="BD7" s="1300"/>
      <c r="BE7" s="1300"/>
      <c r="BF7" s="1300"/>
      <c r="BG7" s="1300"/>
      <c r="BH7" s="1300"/>
      <c r="BI7" s="1300"/>
      <c r="BJ7" s="1300"/>
      <c r="BK7" s="1300"/>
      <c r="BL7" s="1300"/>
      <c r="BM7" s="1300"/>
      <c r="BN7" s="1300"/>
      <c r="BO7" s="1300"/>
      <c r="BP7" s="1300"/>
      <c r="BQ7" s="1300"/>
      <c r="BR7" s="1300"/>
      <c r="BS7" s="1300"/>
      <c r="BT7" s="1300"/>
      <c r="BU7" s="1300"/>
      <c r="BV7" s="1300"/>
      <c r="BW7" s="1300"/>
      <c r="BX7" s="1300"/>
      <c r="BY7" s="1300"/>
      <c r="BZ7" s="1300"/>
      <c r="CA7" s="1300"/>
      <c r="CB7" s="1300"/>
      <c r="CC7" s="1300"/>
      <c r="CD7" s="1300"/>
      <c r="CE7" s="1300"/>
      <c r="CF7" s="1300"/>
      <c r="CG7" s="1300"/>
      <c r="CH7" s="1300"/>
      <c r="CI7" s="1300"/>
      <c r="CJ7" s="1300"/>
      <c r="CK7" s="1300"/>
      <c r="CL7" s="1300"/>
      <c r="CM7" s="1300"/>
      <c r="CN7" s="1300"/>
      <c r="CO7" s="1300"/>
      <c r="CP7" s="1300"/>
      <c r="CQ7" s="1300"/>
      <c r="CR7" s="1300"/>
      <c r="CS7" s="1300"/>
      <c r="CT7" s="1300"/>
      <c r="CU7" s="1300"/>
      <c r="CV7" s="1300"/>
      <c r="CW7" s="1300"/>
      <c r="CX7" s="1300"/>
      <c r="CY7" s="1300"/>
      <c r="CZ7" s="1300"/>
      <c r="DA7" s="1300"/>
      <c r="DB7" s="1300"/>
      <c r="DC7" s="1300"/>
      <c r="DD7" s="1300"/>
      <c r="DE7" s="1300"/>
      <c r="DF7" s="1300"/>
      <c r="DG7" s="1300"/>
      <c r="DH7" s="1300"/>
      <c r="DI7" s="1300"/>
      <c r="DJ7" s="1300"/>
      <c r="DK7" s="1300"/>
      <c r="DL7" s="1300"/>
      <c r="DM7" s="1300"/>
      <c r="DN7" s="1300"/>
      <c r="DO7" s="1300"/>
      <c r="DP7" s="1300"/>
      <c r="DQ7" s="1300"/>
      <c r="DR7" s="1300"/>
      <c r="DS7" s="1300"/>
      <c r="DT7" s="1300"/>
      <c r="DU7" s="1300"/>
      <c r="DV7" s="1300"/>
      <c r="DW7" s="1300"/>
      <c r="DX7" s="1300"/>
      <c r="DY7" s="1300"/>
      <c r="DZ7" s="1300"/>
      <c r="EA7" s="1300"/>
      <c r="EB7" s="1300"/>
      <c r="EC7" s="1300"/>
      <c r="ED7" s="1300"/>
      <c r="EE7" s="1300"/>
      <c r="EF7" s="1300"/>
      <c r="EG7" s="1300"/>
      <c r="EH7" s="1300"/>
      <c r="EI7" s="1300"/>
      <c r="EJ7" s="1300"/>
      <c r="EK7" s="1300"/>
      <c r="EL7" s="1300"/>
      <c r="EM7" s="1300"/>
      <c r="EN7" s="1300"/>
      <c r="EO7" s="1300"/>
      <c r="EP7" s="1300"/>
      <c r="EQ7" s="1300"/>
      <c r="ER7" s="1300"/>
      <c r="ES7" s="1300"/>
      <c r="ET7" s="1300"/>
      <c r="EU7" s="1300"/>
      <c r="EV7" s="1300"/>
      <c r="EW7" s="1300"/>
      <c r="EX7" s="1300"/>
      <c r="EY7" s="1300"/>
      <c r="EZ7" s="1300"/>
      <c r="FA7" s="1300"/>
      <c r="FB7" s="1300"/>
      <c r="FC7" s="1300"/>
      <c r="FD7" s="1300"/>
      <c r="FE7" s="1300"/>
      <c r="FF7" s="1300"/>
      <c r="FG7" s="1300"/>
      <c r="FH7" s="1300"/>
      <c r="FI7" s="1300"/>
      <c r="FJ7" s="1300"/>
      <c r="FK7" s="1300"/>
      <c r="FL7" s="1300"/>
      <c r="FM7" s="1300"/>
      <c r="FN7" s="1300"/>
      <c r="FO7" s="1300"/>
      <c r="FP7" s="1300"/>
      <c r="FQ7" s="1300"/>
      <c r="FR7" s="1300"/>
      <c r="FS7" s="1300"/>
      <c r="FT7" s="1300"/>
      <c r="FU7" s="1300"/>
      <c r="FV7" s="1300"/>
      <c r="FW7" s="1300"/>
      <c r="FX7" s="1300"/>
      <c r="FY7" s="1300"/>
      <c r="FZ7" s="1300"/>
      <c r="GA7" s="1300"/>
      <c r="GB7" s="1300"/>
      <c r="GC7" s="1300"/>
      <c r="GD7" s="1300"/>
      <c r="GE7" s="1300"/>
      <c r="GF7" s="1300"/>
      <c r="GG7" s="1300"/>
      <c r="GH7" s="1300"/>
      <c r="GI7" s="1300"/>
      <c r="GJ7" s="1300"/>
      <c r="GK7" s="1300"/>
      <c r="GL7" s="1300"/>
      <c r="GM7" s="1300"/>
      <c r="GN7" s="1300"/>
      <c r="GO7" s="1300"/>
      <c r="GP7" s="1300"/>
      <c r="GQ7" s="1300"/>
      <c r="GR7" s="1300"/>
      <c r="GS7" s="1300"/>
      <c r="GT7" s="1300"/>
      <c r="GU7" s="1300"/>
      <c r="GV7" s="1300"/>
      <c r="GW7" s="1300"/>
      <c r="GX7" s="1300"/>
      <c r="GY7" s="1300"/>
      <c r="GZ7" s="1300"/>
      <c r="HA7" s="1300"/>
      <c r="HB7" s="1300"/>
      <c r="HC7" s="1300"/>
      <c r="HD7" s="1300"/>
      <c r="HE7" s="1300"/>
      <c r="HF7" s="1300"/>
      <c r="HG7" s="1300"/>
      <c r="HH7" s="1300"/>
      <c r="HI7" s="1300"/>
      <c r="HJ7" s="1300"/>
      <c r="HK7" s="1300"/>
      <c r="HL7" s="1300"/>
      <c r="HM7" s="1300"/>
      <c r="HN7" s="1300"/>
      <c r="HO7" s="1300"/>
      <c r="HP7" s="1300"/>
      <c r="HQ7" s="1300"/>
      <c r="HR7" s="1300"/>
      <c r="HS7" s="1300"/>
      <c r="HT7" s="1300"/>
      <c r="HU7" s="1300"/>
      <c r="HV7" s="1300"/>
      <c r="HW7" s="1300"/>
      <c r="HX7" s="1300"/>
      <c r="HY7" s="1300"/>
      <c r="HZ7" s="1300"/>
      <c r="IA7" s="1300"/>
      <c r="IB7" s="1300"/>
      <c r="IC7" s="1300"/>
      <c r="ID7" s="1300"/>
      <c r="IE7" s="1300"/>
      <c r="IF7" s="1300"/>
      <c r="IG7" s="1300"/>
      <c r="IH7" s="1300"/>
      <c r="II7" s="1300"/>
      <c r="IJ7" s="1300"/>
      <c r="IK7" s="1300"/>
      <c r="IL7" s="1300"/>
      <c r="IM7" s="1300"/>
      <c r="IN7" s="1300"/>
      <c r="IO7" s="1300"/>
      <c r="IP7" s="1300"/>
      <c r="IQ7" s="1300"/>
      <c r="IR7" s="1300"/>
      <c r="IS7" s="1300"/>
      <c r="IT7" s="1300"/>
      <c r="IU7" s="1300"/>
      <c r="IV7" s="1300"/>
    </row>
    <row r="8" spans="1:256">
      <c r="A8" s="1295">
        <f t="shared" si="0"/>
        <v>5</v>
      </c>
      <c r="B8" s="1296"/>
      <c r="C8" s="1296"/>
      <c r="D8" s="1299" t="str">
        <f t="shared" si="1"/>
        <v xml:space="preserve"> </v>
      </c>
      <c r="E8" s="1299"/>
      <c r="F8" s="1298">
        <f t="shared" si="2"/>
        <v>35</v>
      </c>
      <c r="G8" s="1296"/>
      <c r="H8" s="1296"/>
      <c r="I8" s="1299" t="str">
        <f t="shared" si="3"/>
        <v xml:space="preserve"> </v>
      </c>
      <c r="J8" s="1299" t="str">
        <f>IF(ISBLANK(G8), "", (I5+I4+I6+I7+I8+D32+D33)/7)</f>
        <v/>
      </c>
      <c r="K8" s="1295">
        <f t="shared" si="4"/>
        <v>65</v>
      </c>
      <c r="L8" s="1296"/>
      <c r="M8" s="1302"/>
      <c r="N8" s="1299" t="str">
        <f t="shared" si="5"/>
        <v xml:space="preserve"> </v>
      </c>
      <c r="O8" s="1299" t="str">
        <f>IF(ISBLANK(L8), "", (N5+N4+N6+N7+N8+I32+I33)/7)</f>
        <v/>
      </c>
      <c r="P8" s="1295">
        <f t="shared" si="6"/>
        <v>95</v>
      </c>
      <c r="Q8" s="1296"/>
      <c r="R8" s="1296"/>
      <c r="S8" s="1299" t="str">
        <f t="shared" si="7"/>
        <v xml:space="preserve"> </v>
      </c>
      <c r="T8" s="1299" t="str">
        <f>IF(ISBLANK(Q8), "",AVERAGE(N32:N33,S4:S8))</f>
        <v/>
      </c>
      <c r="U8" s="1298">
        <f t="shared" si="8"/>
        <v>125</v>
      </c>
      <c r="V8" s="1296"/>
      <c r="W8" s="1296"/>
      <c r="X8" s="1299" t="str">
        <f t="shared" si="9"/>
        <v xml:space="preserve"> </v>
      </c>
      <c r="Y8" s="1299" t="str">
        <f>IF(ISBLANK(V8), "",AVERAGE(S32:S33,X4:X8))</f>
        <v/>
      </c>
      <c r="Z8" s="1295">
        <f t="shared" si="10"/>
        <v>155</v>
      </c>
      <c r="AA8" s="1296"/>
      <c r="AB8" s="1296"/>
      <c r="AC8" s="1299" t="str">
        <f t="shared" si="11"/>
        <v xml:space="preserve"> </v>
      </c>
      <c r="AD8" s="1299" t="str">
        <f>IF(ISBLANK(AA8), "",AVERAGE(X32:X33,AC4:AC8))</f>
        <v/>
      </c>
      <c r="AE8" s="1300"/>
      <c r="AF8" s="1300"/>
      <c r="AG8" s="1300"/>
      <c r="AH8" s="1300"/>
      <c r="AI8" s="1300"/>
      <c r="AJ8" s="1300"/>
      <c r="AK8" s="1300"/>
      <c r="AL8" s="1300"/>
      <c r="AM8" s="1300"/>
      <c r="AN8" s="1300"/>
      <c r="AO8" s="1300"/>
      <c r="AP8" s="1300"/>
      <c r="AQ8" s="1300"/>
      <c r="AR8" s="1300"/>
      <c r="AS8" s="1300"/>
      <c r="AT8" s="1300"/>
      <c r="AU8" s="1300"/>
      <c r="AV8" s="1300"/>
      <c r="AW8" s="1300"/>
      <c r="AX8" s="1300"/>
      <c r="AY8" s="1300"/>
      <c r="AZ8" s="1300"/>
      <c r="BA8" s="1300"/>
      <c r="BB8" s="1300"/>
      <c r="BC8" s="1300"/>
      <c r="BD8" s="1300"/>
      <c r="BE8" s="1300"/>
      <c r="BF8" s="1300"/>
      <c r="BG8" s="1300"/>
      <c r="BH8" s="1300"/>
      <c r="BI8" s="1300"/>
      <c r="BJ8" s="1300"/>
      <c r="BK8" s="1300"/>
      <c r="BL8" s="1300"/>
      <c r="BM8" s="1300"/>
      <c r="BN8" s="1300"/>
      <c r="BO8" s="1300"/>
      <c r="BP8" s="1300"/>
      <c r="BQ8" s="1300"/>
      <c r="BR8" s="1300"/>
      <c r="BS8" s="1300"/>
      <c r="BT8" s="1300"/>
      <c r="BU8" s="1300"/>
      <c r="BV8" s="1300"/>
      <c r="BW8" s="1300"/>
      <c r="BX8" s="1300"/>
      <c r="BY8" s="1300"/>
      <c r="BZ8" s="1300"/>
      <c r="CA8" s="1300"/>
      <c r="CB8" s="1300"/>
      <c r="CC8" s="1300"/>
      <c r="CD8" s="1300"/>
      <c r="CE8" s="1300"/>
      <c r="CF8" s="1300"/>
      <c r="CG8" s="1300"/>
      <c r="CH8" s="1300"/>
      <c r="CI8" s="1300"/>
      <c r="CJ8" s="1300"/>
      <c r="CK8" s="1300"/>
      <c r="CL8" s="1300"/>
      <c r="CM8" s="1300"/>
      <c r="CN8" s="1300"/>
      <c r="CO8" s="1300"/>
      <c r="CP8" s="1300"/>
      <c r="CQ8" s="1300"/>
      <c r="CR8" s="1300"/>
      <c r="CS8" s="1300"/>
      <c r="CT8" s="1300"/>
      <c r="CU8" s="1300"/>
      <c r="CV8" s="1300"/>
      <c r="CW8" s="1300"/>
      <c r="CX8" s="1300"/>
      <c r="CY8" s="1300"/>
      <c r="CZ8" s="1300"/>
      <c r="DA8" s="1300"/>
      <c r="DB8" s="1300"/>
      <c r="DC8" s="1300"/>
      <c r="DD8" s="1300"/>
      <c r="DE8" s="1300"/>
      <c r="DF8" s="1300"/>
      <c r="DG8" s="1300"/>
      <c r="DH8" s="1300"/>
      <c r="DI8" s="1300"/>
      <c r="DJ8" s="1300"/>
      <c r="DK8" s="1300"/>
      <c r="DL8" s="1300"/>
      <c r="DM8" s="1300"/>
      <c r="DN8" s="1300"/>
      <c r="DO8" s="1300"/>
      <c r="DP8" s="1300"/>
      <c r="DQ8" s="1300"/>
      <c r="DR8" s="1300"/>
      <c r="DS8" s="1300"/>
      <c r="DT8" s="1300"/>
      <c r="DU8" s="1300"/>
      <c r="DV8" s="1300"/>
      <c r="DW8" s="1300"/>
      <c r="DX8" s="1300"/>
      <c r="DY8" s="1300"/>
      <c r="DZ8" s="1300"/>
      <c r="EA8" s="1300"/>
      <c r="EB8" s="1300"/>
      <c r="EC8" s="1300"/>
      <c r="ED8" s="1300"/>
      <c r="EE8" s="1300"/>
      <c r="EF8" s="1300"/>
      <c r="EG8" s="1300"/>
      <c r="EH8" s="1300"/>
      <c r="EI8" s="1300"/>
      <c r="EJ8" s="1300"/>
      <c r="EK8" s="1300"/>
      <c r="EL8" s="1300"/>
      <c r="EM8" s="1300"/>
      <c r="EN8" s="1300"/>
      <c r="EO8" s="1300"/>
      <c r="EP8" s="1300"/>
      <c r="EQ8" s="1300"/>
      <c r="ER8" s="1300"/>
      <c r="ES8" s="1300"/>
      <c r="ET8" s="1300"/>
      <c r="EU8" s="1300"/>
      <c r="EV8" s="1300"/>
      <c r="EW8" s="1300"/>
      <c r="EX8" s="1300"/>
      <c r="EY8" s="1300"/>
      <c r="EZ8" s="1300"/>
      <c r="FA8" s="1300"/>
      <c r="FB8" s="1300"/>
      <c r="FC8" s="1300"/>
      <c r="FD8" s="1300"/>
      <c r="FE8" s="1300"/>
      <c r="FF8" s="1300"/>
      <c r="FG8" s="1300"/>
      <c r="FH8" s="1300"/>
      <c r="FI8" s="1300"/>
      <c r="FJ8" s="1300"/>
      <c r="FK8" s="1300"/>
      <c r="FL8" s="1300"/>
      <c r="FM8" s="1300"/>
      <c r="FN8" s="1300"/>
      <c r="FO8" s="1300"/>
      <c r="FP8" s="1300"/>
      <c r="FQ8" s="1300"/>
      <c r="FR8" s="1300"/>
      <c r="FS8" s="1300"/>
      <c r="FT8" s="1300"/>
      <c r="FU8" s="1300"/>
      <c r="FV8" s="1300"/>
      <c r="FW8" s="1300"/>
      <c r="FX8" s="1300"/>
      <c r="FY8" s="1300"/>
      <c r="FZ8" s="1300"/>
      <c r="GA8" s="1300"/>
      <c r="GB8" s="1300"/>
      <c r="GC8" s="1300"/>
      <c r="GD8" s="1300"/>
      <c r="GE8" s="1300"/>
      <c r="GF8" s="1300"/>
      <c r="GG8" s="1300"/>
      <c r="GH8" s="1300"/>
      <c r="GI8" s="1300"/>
      <c r="GJ8" s="1300"/>
      <c r="GK8" s="1300"/>
      <c r="GL8" s="1300"/>
      <c r="GM8" s="1300"/>
      <c r="GN8" s="1300"/>
      <c r="GO8" s="1300"/>
      <c r="GP8" s="1300"/>
      <c r="GQ8" s="1300"/>
      <c r="GR8" s="1300"/>
      <c r="GS8" s="1300"/>
      <c r="GT8" s="1300"/>
      <c r="GU8" s="1300"/>
      <c r="GV8" s="1300"/>
      <c r="GW8" s="1300"/>
      <c r="GX8" s="1300"/>
      <c r="GY8" s="1300"/>
      <c r="GZ8" s="1300"/>
      <c r="HA8" s="1300"/>
      <c r="HB8" s="1300"/>
      <c r="HC8" s="1300"/>
      <c r="HD8" s="1300"/>
      <c r="HE8" s="1300"/>
      <c r="HF8" s="1300"/>
      <c r="HG8" s="1300"/>
      <c r="HH8" s="1300"/>
      <c r="HI8" s="1300"/>
      <c r="HJ8" s="1300"/>
      <c r="HK8" s="1300"/>
      <c r="HL8" s="1300"/>
      <c r="HM8" s="1300"/>
      <c r="HN8" s="1300"/>
      <c r="HO8" s="1300"/>
      <c r="HP8" s="1300"/>
      <c r="HQ8" s="1300"/>
      <c r="HR8" s="1300"/>
      <c r="HS8" s="1300"/>
      <c r="HT8" s="1300"/>
      <c r="HU8" s="1300"/>
      <c r="HV8" s="1300"/>
      <c r="HW8" s="1300"/>
      <c r="HX8" s="1300"/>
      <c r="HY8" s="1300"/>
      <c r="HZ8" s="1300"/>
      <c r="IA8" s="1300"/>
      <c r="IB8" s="1300"/>
      <c r="IC8" s="1300"/>
      <c r="ID8" s="1300"/>
      <c r="IE8" s="1300"/>
      <c r="IF8" s="1300"/>
      <c r="IG8" s="1300"/>
      <c r="IH8" s="1300"/>
      <c r="II8" s="1300"/>
      <c r="IJ8" s="1300"/>
      <c r="IK8" s="1300"/>
      <c r="IL8" s="1300"/>
      <c r="IM8" s="1300"/>
      <c r="IN8" s="1300"/>
      <c r="IO8" s="1300"/>
      <c r="IP8" s="1300"/>
      <c r="IQ8" s="1300"/>
      <c r="IR8" s="1300"/>
      <c r="IS8" s="1300"/>
      <c r="IT8" s="1300"/>
      <c r="IU8" s="1300"/>
      <c r="IV8" s="1300"/>
    </row>
    <row r="9" spans="1:256">
      <c r="A9" s="1295">
        <f t="shared" si="0"/>
        <v>6</v>
      </c>
      <c r="B9" s="1296"/>
      <c r="C9" s="1296"/>
      <c r="D9" s="1299" t="str">
        <f t="shared" si="1"/>
        <v xml:space="preserve"> </v>
      </c>
      <c r="E9" s="1299"/>
      <c r="F9" s="1298">
        <f t="shared" si="2"/>
        <v>36</v>
      </c>
      <c r="G9" s="1296"/>
      <c r="H9" s="1296"/>
      <c r="I9" s="1299" t="str">
        <f t="shared" si="3"/>
        <v xml:space="preserve"> </v>
      </c>
      <c r="J9" s="1299" t="str">
        <f>IF(ISBLANK(G9), "",(I5+I4+I6+I7+I8+I9+D33)/7)</f>
        <v/>
      </c>
      <c r="K9" s="1295">
        <f t="shared" si="4"/>
        <v>66</v>
      </c>
      <c r="L9" s="1296"/>
      <c r="M9" s="1302"/>
      <c r="N9" s="1299" t="str">
        <f t="shared" si="5"/>
        <v xml:space="preserve"> </v>
      </c>
      <c r="O9" s="1299" t="str">
        <f>IF(ISBLANK(L9), "",(N5+N4+N6+N7+N8+N9+I33)/7)</f>
        <v/>
      </c>
      <c r="P9" s="1295">
        <f t="shared" si="6"/>
        <v>96</v>
      </c>
      <c r="Q9" s="1296"/>
      <c r="R9" s="1296"/>
      <c r="S9" s="1299" t="str">
        <f t="shared" si="7"/>
        <v xml:space="preserve"> </v>
      </c>
      <c r="T9" s="1299" t="str">
        <f>IF(ISBLANK(Q9), "",AVERAGE(S4:S9,N33))</f>
        <v/>
      </c>
      <c r="U9" s="1298">
        <f t="shared" si="8"/>
        <v>126</v>
      </c>
      <c r="V9" s="1296"/>
      <c r="W9" s="1296"/>
      <c r="X9" s="1299" t="str">
        <f t="shared" si="9"/>
        <v xml:space="preserve"> </v>
      </c>
      <c r="Y9" s="1299" t="str">
        <f>IF(ISBLANK(V9), "",AVERAGE(X4:X9,S33))</f>
        <v/>
      </c>
      <c r="Z9" s="1295">
        <f t="shared" si="10"/>
        <v>156</v>
      </c>
      <c r="AA9" s="1296"/>
      <c r="AB9" s="1296"/>
      <c r="AC9" s="1299" t="str">
        <f t="shared" si="11"/>
        <v xml:space="preserve"> </v>
      </c>
      <c r="AD9" s="1299" t="str">
        <f>IF(ISBLANK(AA9), "",AVERAGE(AC4:AC9,X33))</f>
        <v/>
      </c>
      <c r="AE9" s="1300"/>
      <c r="AF9" s="1300"/>
      <c r="AG9" s="1300"/>
      <c r="AH9" s="1300"/>
      <c r="AI9" s="1300"/>
      <c r="AJ9" s="1300"/>
      <c r="AK9" s="1300"/>
      <c r="AL9" s="1300"/>
      <c r="AM9" s="1300"/>
      <c r="AN9" s="1300"/>
      <c r="AO9" s="1300"/>
      <c r="AP9" s="1300"/>
      <c r="AQ9" s="1300"/>
      <c r="AR9" s="1300"/>
      <c r="AS9" s="1300"/>
      <c r="AT9" s="1300"/>
      <c r="AU9" s="1300"/>
      <c r="AV9" s="1300"/>
      <c r="AW9" s="1300"/>
      <c r="AX9" s="1300"/>
      <c r="AY9" s="1300"/>
      <c r="AZ9" s="1300"/>
      <c r="BA9" s="1300"/>
      <c r="BB9" s="1300"/>
      <c r="BC9" s="1300"/>
      <c r="BD9" s="1300"/>
      <c r="BE9" s="1300"/>
      <c r="BF9" s="1300"/>
      <c r="BG9" s="1300"/>
      <c r="BH9" s="1300"/>
      <c r="BI9" s="1300"/>
      <c r="BJ9" s="1300"/>
      <c r="BK9" s="1300"/>
      <c r="BL9" s="1300"/>
      <c r="BM9" s="1300"/>
      <c r="BN9" s="1300"/>
      <c r="BO9" s="1300"/>
      <c r="BP9" s="1300"/>
      <c r="BQ9" s="1300"/>
      <c r="BR9" s="1300"/>
      <c r="BS9" s="1300"/>
      <c r="BT9" s="1300"/>
      <c r="BU9" s="1300"/>
      <c r="BV9" s="1300"/>
      <c r="BW9" s="1300"/>
      <c r="BX9" s="1300"/>
      <c r="BY9" s="1300"/>
      <c r="BZ9" s="1300"/>
      <c r="CA9" s="1300"/>
      <c r="CB9" s="1300"/>
      <c r="CC9" s="1300"/>
      <c r="CD9" s="1300"/>
      <c r="CE9" s="1300"/>
      <c r="CF9" s="1300"/>
      <c r="CG9" s="1300"/>
      <c r="CH9" s="1300"/>
      <c r="CI9" s="1300"/>
      <c r="CJ9" s="1300"/>
      <c r="CK9" s="1300"/>
      <c r="CL9" s="1300"/>
      <c r="CM9" s="1300"/>
      <c r="CN9" s="1300"/>
      <c r="CO9" s="1300"/>
      <c r="CP9" s="1300"/>
      <c r="CQ9" s="1300"/>
      <c r="CR9" s="1300"/>
      <c r="CS9" s="1300"/>
      <c r="CT9" s="1300"/>
      <c r="CU9" s="1300"/>
      <c r="CV9" s="1300"/>
      <c r="CW9" s="1300"/>
      <c r="CX9" s="1300"/>
      <c r="CY9" s="1300"/>
      <c r="CZ9" s="1300"/>
      <c r="DA9" s="1300"/>
      <c r="DB9" s="1300"/>
      <c r="DC9" s="1300"/>
      <c r="DD9" s="1300"/>
      <c r="DE9" s="1300"/>
      <c r="DF9" s="1300"/>
      <c r="DG9" s="1300"/>
      <c r="DH9" s="1300"/>
      <c r="DI9" s="1300"/>
      <c r="DJ9" s="1300"/>
      <c r="DK9" s="1300"/>
      <c r="DL9" s="1300"/>
      <c r="DM9" s="1300"/>
      <c r="DN9" s="1300"/>
      <c r="DO9" s="1300"/>
      <c r="DP9" s="1300"/>
      <c r="DQ9" s="1300"/>
      <c r="DR9" s="1300"/>
      <c r="DS9" s="1300"/>
      <c r="DT9" s="1300"/>
      <c r="DU9" s="1300"/>
      <c r="DV9" s="1300"/>
      <c r="DW9" s="1300"/>
      <c r="DX9" s="1300"/>
      <c r="DY9" s="1300"/>
      <c r="DZ9" s="1300"/>
      <c r="EA9" s="1300"/>
      <c r="EB9" s="1300"/>
      <c r="EC9" s="1300"/>
      <c r="ED9" s="1300"/>
      <c r="EE9" s="1300"/>
      <c r="EF9" s="1300"/>
      <c r="EG9" s="1300"/>
      <c r="EH9" s="1300"/>
      <c r="EI9" s="1300"/>
      <c r="EJ9" s="1300"/>
      <c r="EK9" s="1300"/>
      <c r="EL9" s="1300"/>
      <c r="EM9" s="1300"/>
      <c r="EN9" s="1300"/>
      <c r="EO9" s="1300"/>
      <c r="EP9" s="1300"/>
      <c r="EQ9" s="1300"/>
      <c r="ER9" s="1300"/>
      <c r="ES9" s="1300"/>
      <c r="ET9" s="1300"/>
      <c r="EU9" s="1300"/>
      <c r="EV9" s="1300"/>
      <c r="EW9" s="1300"/>
      <c r="EX9" s="1300"/>
      <c r="EY9" s="1300"/>
      <c r="EZ9" s="1300"/>
      <c r="FA9" s="1300"/>
      <c r="FB9" s="1300"/>
      <c r="FC9" s="1300"/>
      <c r="FD9" s="1300"/>
      <c r="FE9" s="1300"/>
      <c r="FF9" s="1300"/>
      <c r="FG9" s="1300"/>
      <c r="FH9" s="1300"/>
      <c r="FI9" s="1300"/>
      <c r="FJ9" s="1300"/>
      <c r="FK9" s="1300"/>
      <c r="FL9" s="1300"/>
      <c r="FM9" s="1300"/>
      <c r="FN9" s="1300"/>
      <c r="FO9" s="1300"/>
      <c r="FP9" s="1300"/>
      <c r="FQ9" s="1300"/>
      <c r="FR9" s="1300"/>
      <c r="FS9" s="1300"/>
      <c r="FT9" s="1300"/>
      <c r="FU9" s="1300"/>
      <c r="FV9" s="1300"/>
      <c r="FW9" s="1300"/>
      <c r="FX9" s="1300"/>
      <c r="FY9" s="1300"/>
      <c r="FZ9" s="1300"/>
      <c r="GA9" s="1300"/>
      <c r="GB9" s="1300"/>
      <c r="GC9" s="1300"/>
      <c r="GD9" s="1300"/>
      <c r="GE9" s="1300"/>
      <c r="GF9" s="1300"/>
      <c r="GG9" s="1300"/>
      <c r="GH9" s="1300"/>
      <c r="GI9" s="1300"/>
      <c r="GJ9" s="1300"/>
      <c r="GK9" s="1300"/>
      <c r="GL9" s="1300"/>
      <c r="GM9" s="1300"/>
      <c r="GN9" s="1300"/>
      <c r="GO9" s="1300"/>
      <c r="GP9" s="1300"/>
      <c r="GQ9" s="1300"/>
      <c r="GR9" s="1300"/>
      <c r="GS9" s="1300"/>
      <c r="GT9" s="1300"/>
      <c r="GU9" s="1300"/>
      <c r="GV9" s="1300"/>
      <c r="GW9" s="1300"/>
      <c r="GX9" s="1300"/>
      <c r="GY9" s="1300"/>
      <c r="GZ9" s="1300"/>
      <c r="HA9" s="1300"/>
      <c r="HB9" s="1300"/>
      <c r="HC9" s="1300"/>
      <c r="HD9" s="1300"/>
      <c r="HE9" s="1300"/>
      <c r="HF9" s="1300"/>
      <c r="HG9" s="1300"/>
      <c r="HH9" s="1300"/>
      <c r="HI9" s="1300"/>
      <c r="HJ9" s="1300"/>
      <c r="HK9" s="1300"/>
      <c r="HL9" s="1300"/>
      <c r="HM9" s="1300"/>
      <c r="HN9" s="1300"/>
      <c r="HO9" s="1300"/>
      <c r="HP9" s="1300"/>
      <c r="HQ9" s="1300"/>
      <c r="HR9" s="1300"/>
      <c r="HS9" s="1300"/>
      <c r="HT9" s="1300"/>
      <c r="HU9" s="1300"/>
      <c r="HV9" s="1300"/>
      <c r="HW9" s="1300"/>
      <c r="HX9" s="1300"/>
      <c r="HY9" s="1300"/>
      <c r="HZ9" s="1300"/>
      <c r="IA9" s="1300"/>
      <c r="IB9" s="1300"/>
      <c r="IC9" s="1300"/>
      <c r="ID9" s="1300"/>
      <c r="IE9" s="1300"/>
      <c r="IF9" s="1300"/>
      <c r="IG9" s="1300"/>
      <c r="IH9" s="1300"/>
      <c r="II9" s="1300"/>
      <c r="IJ9" s="1300"/>
      <c r="IK9" s="1300"/>
      <c r="IL9" s="1300"/>
      <c r="IM9" s="1300"/>
      <c r="IN9" s="1300"/>
      <c r="IO9" s="1300"/>
      <c r="IP9" s="1300"/>
      <c r="IQ9" s="1300"/>
      <c r="IR9" s="1300"/>
      <c r="IS9" s="1300"/>
      <c r="IT9" s="1300"/>
      <c r="IU9" s="1300"/>
      <c r="IV9" s="1300"/>
    </row>
    <row r="10" spans="1:256">
      <c r="A10" s="1295">
        <f t="shared" si="0"/>
        <v>7</v>
      </c>
      <c r="B10" s="1296"/>
      <c r="C10" s="1296"/>
      <c r="D10" s="1299" t="str">
        <f t="shared" si="1"/>
        <v xml:space="preserve"> </v>
      </c>
      <c r="E10" s="1299"/>
      <c r="F10" s="1298">
        <f t="shared" si="2"/>
        <v>37</v>
      </c>
      <c r="G10" s="1296"/>
      <c r="H10" s="1296"/>
      <c r="I10" s="1299" t="str">
        <f t="shared" si="3"/>
        <v xml:space="preserve"> </v>
      </c>
      <c r="J10" s="1299" t="str">
        <f>IF(ISBLANK(G10), "",AVERAGE(I4:I10))</f>
        <v/>
      </c>
      <c r="K10" s="1295">
        <f t="shared" si="4"/>
        <v>67</v>
      </c>
      <c r="L10" s="1296"/>
      <c r="M10" s="1302"/>
      <c r="N10" s="1299" t="str">
        <f t="shared" si="5"/>
        <v xml:space="preserve"> </v>
      </c>
      <c r="O10" s="1299" t="str">
        <f>IF(ISBLANK(L10), "",AVERAGE(N4:N10))</f>
        <v/>
      </c>
      <c r="P10" s="1295">
        <f t="shared" si="6"/>
        <v>97</v>
      </c>
      <c r="Q10" s="1296"/>
      <c r="R10" s="1296"/>
      <c r="S10" s="1299" t="str">
        <f t="shared" si="7"/>
        <v xml:space="preserve"> </v>
      </c>
      <c r="T10" s="1299" t="str">
        <f t="shared" ref="T10:T33" si="12">IF(ISBLANK(Q10), "",AVERAGE(S4:S10))</f>
        <v/>
      </c>
      <c r="U10" s="1298">
        <f t="shared" si="8"/>
        <v>127</v>
      </c>
      <c r="V10" s="1296"/>
      <c r="W10" s="1296"/>
      <c r="X10" s="1299" t="str">
        <f t="shared" si="9"/>
        <v xml:space="preserve"> </v>
      </c>
      <c r="Y10" s="1299" t="str">
        <f>IF(ISBLANK(V10), "",AVERAGE(X4:X10))</f>
        <v/>
      </c>
      <c r="Z10" s="1295">
        <f t="shared" si="10"/>
        <v>157</v>
      </c>
      <c r="AA10" s="1296"/>
      <c r="AB10" s="1296"/>
      <c r="AC10" s="1299" t="str">
        <f t="shared" si="11"/>
        <v xml:space="preserve"> </v>
      </c>
      <c r="AD10" s="1299" t="str">
        <f>IF(ISBLANK(AA10), "",AVERAGE(AC4:AC10))</f>
        <v/>
      </c>
      <c r="AE10" s="1300"/>
      <c r="AF10" s="1300"/>
      <c r="AG10" s="1300"/>
      <c r="AH10" s="1300"/>
      <c r="AI10" s="1300"/>
      <c r="AJ10" s="1300"/>
      <c r="AK10" s="1300"/>
      <c r="AL10" s="1300"/>
      <c r="AM10" s="1300"/>
      <c r="AN10" s="1300"/>
      <c r="AO10" s="1300"/>
      <c r="AP10" s="1300"/>
      <c r="AQ10" s="1300"/>
      <c r="AR10" s="1300"/>
      <c r="AS10" s="1300"/>
      <c r="AT10" s="1300"/>
      <c r="AU10" s="1300"/>
      <c r="AV10" s="1300"/>
      <c r="AW10" s="1300"/>
      <c r="AX10" s="1300"/>
      <c r="AY10" s="1300"/>
      <c r="AZ10" s="1300"/>
      <c r="BA10" s="1300"/>
      <c r="BB10" s="1300"/>
      <c r="BC10" s="1300"/>
      <c r="BD10" s="1300"/>
      <c r="BE10" s="1300"/>
      <c r="BF10" s="1300"/>
      <c r="BG10" s="1300"/>
      <c r="BH10" s="1300"/>
      <c r="BI10" s="1300"/>
      <c r="BJ10" s="1300"/>
      <c r="BK10" s="1300"/>
      <c r="BL10" s="1300"/>
      <c r="BM10" s="1300"/>
      <c r="BN10" s="1300"/>
      <c r="BO10" s="1300"/>
      <c r="BP10" s="1300"/>
      <c r="BQ10" s="1300"/>
      <c r="BR10" s="1300"/>
      <c r="BS10" s="1300"/>
      <c r="BT10" s="1300"/>
      <c r="BU10" s="1300"/>
      <c r="BV10" s="1300"/>
      <c r="BW10" s="1300"/>
      <c r="BX10" s="1300"/>
      <c r="BY10" s="1300"/>
      <c r="BZ10" s="1300"/>
      <c r="CA10" s="1300"/>
      <c r="CB10" s="1300"/>
      <c r="CC10" s="1300"/>
      <c r="CD10" s="1300"/>
      <c r="CE10" s="1300"/>
      <c r="CF10" s="1300"/>
      <c r="CG10" s="1300"/>
      <c r="CH10" s="1300"/>
      <c r="CI10" s="1300"/>
      <c r="CJ10" s="1300"/>
      <c r="CK10" s="1300"/>
      <c r="CL10" s="1300"/>
      <c r="CM10" s="1300"/>
      <c r="CN10" s="1300"/>
      <c r="CO10" s="1300"/>
      <c r="CP10" s="1300"/>
      <c r="CQ10" s="1300"/>
      <c r="CR10" s="1300"/>
      <c r="CS10" s="1300"/>
      <c r="CT10" s="1300"/>
      <c r="CU10" s="1300"/>
      <c r="CV10" s="1300"/>
      <c r="CW10" s="1300"/>
      <c r="CX10" s="1300"/>
      <c r="CY10" s="1300"/>
      <c r="CZ10" s="1300"/>
      <c r="DA10" s="1300"/>
      <c r="DB10" s="1300"/>
      <c r="DC10" s="1300"/>
      <c r="DD10" s="1300"/>
      <c r="DE10" s="1300"/>
      <c r="DF10" s="1300"/>
      <c r="DG10" s="1300"/>
      <c r="DH10" s="1300"/>
      <c r="DI10" s="1300"/>
      <c r="DJ10" s="1300"/>
      <c r="DK10" s="1300"/>
      <c r="DL10" s="1300"/>
      <c r="DM10" s="1300"/>
      <c r="DN10" s="1300"/>
      <c r="DO10" s="1300"/>
      <c r="DP10" s="1300"/>
      <c r="DQ10" s="1300"/>
      <c r="DR10" s="1300"/>
      <c r="DS10" s="1300"/>
      <c r="DT10" s="1300"/>
      <c r="DU10" s="1300"/>
      <c r="DV10" s="1300"/>
      <c r="DW10" s="1300"/>
      <c r="DX10" s="1300"/>
      <c r="DY10" s="1300"/>
      <c r="DZ10" s="1300"/>
      <c r="EA10" s="1300"/>
      <c r="EB10" s="1300"/>
      <c r="EC10" s="1300"/>
      <c r="ED10" s="1300"/>
      <c r="EE10" s="1300"/>
      <c r="EF10" s="1300"/>
      <c r="EG10" s="1300"/>
      <c r="EH10" s="1300"/>
      <c r="EI10" s="1300"/>
      <c r="EJ10" s="1300"/>
      <c r="EK10" s="1300"/>
      <c r="EL10" s="1300"/>
      <c r="EM10" s="1300"/>
      <c r="EN10" s="1300"/>
      <c r="EO10" s="1300"/>
      <c r="EP10" s="1300"/>
      <c r="EQ10" s="1300"/>
      <c r="ER10" s="1300"/>
      <c r="ES10" s="1300"/>
      <c r="ET10" s="1300"/>
      <c r="EU10" s="1300"/>
      <c r="EV10" s="1300"/>
      <c r="EW10" s="1300"/>
      <c r="EX10" s="1300"/>
      <c r="EY10" s="1300"/>
      <c r="EZ10" s="1300"/>
      <c r="FA10" s="1300"/>
      <c r="FB10" s="1300"/>
      <c r="FC10" s="1300"/>
      <c r="FD10" s="1300"/>
      <c r="FE10" s="1300"/>
      <c r="FF10" s="1300"/>
      <c r="FG10" s="1300"/>
      <c r="FH10" s="1300"/>
      <c r="FI10" s="1300"/>
      <c r="FJ10" s="1300"/>
      <c r="FK10" s="1300"/>
      <c r="FL10" s="1300"/>
      <c r="FM10" s="1300"/>
      <c r="FN10" s="1300"/>
      <c r="FO10" s="1300"/>
      <c r="FP10" s="1300"/>
      <c r="FQ10" s="1300"/>
      <c r="FR10" s="1300"/>
      <c r="FS10" s="1300"/>
      <c r="FT10" s="1300"/>
      <c r="FU10" s="1300"/>
      <c r="FV10" s="1300"/>
      <c r="FW10" s="1300"/>
      <c r="FX10" s="1300"/>
      <c r="FY10" s="1300"/>
      <c r="FZ10" s="1300"/>
      <c r="GA10" s="1300"/>
      <c r="GB10" s="1300"/>
      <c r="GC10" s="1300"/>
      <c r="GD10" s="1300"/>
      <c r="GE10" s="1300"/>
      <c r="GF10" s="1300"/>
      <c r="GG10" s="1300"/>
      <c r="GH10" s="1300"/>
      <c r="GI10" s="1300"/>
      <c r="GJ10" s="1300"/>
      <c r="GK10" s="1300"/>
      <c r="GL10" s="1300"/>
      <c r="GM10" s="1300"/>
      <c r="GN10" s="1300"/>
      <c r="GO10" s="1300"/>
      <c r="GP10" s="1300"/>
      <c r="GQ10" s="1300"/>
      <c r="GR10" s="1300"/>
      <c r="GS10" s="1300"/>
      <c r="GT10" s="1300"/>
      <c r="GU10" s="1300"/>
      <c r="GV10" s="1300"/>
      <c r="GW10" s="1300"/>
      <c r="GX10" s="1300"/>
      <c r="GY10" s="1300"/>
      <c r="GZ10" s="1300"/>
      <c r="HA10" s="1300"/>
      <c r="HB10" s="1300"/>
      <c r="HC10" s="1300"/>
      <c r="HD10" s="1300"/>
      <c r="HE10" s="1300"/>
      <c r="HF10" s="1300"/>
      <c r="HG10" s="1300"/>
      <c r="HH10" s="1300"/>
      <c r="HI10" s="1300"/>
      <c r="HJ10" s="1300"/>
      <c r="HK10" s="1300"/>
      <c r="HL10" s="1300"/>
      <c r="HM10" s="1300"/>
      <c r="HN10" s="1300"/>
      <c r="HO10" s="1300"/>
      <c r="HP10" s="1300"/>
      <c r="HQ10" s="1300"/>
      <c r="HR10" s="1300"/>
      <c r="HS10" s="1300"/>
      <c r="HT10" s="1300"/>
      <c r="HU10" s="1300"/>
      <c r="HV10" s="1300"/>
      <c r="HW10" s="1300"/>
      <c r="HX10" s="1300"/>
      <c r="HY10" s="1300"/>
      <c r="HZ10" s="1300"/>
      <c r="IA10" s="1300"/>
      <c r="IB10" s="1300"/>
      <c r="IC10" s="1300"/>
      <c r="ID10" s="1300"/>
      <c r="IE10" s="1300"/>
      <c r="IF10" s="1300"/>
      <c r="IG10" s="1300"/>
      <c r="IH10" s="1300"/>
      <c r="II10" s="1300"/>
      <c r="IJ10" s="1300"/>
      <c r="IK10" s="1300"/>
      <c r="IL10" s="1300"/>
      <c r="IM10" s="1300"/>
      <c r="IN10" s="1300"/>
      <c r="IO10" s="1300"/>
      <c r="IP10" s="1300"/>
      <c r="IQ10" s="1300"/>
      <c r="IR10" s="1300"/>
      <c r="IS10" s="1300"/>
      <c r="IT10" s="1300"/>
      <c r="IU10" s="1300"/>
      <c r="IV10" s="1300"/>
    </row>
    <row r="11" spans="1:256">
      <c r="A11" s="1295">
        <f t="shared" si="0"/>
        <v>8</v>
      </c>
      <c r="B11" s="1296"/>
      <c r="C11" s="1296"/>
      <c r="D11" s="1299" t="str">
        <f t="shared" si="1"/>
        <v xml:space="preserve"> </v>
      </c>
      <c r="E11" s="1299" t="str">
        <f>IF(ISBLANK(B11), "",AVERAGE(D5:D11))</f>
        <v/>
      </c>
      <c r="F11" s="1298">
        <f t="shared" si="2"/>
        <v>38</v>
      </c>
      <c r="G11" s="1302"/>
      <c r="H11" s="1302"/>
      <c r="I11" s="1299" t="str">
        <f t="shared" si="3"/>
        <v xml:space="preserve"> </v>
      </c>
      <c r="J11" s="1299" t="str">
        <f t="shared" ref="J11:J33" si="13">IF(ISBLANK(G11), "",AVERAGE(I5:I11))</f>
        <v/>
      </c>
      <c r="K11" s="1295">
        <f t="shared" si="4"/>
        <v>68</v>
      </c>
      <c r="L11" s="1302"/>
      <c r="M11" s="1302"/>
      <c r="N11" s="1299" t="str">
        <f t="shared" si="5"/>
        <v xml:space="preserve"> </v>
      </c>
      <c r="O11" s="1299" t="str">
        <f t="shared" ref="O11:O27" si="14">IF(ISBLANK(L11), "",AVERAGE(N5:N11))</f>
        <v/>
      </c>
      <c r="P11" s="1295">
        <f t="shared" si="6"/>
        <v>98</v>
      </c>
      <c r="Q11" s="1296"/>
      <c r="R11" s="1296"/>
      <c r="S11" s="1299" t="str">
        <f>IF(ISBLANK(Q11)," ",(Q11-Q10)/(R11/100))</f>
        <v xml:space="preserve"> </v>
      </c>
      <c r="T11" s="1299" t="str">
        <f t="shared" si="12"/>
        <v/>
      </c>
      <c r="U11" s="1298">
        <f t="shared" si="8"/>
        <v>128</v>
      </c>
      <c r="V11" s="1296"/>
      <c r="W11" s="1296"/>
      <c r="X11" s="1299" t="str">
        <f t="shared" si="9"/>
        <v xml:space="preserve"> </v>
      </c>
      <c r="Y11" s="1299" t="str">
        <f t="shared" ref="Y11:Y33" si="15">IF(ISBLANK(V11), "",AVERAGE(X5:X11))</f>
        <v/>
      </c>
      <c r="Z11" s="1295">
        <f t="shared" si="10"/>
        <v>158</v>
      </c>
      <c r="AA11" s="1296"/>
      <c r="AB11" s="1296"/>
      <c r="AC11" s="1299" t="str">
        <f t="shared" si="11"/>
        <v xml:space="preserve"> </v>
      </c>
      <c r="AD11" s="1299" t="str">
        <f t="shared" ref="AD11:AD24" si="16">IF(ISBLANK(AA11), "",AVERAGE(AC5:AC11))</f>
        <v/>
      </c>
      <c r="AE11" s="1300"/>
      <c r="AF11" s="1300"/>
      <c r="AG11" s="1300"/>
      <c r="AH11" s="1300"/>
      <c r="AI11" s="1300"/>
      <c r="AJ11" s="1300"/>
      <c r="AK11" s="1300"/>
      <c r="AL11" s="1300"/>
      <c r="AM11" s="1300"/>
      <c r="AN11" s="1300"/>
      <c r="AO11" s="1300"/>
      <c r="AP11" s="1300"/>
      <c r="AQ11" s="1300"/>
      <c r="AR11" s="1300"/>
      <c r="AS11" s="1300"/>
      <c r="AT11" s="1300"/>
      <c r="AU11" s="1300"/>
      <c r="AV11" s="1300"/>
      <c r="AW11" s="1300"/>
      <c r="AX11" s="1300"/>
      <c r="AY11" s="1300"/>
      <c r="AZ11" s="1300"/>
      <c r="BA11" s="1300"/>
      <c r="BB11" s="1300"/>
      <c r="BC11" s="1300"/>
      <c r="BD11" s="1300"/>
      <c r="BE11" s="1300"/>
      <c r="BF11" s="1300"/>
      <c r="BG11" s="1300"/>
      <c r="BH11" s="1300"/>
      <c r="BI11" s="1300"/>
      <c r="BJ11" s="1300"/>
      <c r="BK11" s="1300"/>
      <c r="BL11" s="1300"/>
      <c r="BM11" s="1300"/>
      <c r="BN11" s="1300"/>
      <c r="BO11" s="1300"/>
      <c r="BP11" s="1300"/>
      <c r="BQ11" s="1300"/>
      <c r="BR11" s="1300"/>
      <c r="BS11" s="1300"/>
      <c r="BT11" s="1300"/>
      <c r="BU11" s="1300"/>
      <c r="BV11" s="1300"/>
      <c r="BW11" s="1300"/>
      <c r="BX11" s="1300"/>
      <c r="BY11" s="1300"/>
      <c r="BZ11" s="1300"/>
      <c r="CA11" s="1300"/>
      <c r="CB11" s="1300"/>
      <c r="CC11" s="1300"/>
      <c r="CD11" s="1300"/>
      <c r="CE11" s="1300"/>
      <c r="CF11" s="1300"/>
      <c r="CG11" s="1300"/>
      <c r="CH11" s="1300"/>
      <c r="CI11" s="1300"/>
      <c r="CJ11" s="1300"/>
      <c r="CK11" s="1300"/>
      <c r="CL11" s="1300"/>
      <c r="CM11" s="1300"/>
      <c r="CN11" s="1300"/>
      <c r="CO11" s="1300"/>
      <c r="CP11" s="1300"/>
      <c r="CQ11" s="1300"/>
      <c r="CR11" s="1300"/>
      <c r="CS11" s="1300"/>
      <c r="CT11" s="1300"/>
      <c r="CU11" s="1300"/>
      <c r="CV11" s="1300"/>
      <c r="CW11" s="1300"/>
      <c r="CX11" s="1300"/>
      <c r="CY11" s="1300"/>
      <c r="CZ11" s="1300"/>
      <c r="DA11" s="1300"/>
      <c r="DB11" s="1300"/>
      <c r="DC11" s="1300"/>
      <c r="DD11" s="1300"/>
      <c r="DE11" s="1300"/>
      <c r="DF11" s="1300"/>
      <c r="DG11" s="1300"/>
      <c r="DH11" s="1300"/>
      <c r="DI11" s="1300"/>
      <c r="DJ11" s="1300"/>
      <c r="DK11" s="1300"/>
      <c r="DL11" s="1300"/>
      <c r="DM11" s="1300"/>
      <c r="DN11" s="1300"/>
      <c r="DO11" s="1300"/>
      <c r="DP11" s="1300"/>
      <c r="DQ11" s="1300"/>
      <c r="DR11" s="1300"/>
      <c r="DS11" s="1300"/>
      <c r="DT11" s="1300"/>
      <c r="DU11" s="1300"/>
      <c r="DV11" s="1300"/>
      <c r="DW11" s="1300"/>
      <c r="DX11" s="1300"/>
      <c r="DY11" s="1300"/>
      <c r="DZ11" s="1300"/>
      <c r="EA11" s="1300"/>
      <c r="EB11" s="1300"/>
      <c r="EC11" s="1300"/>
      <c r="ED11" s="1300"/>
      <c r="EE11" s="1300"/>
      <c r="EF11" s="1300"/>
      <c r="EG11" s="1300"/>
      <c r="EH11" s="1300"/>
      <c r="EI11" s="1300"/>
      <c r="EJ11" s="1300"/>
      <c r="EK11" s="1300"/>
      <c r="EL11" s="1300"/>
      <c r="EM11" s="1300"/>
      <c r="EN11" s="1300"/>
      <c r="EO11" s="1300"/>
      <c r="EP11" s="1300"/>
      <c r="EQ11" s="1300"/>
      <c r="ER11" s="1300"/>
      <c r="ES11" s="1300"/>
      <c r="ET11" s="1300"/>
      <c r="EU11" s="1300"/>
      <c r="EV11" s="1300"/>
      <c r="EW11" s="1300"/>
      <c r="EX11" s="1300"/>
      <c r="EY11" s="1300"/>
      <c r="EZ11" s="1300"/>
      <c r="FA11" s="1300"/>
      <c r="FB11" s="1300"/>
      <c r="FC11" s="1300"/>
      <c r="FD11" s="1300"/>
      <c r="FE11" s="1300"/>
      <c r="FF11" s="1300"/>
      <c r="FG11" s="1300"/>
      <c r="FH11" s="1300"/>
      <c r="FI11" s="1300"/>
      <c r="FJ11" s="1300"/>
      <c r="FK11" s="1300"/>
      <c r="FL11" s="1300"/>
      <c r="FM11" s="1300"/>
      <c r="FN11" s="1300"/>
      <c r="FO11" s="1300"/>
      <c r="FP11" s="1300"/>
      <c r="FQ11" s="1300"/>
      <c r="FR11" s="1300"/>
      <c r="FS11" s="1300"/>
      <c r="FT11" s="1300"/>
      <c r="FU11" s="1300"/>
      <c r="FV11" s="1300"/>
      <c r="FW11" s="1300"/>
      <c r="FX11" s="1300"/>
      <c r="FY11" s="1300"/>
      <c r="FZ11" s="1300"/>
      <c r="GA11" s="1300"/>
      <c r="GB11" s="1300"/>
      <c r="GC11" s="1300"/>
      <c r="GD11" s="1300"/>
      <c r="GE11" s="1300"/>
      <c r="GF11" s="1300"/>
      <c r="GG11" s="1300"/>
      <c r="GH11" s="1300"/>
      <c r="GI11" s="1300"/>
      <c r="GJ11" s="1300"/>
      <c r="GK11" s="1300"/>
      <c r="GL11" s="1300"/>
      <c r="GM11" s="1300"/>
      <c r="GN11" s="1300"/>
      <c r="GO11" s="1300"/>
      <c r="GP11" s="1300"/>
      <c r="GQ11" s="1300"/>
      <c r="GR11" s="1300"/>
      <c r="GS11" s="1300"/>
      <c r="GT11" s="1300"/>
      <c r="GU11" s="1300"/>
      <c r="GV11" s="1300"/>
      <c r="GW11" s="1300"/>
      <c r="GX11" s="1300"/>
      <c r="GY11" s="1300"/>
      <c r="GZ11" s="1300"/>
      <c r="HA11" s="1300"/>
      <c r="HB11" s="1300"/>
      <c r="HC11" s="1300"/>
      <c r="HD11" s="1300"/>
      <c r="HE11" s="1300"/>
      <c r="HF11" s="1300"/>
      <c r="HG11" s="1300"/>
      <c r="HH11" s="1300"/>
      <c r="HI11" s="1300"/>
      <c r="HJ11" s="1300"/>
      <c r="HK11" s="1300"/>
      <c r="HL11" s="1300"/>
      <c r="HM11" s="1300"/>
      <c r="HN11" s="1300"/>
      <c r="HO11" s="1300"/>
      <c r="HP11" s="1300"/>
      <c r="HQ11" s="1300"/>
      <c r="HR11" s="1300"/>
      <c r="HS11" s="1300"/>
      <c r="HT11" s="1300"/>
      <c r="HU11" s="1300"/>
      <c r="HV11" s="1300"/>
      <c r="HW11" s="1300"/>
      <c r="HX11" s="1300"/>
      <c r="HY11" s="1300"/>
      <c r="HZ11" s="1300"/>
      <c r="IA11" s="1300"/>
      <c r="IB11" s="1300"/>
      <c r="IC11" s="1300"/>
      <c r="ID11" s="1300"/>
      <c r="IE11" s="1300"/>
      <c r="IF11" s="1300"/>
      <c r="IG11" s="1300"/>
      <c r="IH11" s="1300"/>
      <c r="II11" s="1300"/>
      <c r="IJ11" s="1300"/>
      <c r="IK11" s="1300"/>
      <c r="IL11" s="1300"/>
      <c r="IM11" s="1300"/>
      <c r="IN11" s="1300"/>
      <c r="IO11" s="1300"/>
      <c r="IP11" s="1300"/>
      <c r="IQ11" s="1300"/>
      <c r="IR11" s="1300"/>
      <c r="IS11" s="1300"/>
      <c r="IT11" s="1300"/>
      <c r="IU11" s="1300"/>
      <c r="IV11" s="1300"/>
    </row>
    <row r="12" spans="1:256">
      <c r="A12" s="1295">
        <f t="shared" si="0"/>
        <v>9</v>
      </c>
      <c r="B12" s="1296"/>
      <c r="C12" s="1296"/>
      <c r="D12" s="1299" t="str">
        <f t="shared" si="1"/>
        <v xml:space="preserve"> </v>
      </c>
      <c r="E12" s="1299" t="str">
        <f t="shared" ref="E12:E33" si="17">IF(ISBLANK(B12), "",AVERAGE(D6:D12))</f>
        <v/>
      </c>
      <c r="F12" s="1298">
        <f t="shared" si="2"/>
        <v>39</v>
      </c>
      <c r="G12" s="1296"/>
      <c r="H12" s="1296"/>
      <c r="I12" s="1299" t="str">
        <f t="shared" si="3"/>
        <v xml:space="preserve"> </v>
      </c>
      <c r="J12" s="1299" t="str">
        <f t="shared" si="13"/>
        <v/>
      </c>
      <c r="K12" s="1295">
        <f t="shared" si="4"/>
        <v>69</v>
      </c>
      <c r="L12" s="1296"/>
      <c r="M12" s="1296"/>
      <c r="N12" s="1299" t="str">
        <f t="shared" si="5"/>
        <v xml:space="preserve"> </v>
      </c>
      <c r="O12" s="1299" t="str">
        <f t="shared" si="14"/>
        <v/>
      </c>
      <c r="P12" s="1295">
        <f t="shared" si="6"/>
        <v>99</v>
      </c>
      <c r="Q12" s="1296"/>
      <c r="R12" s="1296"/>
      <c r="S12" s="1299" t="str">
        <f t="shared" si="7"/>
        <v xml:space="preserve"> </v>
      </c>
      <c r="T12" s="1299" t="str">
        <f t="shared" si="12"/>
        <v/>
      </c>
      <c r="U12" s="1298">
        <f t="shared" si="8"/>
        <v>129</v>
      </c>
      <c r="V12" s="1296"/>
      <c r="W12" s="1296"/>
      <c r="X12" s="1299" t="str">
        <f t="shared" si="9"/>
        <v xml:space="preserve"> </v>
      </c>
      <c r="Y12" s="1299" t="str">
        <f t="shared" si="15"/>
        <v/>
      </c>
      <c r="Z12" s="1295">
        <f t="shared" si="10"/>
        <v>159</v>
      </c>
      <c r="AA12" s="1296"/>
      <c r="AB12" s="1296"/>
      <c r="AC12" s="1299" t="str">
        <f t="shared" si="11"/>
        <v xml:space="preserve"> </v>
      </c>
      <c r="AD12" s="1299" t="str">
        <f t="shared" si="16"/>
        <v/>
      </c>
      <c r="AE12" s="1300"/>
      <c r="AF12" s="1300"/>
      <c r="AG12" s="1300"/>
      <c r="AH12" s="1300"/>
      <c r="AI12" s="1300"/>
      <c r="AJ12" s="1300"/>
      <c r="AK12" s="1300"/>
      <c r="AL12" s="1300"/>
      <c r="AM12" s="1300"/>
      <c r="AN12" s="1300"/>
      <c r="AO12" s="1300"/>
      <c r="AP12" s="1300"/>
      <c r="AQ12" s="1300"/>
      <c r="AR12" s="1300"/>
      <c r="AS12" s="1300"/>
      <c r="AT12" s="1300"/>
      <c r="AU12" s="1300"/>
      <c r="AV12" s="1300"/>
      <c r="AW12" s="1300"/>
      <c r="AX12" s="1300"/>
      <c r="AY12" s="1300"/>
      <c r="AZ12" s="1300"/>
      <c r="BA12" s="1300"/>
      <c r="BB12" s="1300"/>
      <c r="BC12" s="1300"/>
      <c r="BD12" s="1300"/>
      <c r="BE12" s="1300"/>
      <c r="BF12" s="1300"/>
      <c r="BG12" s="1300"/>
      <c r="BH12" s="1300"/>
      <c r="BI12" s="1300"/>
      <c r="BJ12" s="1300"/>
      <c r="BK12" s="1300"/>
      <c r="BL12" s="1300"/>
      <c r="BM12" s="1300"/>
      <c r="BN12" s="1300"/>
      <c r="BO12" s="1300"/>
      <c r="BP12" s="1300"/>
      <c r="BQ12" s="1300"/>
      <c r="BR12" s="1300"/>
      <c r="BS12" s="1300"/>
      <c r="BT12" s="1300"/>
      <c r="BU12" s="1300"/>
      <c r="BV12" s="1300"/>
      <c r="BW12" s="1300"/>
      <c r="BX12" s="1300"/>
      <c r="BY12" s="1300"/>
      <c r="BZ12" s="1300"/>
      <c r="CA12" s="1300"/>
      <c r="CB12" s="1300"/>
      <c r="CC12" s="1300"/>
      <c r="CD12" s="1300"/>
      <c r="CE12" s="1300"/>
      <c r="CF12" s="1300"/>
      <c r="CG12" s="1300"/>
      <c r="CH12" s="1300"/>
      <c r="CI12" s="1300"/>
      <c r="CJ12" s="1300"/>
      <c r="CK12" s="1300"/>
      <c r="CL12" s="1300"/>
      <c r="CM12" s="1300"/>
      <c r="CN12" s="1300"/>
      <c r="CO12" s="1300"/>
      <c r="CP12" s="1300"/>
      <c r="CQ12" s="1300"/>
      <c r="CR12" s="1300"/>
      <c r="CS12" s="1300"/>
      <c r="CT12" s="1300"/>
      <c r="CU12" s="1300"/>
      <c r="CV12" s="1300"/>
      <c r="CW12" s="1300"/>
      <c r="CX12" s="1300"/>
      <c r="CY12" s="1300"/>
      <c r="CZ12" s="1300"/>
      <c r="DA12" s="1300"/>
      <c r="DB12" s="1300"/>
      <c r="DC12" s="1300"/>
      <c r="DD12" s="1300"/>
      <c r="DE12" s="1300"/>
      <c r="DF12" s="1300"/>
      <c r="DG12" s="1300"/>
      <c r="DH12" s="1300"/>
      <c r="DI12" s="1300"/>
      <c r="DJ12" s="1300"/>
      <c r="DK12" s="1300"/>
      <c r="DL12" s="1300"/>
      <c r="DM12" s="1300"/>
      <c r="DN12" s="1300"/>
      <c r="DO12" s="1300"/>
      <c r="DP12" s="1300"/>
      <c r="DQ12" s="1300"/>
      <c r="DR12" s="1300"/>
      <c r="DS12" s="1300"/>
      <c r="DT12" s="1300"/>
      <c r="DU12" s="1300"/>
      <c r="DV12" s="1300"/>
      <c r="DW12" s="1300"/>
      <c r="DX12" s="1300"/>
      <c r="DY12" s="1300"/>
      <c r="DZ12" s="1300"/>
      <c r="EA12" s="1300"/>
      <c r="EB12" s="1300"/>
      <c r="EC12" s="1300"/>
      <c r="ED12" s="1300"/>
      <c r="EE12" s="1300"/>
      <c r="EF12" s="1300"/>
      <c r="EG12" s="1300"/>
      <c r="EH12" s="1300"/>
      <c r="EI12" s="1300"/>
      <c r="EJ12" s="1300"/>
      <c r="EK12" s="1300"/>
      <c r="EL12" s="1300"/>
      <c r="EM12" s="1300"/>
      <c r="EN12" s="1300"/>
      <c r="EO12" s="1300"/>
      <c r="EP12" s="1300"/>
      <c r="EQ12" s="1300"/>
      <c r="ER12" s="1300"/>
      <c r="ES12" s="1300"/>
      <c r="ET12" s="1300"/>
      <c r="EU12" s="1300"/>
      <c r="EV12" s="1300"/>
      <c r="EW12" s="1300"/>
      <c r="EX12" s="1300"/>
      <c r="EY12" s="1300"/>
      <c r="EZ12" s="1300"/>
      <c r="FA12" s="1300"/>
      <c r="FB12" s="1300"/>
      <c r="FC12" s="1300"/>
      <c r="FD12" s="1300"/>
      <c r="FE12" s="1300"/>
      <c r="FF12" s="1300"/>
      <c r="FG12" s="1300"/>
      <c r="FH12" s="1300"/>
      <c r="FI12" s="1300"/>
      <c r="FJ12" s="1300"/>
      <c r="FK12" s="1300"/>
      <c r="FL12" s="1300"/>
      <c r="FM12" s="1300"/>
      <c r="FN12" s="1300"/>
      <c r="FO12" s="1300"/>
      <c r="FP12" s="1300"/>
      <c r="FQ12" s="1300"/>
      <c r="FR12" s="1300"/>
      <c r="FS12" s="1300"/>
      <c r="FT12" s="1300"/>
      <c r="FU12" s="1300"/>
      <c r="FV12" s="1300"/>
      <c r="FW12" s="1300"/>
      <c r="FX12" s="1300"/>
      <c r="FY12" s="1300"/>
      <c r="FZ12" s="1300"/>
      <c r="GA12" s="1300"/>
      <c r="GB12" s="1300"/>
      <c r="GC12" s="1300"/>
      <c r="GD12" s="1300"/>
      <c r="GE12" s="1300"/>
      <c r="GF12" s="1300"/>
      <c r="GG12" s="1300"/>
      <c r="GH12" s="1300"/>
      <c r="GI12" s="1300"/>
      <c r="GJ12" s="1300"/>
      <c r="GK12" s="1300"/>
      <c r="GL12" s="1300"/>
      <c r="GM12" s="1300"/>
      <c r="GN12" s="1300"/>
      <c r="GO12" s="1300"/>
      <c r="GP12" s="1300"/>
      <c r="GQ12" s="1300"/>
      <c r="GR12" s="1300"/>
      <c r="GS12" s="1300"/>
      <c r="GT12" s="1300"/>
      <c r="GU12" s="1300"/>
      <c r="GV12" s="1300"/>
      <c r="GW12" s="1300"/>
      <c r="GX12" s="1300"/>
      <c r="GY12" s="1300"/>
      <c r="GZ12" s="1300"/>
      <c r="HA12" s="1300"/>
      <c r="HB12" s="1300"/>
      <c r="HC12" s="1300"/>
      <c r="HD12" s="1300"/>
      <c r="HE12" s="1300"/>
      <c r="HF12" s="1300"/>
      <c r="HG12" s="1300"/>
      <c r="HH12" s="1300"/>
      <c r="HI12" s="1300"/>
      <c r="HJ12" s="1300"/>
      <c r="HK12" s="1300"/>
      <c r="HL12" s="1300"/>
      <c r="HM12" s="1300"/>
      <c r="HN12" s="1300"/>
      <c r="HO12" s="1300"/>
      <c r="HP12" s="1300"/>
      <c r="HQ12" s="1300"/>
      <c r="HR12" s="1300"/>
      <c r="HS12" s="1300"/>
      <c r="HT12" s="1300"/>
      <c r="HU12" s="1300"/>
      <c r="HV12" s="1300"/>
      <c r="HW12" s="1300"/>
      <c r="HX12" s="1300"/>
      <c r="HY12" s="1300"/>
      <c r="HZ12" s="1300"/>
      <c r="IA12" s="1300"/>
      <c r="IB12" s="1300"/>
      <c r="IC12" s="1300"/>
      <c r="ID12" s="1300"/>
      <c r="IE12" s="1300"/>
      <c r="IF12" s="1300"/>
      <c r="IG12" s="1300"/>
      <c r="IH12" s="1300"/>
      <c r="II12" s="1300"/>
      <c r="IJ12" s="1300"/>
      <c r="IK12" s="1300"/>
      <c r="IL12" s="1300"/>
      <c r="IM12" s="1300"/>
      <c r="IN12" s="1300"/>
      <c r="IO12" s="1300"/>
      <c r="IP12" s="1300"/>
      <c r="IQ12" s="1300"/>
      <c r="IR12" s="1300"/>
      <c r="IS12" s="1300"/>
      <c r="IT12" s="1300"/>
      <c r="IU12" s="1300"/>
      <c r="IV12" s="1300"/>
    </row>
    <row r="13" spans="1:256">
      <c r="A13" s="1295">
        <f t="shared" si="0"/>
        <v>10</v>
      </c>
      <c r="B13" s="1296"/>
      <c r="C13" s="1296"/>
      <c r="D13" s="1299" t="str">
        <f t="shared" si="1"/>
        <v xml:space="preserve"> </v>
      </c>
      <c r="E13" s="1299" t="str">
        <f t="shared" si="17"/>
        <v/>
      </c>
      <c r="F13" s="1298">
        <f t="shared" si="2"/>
        <v>40</v>
      </c>
      <c r="G13" s="1296"/>
      <c r="H13" s="1296"/>
      <c r="I13" s="1299" t="str">
        <f t="shared" si="3"/>
        <v xml:space="preserve"> </v>
      </c>
      <c r="J13" s="1299" t="str">
        <f t="shared" si="13"/>
        <v/>
      </c>
      <c r="K13" s="1295">
        <f t="shared" si="4"/>
        <v>70</v>
      </c>
      <c r="L13" s="1296"/>
      <c r="M13" s="1296"/>
      <c r="N13" s="1299" t="str">
        <f t="shared" si="5"/>
        <v xml:space="preserve"> </v>
      </c>
      <c r="O13" s="1299" t="str">
        <f t="shared" si="14"/>
        <v/>
      </c>
      <c r="P13" s="1295">
        <f t="shared" si="6"/>
        <v>100</v>
      </c>
      <c r="Q13" s="1296"/>
      <c r="R13" s="1296"/>
      <c r="S13" s="1299" t="str">
        <f t="shared" si="7"/>
        <v xml:space="preserve"> </v>
      </c>
      <c r="T13" s="1299" t="str">
        <f t="shared" si="12"/>
        <v/>
      </c>
      <c r="U13" s="1298">
        <f t="shared" si="8"/>
        <v>130</v>
      </c>
      <c r="V13" s="1296"/>
      <c r="W13" s="1296"/>
      <c r="X13" s="1299" t="str">
        <f t="shared" si="9"/>
        <v xml:space="preserve"> </v>
      </c>
      <c r="Y13" s="1299" t="str">
        <f t="shared" si="15"/>
        <v/>
      </c>
      <c r="Z13" s="1295">
        <f t="shared" si="10"/>
        <v>160</v>
      </c>
      <c r="AA13" s="1296"/>
      <c r="AB13" s="1296"/>
      <c r="AC13" s="1299" t="str">
        <f t="shared" si="11"/>
        <v xml:space="preserve"> </v>
      </c>
      <c r="AD13" s="1299" t="str">
        <f t="shared" si="16"/>
        <v/>
      </c>
      <c r="AE13" s="1300"/>
      <c r="AF13" s="1300"/>
      <c r="AG13" s="1300"/>
      <c r="AH13" s="1300"/>
      <c r="AI13" s="1300"/>
      <c r="AJ13" s="1300"/>
      <c r="AK13" s="1300"/>
      <c r="AL13" s="1300"/>
      <c r="AM13" s="1300"/>
      <c r="AN13" s="1300"/>
      <c r="AO13" s="1300"/>
      <c r="AP13" s="1300"/>
      <c r="AQ13" s="1300"/>
      <c r="AR13" s="1300"/>
      <c r="AS13" s="1300"/>
      <c r="AT13" s="1300"/>
      <c r="AU13" s="1300"/>
      <c r="AV13" s="1300"/>
      <c r="AW13" s="1300"/>
      <c r="AX13" s="1300"/>
      <c r="AY13" s="1300"/>
      <c r="AZ13" s="1300"/>
      <c r="BA13" s="1300"/>
      <c r="BB13" s="1300"/>
      <c r="BC13" s="1300"/>
      <c r="BD13" s="1300"/>
      <c r="BE13" s="1300"/>
      <c r="BF13" s="1300"/>
      <c r="BG13" s="1300"/>
      <c r="BH13" s="1300"/>
      <c r="BI13" s="1300"/>
      <c r="BJ13" s="1300"/>
      <c r="BK13" s="1300"/>
      <c r="BL13" s="1300"/>
      <c r="BM13" s="1300"/>
      <c r="BN13" s="1300"/>
      <c r="BO13" s="1300"/>
      <c r="BP13" s="1300"/>
      <c r="BQ13" s="1300"/>
      <c r="BR13" s="1300"/>
      <c r="BS13" s="1300"/>
      <c r="BT13" s="1300"/>
      <c r="BU13" s="1300"/>
      <c r="BV13" s="1300"/>
      <c r="BW13" s="1300"/>
      <c r="BX13" s="1300"/>
      <c r="BY13" s="1300"/>
      <c r="BZ13" s="1300"/>
      <c r="CA13" s="1300"/>
      <c r="CB13" s="1300"/>
      <c r="CC13" s="1300"/>
      <c r="CD13" s="1300"/>
      <c r="CE13" s="1300"/>
      <c r="CF13" s="1300"/>
      <c r="CG13" s="1300"/>
      <c r="CH13" s="1300"/>
      <c r="CI13" s="1300"/>
      <c r="CJ13" s="1300"/>
      <c r="CK13" s="1300"/>
      <c r="CL13" s="1300"/>
      <c r="CM13" s="1300"/>
      <c r="CN13" s="1300"/>
      <c r="CO13" s="1300"/>
      <c r="CP13" s="1300"/>
      <c r="CQ13" s="1300"/>
      <c r="CR13" s="1300"/>
      <c r="CS13" s="1300"/>
      <c r="CT13" s="1300"/>
      <c r="CU13" s="1300"/>
      <c r="CV13" s="1300"/>
      <c r="CW13" s="1300"/>
      <c r="CX13" s="1300"/>
      <c r="CY13" s="1300"/>
      <c r="CZ13" s="1300"/>
      <c r="DA13" s="1300"/>
      <c r="DB13" s="1300"/>
      <c r="DC13" s="1300"/>
      <c r="DD13" s="1300"/>
      <c r="DE13" s="1300"/>
      <c r="DF13" s="1300"/>
      <c r="DG13" s="1300"/>
      <c r="DH13" s="1300"/>
      <c r="DI13" s="1300"/>
      <c r="DJ13" s="1300"/>
      <c r="DK13" s="1300"/>
      <c r="DL13" s="1300"/>
      <c r="DM13" s="1300"/>
      <c r="DN13" s="1300"/>
      <c r="DO13" s="1300"/>
      <c r="DP13" s="1300"/>
      <c r="DQ13" s="1300"/>
      <c r="DR13" s="1300"/>
      <c r="DS13" s="1300"/>
      <c r="DT13" s="1300"/>
      <c r="DU13" s="1300"/>
      <c r="DV13" s="1300"/>
      <c r="DW13" s="1300"/>
      <c r="DX13" s="1300"/>
      <c r="DY13" s="1300"/>
      <c r="DZ13" s="1300"/>
      <c r="EA13" s="1300"/>
      <c r="EB13" s="1300"/>
      <c r="EC13" s="1300"/>
      <c r="ED13" s="1300"/>
      <c r="EE13" s="1300"/>
      <c r="EF13" s="1300"/>
      <c r="EG13" s="1300"/>
      <c r="EH13" s="1300"/>
      <c r="EI13" s="1300"/>
      <c r="EJ13" s="1300"/>
      <c r="EK13" s="1300"/>
      <c r="EL13" s="1300"/>
      <c r="EM13" s="1300"/>
      <c r="EN13" s="1300"/>
      <c r="EO13" s="1300"/>
      <c r="EP13" s="1300"/>
      <c r="EQ13" s="1300"/>
      <c r="ER13" s="1300"/>
      <c r="ES13" s="1300"/>
      <c r="ET13" s="1300"/>
      <c r="EU13" s="1300"/>
      <c r="EV13" s="1300"/>
      <c r="EW13" s="1300"/>
      <c r="EX13" s="1300"/>
      <c r="EY13" s="1300"/>
      <c r="EZ13" s="1300"/>
      <c r="FA13" s="1300"/>
      <c r="FB13" s="1300"/>
      <c r="FC13" s="1300"/>
      <c r="FD13" s="1300"/>
      <c r="FE13" s="1300"/>
      <c r="FF13" s="1300"/>
      <c r="FG13" s="1300"/>
      <c r="FH13" s="1300"/>
      <c r="FI13" s="1300"/>
      <c r="FJ13" s="1300"/>
      <c r="FK13" s="1300"/>
      <c r="FL13" s="1300"/>
      <c r="FM13" s="1300"/>
      <c r="FN13" s="1300"/>
      <c r="FO13" s="1300"/>
      <c r="FP13" s="1300"/>
      <c r="FQ13" s="1300"/>
      <c r="FR13" s="1300"/>
      <c r="FS13" s="1300"/>
      <c r="FT13" s="1300"/>
      <c r="FU13" s="1300"/>
      <c r="FV13" s="1300"/>
      <c r="FW13" s="1300"/>
      <c r="FX13" s="1300"/>
      <c r="FY13" s="1300"/>
      <c r="FZ13" s="1300"/>
      <c r="GA13" s="1300"/>
      <c r="GB13" s="1300"/>
      <c r="GC13" s="1300"/>
      <c r="GD13" s="1300"/>
      <c r="GE13" s="1300"/>
      <c r="GF13" s="1300"/>
      <c r="GG13" s="1300"/>
      <c r="GH13" s="1300"/>
      <c r="GI13" s="1300"/>
      <c r="GJ13" s="1300"/>
      <c r="GK13" s="1300"/>
      <c r="GL13" s="1300"/>
      <c r="GM13" s="1300"/>
      <c r="GN13" s="1300"/>
      <c r="GO13" s="1300"/>
      <c r="GP13" s="1300"/>
      <c r="GQ13" s="1300"/>
      <c r="GR13" s="1300"/>
      <c r="GS13" s="1300"/>
      <c r="GT13" s="1300"/>
      <c r="GU13" s="1300"/>
      <c r="GV13" s="1300"/>
      <c r="GW13" s="1300"/>
      <c r="GX13" s="1300"/>
      <c r="GY13" s="1300"/>
      <c r="GZ13" s="1300"/>
      <c r="HA13" s="1300"/>
      <c r="HB13" s="1300"/>
      <c r="HC13" s="1300"/>
      <c r="HD13" s="1300"/>
      <c r="HE13" s="1300"/>
      <c r="HF13" s="1300"/>
      <c r="HG13" s="1300"/>
      <c r="HH13" s="1300"/>
      <c r="HI13" s="1300"/>
      <c r="HJ13" s="1300"/>
      <c r="HK13" s="1300"/>
      <c r="HL13" s="1300"/>
      <c r="HM13" s="1300"/>
      <c r="HN13" s="1300"/>
      <c r="HO13" s="1300"/>
      <c r="HP13" s="1300"/>
      <c r="HQ13" s="1300"/>
      <c r="HR13" s="1300"/>
      <c r="HS13" s="1300"/>
      <c r="HT13" s="1300"/>
      <c r="HU13" s="1300"/>
      <c r="HV13" s="1300"/>
      <c r="HW13" s="1300"/>
      <c r="HX13" s="1300"/>
      <c r="HY13" s="1300"/>
      <c r="HZ13" s="1300"/>
      <c r="IA13" s="1300"/>
      <c r="IB13" s="1300"/>
      <c r="IC13" s="1300"/>
      <c r="ID13" s="1300"/>
      <c r="IE13" s="1300"/>
      <c r="IF13" s="1300"/>
      <c r="IG13" s="1300"/>
      <c r="IH13" s="1300"/>
      <c r="II13" s="1300"/>
      <c r="IJ13" s="1300"/>
      <c r="IK13" s="1300"/>
      <c r="IL13" s="1300"/>
      <c r="IM13" s="1300"/>
      <c r="IN13" s="1300"/>
      <c r="IO13" s="1300"/>
      <c r="IP13" s="1300"/>
      <c r="IQ13" s="1300"/>
      <c r="IR13" s="1300"/>
      <c r="IS13" s="1300"/>
      <c r="IT13" s="1300"/>
      <c r="IU13" s="1300"/>
      <c r="IV13" s="1300"/>
    </row>
    <row r="14" spans="1:256">
      <c r="A14" s="1295">
        <f t="shared" si="0"/>
        <v>11</v>
      </c>
      <c r="B14" s="1296"/>
      <c r="C14" s="1296"/>
      <c r="D14" s="1299" t="str">
        <f t="shared" si="1"/>
        <v xml:space="preserve"> </v>
      </c>
      <c r="E14" s="1299" t="str">
        <f t="shared" si="17"/>
        <v/>
      </c>
      <c r="F14" s="1298">
        <f t="shared" si="2"/>
        <v>41</v>
      </c>
      <c r="G14" s="1296"/>
      <c r="H14" s="1296"/>
      <c r="I14" s="1299" t="str">
        <f t="shared" si="3"/>
        <v xml:space="preserve"> </v>
      </c>
      <c r="J14" s="1299" t="str">
        <f t="shared" si="13"/>
        <v/>
      </c>
      <c r="K14" s="1295">
        <f t="shared" si="4"/>
        <v>71</v>
      </c>
      <c r="L14" s="1296"/>
      <c r="M14" s="1296"/>
      <c r="N14" s="1299" t="str">
        <f t="shared" si="5"/>
        <v xml:space="preserve"> </v>
      </c>
      <c r="O14" s="1299" t="str">
        <f t="shared" si="14"/>
        <v/>
      </c>
      <c r="P14" s="1295">
        <f t="shared" si="6"/>
        <v>101</v>
      </c>
      <c r="Q14" s="1296"/>
      <c r="R14" s="1296"/>
      <c r="S14" s="1299" t="str">
        <f t="shared" si="7"/>
        <v xml:space="preserve"> </v>
      </c>
      <c r="T14" s="1299" t="str">
        <f t="shared" si="12"/>
        <v/>
      </c>
      <c r="U14" s="1298">
        <f t="shared" si="8"/>
        <v>131</v>
      </c>
      <c r="V14" s="1296"/>
      <c r="W14" s="1296"/>
      <c r="X14" s="1299" t="str">
        <f t="shared" si="9"/>
        <v xml:space="preserve"> </v>
      </c>
      <c r="Y14" s="1299" t="str">
        <f t="shared" si="15"/>
        <v/>
      </c>
      <c r="Z14" s="1295">
        <f t="shared" si="10"/>
        <v>161</v>
      </c>
      <c r="AA14" s="1296"/>
      <c r="AB14" s="1296"/>
      <c r="AC14" s="1299" t="str">
        <f t="shared" si="11"/>
        <v xml:space="preserve"> </v>
      </c>
      <c r="AD14" s="1299" t="str">
        <f t="shared" si="16"/>
        <v/>
      </c>
      <c r="AE14" s="1300"/>
      <c r="AF14" s="1300"/>
      <c r="AG14" s="1300"/>
      <c r="AH14" s="1300"/>
      <c r="AI14" s="1300"/>
      <c r="AJ14" s="1300"/>
      <c r="AK14" s="1300"/>
      <c r="AL14" s="1300"/>
      <c r="AM14" s="1300"/>
      <c r="AN14" s="1300"/>
      <c r="AO14" s="1300"/>
      <c r="AP14" s="1300"/>
      <c r="AQ14" s="1300"/>
      <c r="AR14" s="1300"/>
      <c r="AS14" s="1300"/>
      <c r="AT14" s="1300"/>
      <c r="AU14" s="1300"/>
      <c r="AV14" s="1300"/>
      <c r="AW14" s="1300"/>
      <c r="AX14" s="1300"/>
      <c r="AY14" s="1300"/>
      <c r="AZ14" s="1300"/>
      <c r="BA14" s="1300"/>
      <c r="BB14" s="1300"/>
      <c r="BC14" s="1300"/>
      <c r="BD14" s="1300"/>
      <c r="BE14" s="1300"/>
      <c r="BF14" s="1300"/>
      <c r="BG14" s="1300"/>
      <c r="BH14" s="1300"/>
      <c r="BI14" s="1300"/>
      <c r="BJ14" s="1300"/>
      <c r="BK14" s="1300"/>
      <c r="BL14" s="1300"/>
      <c r="BM14" s="1300"/>
      <c r="BN14" s="1300"/>
      <c r="BO14" s="1300"/>
      <c r="BP14" s="1300"/>
      <c r="BQ14" s="1300"/>
      <c r="BR14" s="1300"/>
      <c r="BS14" s="1300"/>
      <c r="BT14" s="1300"/>
      <c r="BU14" s="1300"/>
      <c r="BV14" s="1300"/>
      <c r="BW14" s="1300"/>
      <c r="BX14" s="1300"/>
      <c r="BY14" s="1300"/>
      <c r="BZ14" s="1300"/>
      <c r="CA14" s="1300"/>
      <c r="CB14" s="1300"/>
      <c r="CC14" s="1300"/>
      <c r="CD14" s="1300"/>
      <c r="CE14" s="1300"/>
      <c r="CF14" s="1300"/>
      <c r="CG14" s="1300"/>
      <c r="CH14" s="1300"/>
      <c r="CI14" s="1300"/>
      <c r="CJ14" s="1300"/>
      <c r="CK14" s="1300"/>
      <c r="CL14" s="1300"/>
      <c r="CM14" s="1300"/>
      <c r="CN14" s="1300"/>
      <c r="CO14" s="1300"/>
      <c r="CP14" s="1300"/>
      <c r="CQ14" s="1300"/>
      <c r="CR14" s="1300"/>
      <c r="CS14" s="1300"/>
      <c r="CT14" s="1300"/>
      <c r="CU14" s="1300"/>
      <c r="CV14" s="1300"/>
      <c r="CW14" s="1300"/>
      <c r="CX14" s="1300"/>
      <c r="CY14" s="1300"/>
      <c r="CZ14" s="1300"/>
      <c r="DA14" s="1300"/>
      <c r="DB14" s="1300"/>
      <c r="DC14" s="1300"/>
      <c r="DD14" s="1300"/>
      <c r="DE14" s="1300"/>
      <c r="DF14" s="1300"/>
      <c r="DG14" s="1300"/>
      <c r="DH14" s="1300"/>
      <c r="DI14" s="1300"/>
      <c r="DJ14" s="1300"/>
      <c r="DK14" s="1300"/>
      <c r="DL14" s="1300"/>
      <c r="DM14" s="1300"/>
      <c r="DN14" s="1300"/>
      <c r="DO14" s="1300"/>
      <c r="DP14" s="1300"/>
      <c r="DQ14" s="1300"/>
      <c r="DR14" s="1300"/>
      <c r="DS14" s="1300"/>
      <c r="DT14" s="1300"/>
      <c r="DU14" s="1300"/>
      <c r="DV14" s="1300"/>
      <c r="DW14" s="1300"/>
      <c r="DX14" s="1300"/>
      <c r="DY14" s="1300"/>
      <c r="DZ14" s="1300"/>
      <c r="EA14" s="1300"/>
      <c r="EB14" s="1300"/>
      <c r="EC14" s="1300"/>
      <c r="ED14" s="1300"/>
      <c r="EE14" s="1300"/>
      <c r="EF14" s="1300"/>
      <c r="EG14" s="1300"/>
      <c r="EH14" s="1300"/>
      <c r="EI14" s="1300"/>
      <c r="EJ14" s="1300"/>
      <c r="EK14" s="1300"/>
      <c r="EL14" s="1300"/>
      <c r="EM14" s="1300"/>
      <c r="EN14" s="1300"/>
      <c r="EO14" s="1300"/>
      <c r="EP14" s="1300"/>
      <c r="EQ14" s="1300"/>
      <c r="ER14" s="1300"/>
      <c r="ES14" s="1300"/>
      <c r="ET14" s="1300"/>
      <c r="EU14" s="1300"/>
      <c r="EV14" s="1300"/>
      <c r="EW14" s="1300"/>
      <c r="EX14" s="1300"/>
      <c r="EY14" s="1300"/>
      <c r="EZ14" s="1300"/>
      <c r="FA14" s="1300"/>
      <c r="FB14" s="1300"/>
      <c r="FC14" s="1300"/>
      <c r="FD14" s="1300"/>
      <c r="FE14" s="1300"/>
      <c r="FF14" s="1300"/>
      <c r="FG14" s="1300"/>
      <c r="FH14" s="1300"/>
      <c r="FI14" s="1300"/>
      <c r="FJ14" s="1300"/>
      <c r="FK14" s="1300"/>
      <c r="FL14" s="1300"/>
      <c r="FM14" s="1300"/>
      <c r="FN14" s="1300"/>
      <c r="FO14" s="1300"/>
      <c r="FP14" s="1300"/>
      <c r="FQ14" s="1300"/>
      <c r="FR14" s="1300"/>
      <c r="FS14" s="1300"/>
      <c r="FT14" s="1300"/>
      <c r="FU14" s="1300"/>
      <c r="FV14" s="1300"/>
      <c r="FW14" s="1300"/>
      <c r="FX14" s="1300"/>
      <c r="FY14" s="1300"/>
      <c r="FZ14" s="1300"/>
      <c r="GA14" s="1300"/>
      <c r="GB14" s="1300"/>
      <c r="GC14" s="1300"/>
      <c r="GD14" s="1300"/>
      <c r="GE14" s="1300"/>
      <c r="GF14" s="1300"/>
      <c r="GG14" s="1300"/>
      <c r="GH14" s="1300"/>
      <c r="GI14" s="1300"/>
      <c r="GJ14" s="1300"/>
      <c r="GK14" s="1300"/>
      <c r="GL14" s="1300"/>
      <c r="GM14" s="1300"/>
      <c r="GN14" s="1300"/>
      <c r="GO14" s="1300"/>
      <c r="GP14" s="1300"/>
      <c r="GQ14" s="1300"/>
      <c r="GR14" s="1300"/>
      <c r="GS14" s="1300"/>
      <c r="GT14" s="1300"/>
      <c r="GU14" s="1300"/>
      <c r="GV14" s="1300"/>
      <c r="GW14" s="1300"/>
      <c r="GX14" s="1300"/>
      <c r="GY14" s="1300"/>
      <c r="GZ14" s="1300"/>
      <c r="HA14" s="1300"/>
      <c r="HB14" s="1300"/>
      <c r="HC14" s="1300"/>
      <c r="HD14" s="1300"/>
      <c r="HE14" s="1300"/>
      <c r="HF14" s="1300"/>
      <c r="HG14" s="1300"/>
      <c r="HH14" s="1300"/>
      <c r="HI14" s="1300"/>
      <c r="HJ14" s="1300"/>
      <c r="HK14" s="1300"/>
      <c r="HL14" s="1300"/>
      <c r="HM14" s="1300"/>
      <c r="HN14" s="1300"/>
      <c r="HO14" s="1300"/>
      <c r="HP14" s="1300"/>
      <c r="HQ14" s="1300"/>
      <c r="HR14" s="1300"/>
      <c r="HS14" s="1300"/>
      <c r="HT14" s="1300"/>
      <c r="HU14" s="1300"/>
      <c r="HV14" s="1300"/>
      <c r="HW14" s="1300"/>
      <c r="HX14" s="1300"/>
      <c r="HY14" s="1300"/>
      <c r="HZ14" s="1300"/>
      <c r="IA14" s="1300"/>
      <c r="IB14" s="1300"/>
      <c r="IC14" s="1300"/>
      <c r="ID14" s="1300"/>
      <c r="IE14" s="1300"/>
      <c r="IF14" s="1300"/>
      <c r="IG14" s="1300"/>
      <c r="IH14" s="1300"/>
      <c r="II14" s="1300"/>
      <c r="IJ14" s="1300"/>
      <c r="IK14" s="1300"/>
      <c r="IL14" s="1300"/>
      <c r="IM14" s="1300"/>
      <c r="IN14" s="1300"/>
      <c r="IO14" s="1300"/>
      <c r="IP14" s="1300"/>
      <c r="IQ14" s="1300"/>
      <c r="IR14" s="1300"/>
      <c r="IS14" s="1300"/>
      <c r="IT14" s="1300"/>
      <c r="IU14" s="1300"/>
      <c r="IV14" s="1300"/>
    </row>
    <row r="15" spans="1:256">
      <c r="A15" s="1295">
        <f t="shared" si="0"/>
        <v>12</v>
      </c>
      <c r="B15" s="1296"/>
      <c r="C15" s="1296"/>
      <c r="D15" s="1299" t="str">
        <f t="shared" si="1"/>
        <v xml:space="preserve"> </v>
      </c>
      <c r="E15" s="1299" t="str">
        <f t="shared" si="17"/>
        <v/>
      </c>
      <c r="F15" s="1298">
        <f t="shared" si="2"/>
        <v>42</v>
      </c>
      <c r="G15" s="1302"/>
      <c r="H15" s="1302"/>
      <c r="I15" s="1299" t="str">
        <f t="shared" si="3"/>
        <v xml:space="preserve"> </v>
      </c>
      <c r="J15" s="1299" t="str">
        <f t="shared" si="13"/>
        <v/>
      </c>
      <c r="K15" s="1295">
        <f t="shared" si="4"/>
        <v>72</v>
      </c>
      <c r="L15" s="1302"/>
      <c r="M15" s="1302"/>
      <c r="N15" s="1299" t="str">
        <f t="shared" si="5"/>
        <v xml:space="preserve"> </v>
      </c>
      <c r="O15" s="1299" t="str">
        <f t="shared" si="14"/>
        <v/>
      </c>
      <c r="P15" s="1295">
        <f t="shared" si="6"/>
        <v>102</v>
      </c>
      <c r="Q15" s="1296"/>
      <c r="R15" s="1296"/>
      <c r="S15" s="1299" t="str">
        <f t="shared" si="7"/>
        <v xml:space="preserve"> </v>
      </c>
      <c r="T15" s="1299" t="str">
        <f t="shared" si="12"/>
        <v/>
      </c>
      <c r="U15" s="1298">
        <f t="shared" si="8"/>
        <v>132</v>
      </c>
      <c r="V15" s="1296"/>
      <c r="W15" s="1296"/>
      <c r="X15" s="1299" t="str">
        <f t="shared" si="9"/>
        <v xml:space="preserve"> </v>
      </c>
      <c r="Y15" s="1299" t="str">
        <f t="shared" si="15"/>
        <v/>
      </c>
      <c r="Z15" s="1295">
        <f t="shared" si="10"/>
        <v>162</v>
      </c>
      <c r="AA15" s="1296"/>
      <c r="AB15" s="1296"/>
      <c r="AC15" s="1299" t="str">
        <f t="shared" si="11"/>
        <v xml:space="preserve"> </v>
      </c>
      <c r="AD15" s="1299" t="str">
        <f t="shared" si="16"/>
        <v/>
      </c>
      <c r="AE15" s="1300"/>
      <c r="AF15" s="1300"/>
      <c r="AG15" s="1300"/>
      <c r="AH15" s="1300"/>
      <c r="AI15" s="1300"/>
      <c r="AJ15" s="1300"/>
      <c r="AK15" s="1300"/>
      <c r="AL15" s="1300"/>
      <c r="AM15" s="1300"/>
      <c r="AN15" s="1300"/>
      <c r="AO15" s="1300"/>
      <c r="AP15" s="1300"/>
      <c r="AQ15" s="1300"/>
      <c r="AR15" s="1300"/>
      <c r="AS15" s="1300"/>
      <c r="AT15" s="1300"/>
      <c r="AU15" s="1300"/>
      <c r="AV15" s="1300"/>
      <c r="AW15" s="1300"/>
      <c r="AX15" s="1300"/>
      <c r="AY15" s="1300"/>
      <c r="AZ15" s="1300"/>
      <c r="BA15" s="1300"/>
      <c r="BB15" s="1300"/>
      <c r="BC15" s="1300"/>
      <c r="BD15" s="1300"/>
      <c r="BE15" s="1300"/>
      <c r="BF15" s="1300"/>
      <c r="BG15" s="1300"/>
      <c r="BH15" s="1300"/>
      <c r="BI15" s="1300"/>
      <c r="BJ15" s="1300"/>
      <c r="BK15" s="1300"/>
      <c r="BL15" s="1300"/>
      <c r="BM15" s="1300"/>
      <c r="BN15" s="1300"/>
      <c r="BO15" s="1300"/>
      <c r="BP15" s="1300"/>
      <c r="BQ15" s="1300"/>
      <c r="BR15" s="1300"/>
      <c r="BS15" s="1300"/>
      <c r="BT15" s="1300"/>
      <c r="BU15" s="1300"/>
      <c r="BV15" s="1300"/>
      <c r="BW15" s="1300"/>
      <c r="BX15" s="1300"/>
      <c r="BY15" s="1300"/>
      <c r="BZ15" s="1300"/>
      <c r="CA15" s="1300"/>
      <c r="CB15" s="1300"/>
      <c r="CC15" s="1300"/>
      <c r="CD15" s="1300"/>
      <c r="CE15" s="1300"/>
      <c r="CF15" s="1300"/>
      <c r="CG15" s="1300"/>
      <c r="CH15" s="1300"/>
      <c r="CI15" s="1300"/>
      <c r="CJ15" s="1300"/>
      <c r="CK15" s="1300"/>
      <c r="CL15" s="1300"/>
      <c r="CM15" s="1300"/>
      <c r="CN15" s="1300"/>
      <c r="CO15" s="1300"/>
      <c r="CP15" s="1300"/>
      <c r="CQ15" s="1300"/>
      <c r="CR15" s="1300"/>
      <c r="CS15" s="1300"/>
      <c r="CT15" s="1300"/>
      <c r="CU15" s="1300"/>
      <c r="CV15" s="1300"/>
      <c r="CW15" s="1300"/>
      <c r="CX15" s="1300"/>
      <c r="CY15" s="1300"/>
      <c r="CZ15" s="1300"/>
      <c r="DA15" s="1300"/>
      <c r="DB15" s="1300"/>
      <c r="DC15" s="1300"/>
      <c r="DD15" s="1300"/>
      <c r="DE15" s="1300"/>
      <c r="DF15" s="1300"/>
      <c r="DG15" s="1300"/>
      <c r="DH15" s="1300"/>
      <c r="DI15" s="1300"/>
      <c r="DJ15" s="1300"/>
      <c r="DK15" s="1300"/>
      <c r="DL15" s="1300"/>
      <c r="DM15" s="1300"/>
      <c r="DN15" s="1300"/>
      <c r="DO15" s="1300"/>
      <c r="DP15" s="1300"/>
      <c r="DQ15" s="1300"/>
      <c r="DR15" s="1300"/>
      <c r="DS15" s="1300"/>
      <c r="DT15" s="1300"/>
      <c r="DU15" s="1300"/>
      <c r="DV15" s="1300"/>
      <c r="DW15" s="1300"/>
      <c r="DX15" s="1300"/>
      <c r="DY15" s="1300"/>
      <c r="DZ15" s="1300"/>
      <c r="EA15" s="1300"/>
      <c r="EB15" s="1300"/>
      <c r="EC15" s="1300"/>
      <c r="ED15" s="1300"/>
      <c r="EE15" s="1300"/>
      <c r="EF15" s="1300"/>
      <c r="EG15" s="1300"/>
      <c r="EH15" s="1300"/>
      <c r="EI15" s="1300"/>
      <c r="EJ15" s="1300"/>
      <c r="EK15" s="1300"/>
      <c r="EL15" s="1300"/>
      <c r="EM15" s="1300"/>
      <c r="EN15" s="1300"/>
      <c r="EO15" s="1300"/>
      <c r="EP15" s="1300"/>
      <c r="EQ15" s="1300"/>
      <c r="ER15" s="1300"/>
      <c r="ES15" s="1300"/>
      <c r="ET15" s="1300"/>
      <c r="EU15" s="1300"/>
      <c r="EV15" s="1300"/>
      <c r="EW15" s="1300"/>
      <c r="EX15" s="1300"/>
      <c r="EY15" s="1300"/>
      <c r="EZ15" s="1300"/>
      <c r="FA15" s="1300"/>
      <c r="FB15" s="1300"/>
      <c r="FC15" s="1300"/>
      <c r="FD15" s="1300"/>
      <c r="FE15" s="1300"/>
      <c r="FF15" s="1300"/>
      <c r="FG15" s="1300"/>
      <c r="FH15" s="1300"/>
      <c r="FI15" s="1300"/>
      <c r="FJ15" s="1300"/>
      <c r="FK15" s="1300"/>
      <c r="FL15" s="1300"/>
      <c r="FM15" s="1300"/>
      <c r="FN15" s="1300"/>
      <c r="FO15" s="1300"/>
      <c r="FP15" s="1300"/>
      <c r="FQ15" s="1300"/>
      <c r="FR15" s="1300"/>
      <c r="FS15" s="1300"/>
      <c r="FT15" s="1300"/>
      <c r="FU15" s="1300"/>
      <c r="FV15" s="1300"/>
      <c r="FW15" s="1300"/>
      <c r="FX15" s="1300"/>
      <c r="FY15" s="1300"/>
      <c r="FZ15" s="1300"/>
      <c r="GA15" s="1300"/>
      <c r="GB15" s="1300"/>
      <c r="GC15" s="1300"/>
      <c r="GD15" s="1300"/>
      <c r="GE15" s="1300"/>
      <c r="GF15" s="1300"/>
      <c r="GG15" s="1300"/>
      <c r="GH15" s="1300"/>
      <c r="GI15" s="1300"/>
      <c r="GJ15" s="1300"/>
      <c r="GK15" s="1300"/>
      <c r="GL15" s="1300"/>
      <c r="GM15" s="1300"/>
      <c r="GN15" s="1300"/>
      <c r="GO15" s="1300"/>
      <c r="GP15" s="1300"/>
      <c r="GQ15" s="1300"/>
      <c r="GR15" s="1300"/>
      <c r="GS15" s="1300"/>
      <c r="GT15" s="1300"/>
      <c r="GU15" s="1300"/>
      <c r="GV15" s="1300"/>
      <c r="GW15" s="1300"/>
      <c r="GX15" s="1300"/>
      <c r="GY15" s="1300"/>
      <c r="GZ15" s="1300"/>
      <c r="HA15" s="1300"/>
      <c r="HB15" s="1300"/>
      <c r="HC15" s="1300"/>
      <c r="HD15" s="1300"/>
      <c r="HE15" s="1300"/>
      <c r="HF15" s="1300"/>
      <c r="HG15" s="1300"/>
      <c r="HH15" s="1300"/>
      <c r="HI15" s="1300"/>
      <c r="HJ15" s="1300"/>
      <c r="HK15" s="1300"/>
      <c r="HL15" s="1300"/>
      <c r="HM15" s="1300"/>
      <c r="HN15" s="1300"/>
      <c r="HO15" s="1300"/>
      <c r="HP15" s="1300"/>
      <c r="HQ15" s="1300"/>
      <c r="HR15" s="1300"/>
      <c r="HS15" s="1300"/>
      <c r="HT15" s="1300"/>
      <c r="HU15" s="1300"/>
      <c r="HV15" s="1300"/>
      <c r="HW15" s="1300"/>
      <c r="HX15" s="1300"/>
      <c r="HY15" s="1300"/>
      <c r="HZ15" s="1300"/>
      <c r="IA15" s="1300"/>
      <c r="IB15" s="1300"/>
      <c r="IC15" s="1300"/>
      <c r="ID15" s="1300"/>
      <c r="IE15" s="1300"/>
      <c r="IF15" s="1300"/>
      <c r="IG15" s="1300"/>
      <c r="IH15" s="1300"/>
      <c r="II15" s="1300"/>
      <c r="IJ15" s="1300"/>
      <c r="IK15" s="1300"/>
      <c r="IL15" s="1300"/>
      <c r="IM15" s="1300"/>
      <c r="IN15" s="1300"/>
      <c r="IO15" s="1300"/>
      <c r="IP15" s="1300"/>
      <c r="IQ15" s="1300"/>
      <c r="IR15" s="1300"/>
      <c r="IS15" s="1300"/>
      <c r="IT15" s="1300"/>
      <c r="IU15" s="1300"/>
      <c r="IV15" s="1300"/>
    </row>
    <row r="16" spans="1:256">
      <c r="A16" s="1295">
        <f t="shared" si="0"/>
        <v>13</v>
      </c>
      <c r="B16" s="1296"/>
      <c r="C16" s="1296"/>
      <c r="D16" s="1299" t="str">
        <f t="shared" si="1"/>
        <v xml:space="preserve"> </v>
      </c>
      <c r="E16" s="1299" t="str">
        <f t="shared" si="17"/>
        <v/>
      </c>
      <c r="F16" s="1298">
        <f t="shared" si="2"/>
        <v>43</v>
      </c>
      <c r="G16" s="1296"/>
      <c r="H16" s="1296"/>
      <c r="I16" s="1299" t="str">
        <f t="shared" si="3"/>
        <v xml:space="preserve"> </v>
      </c>
      <c r="J16" s="1299" t="str">
        <f t="shared" si="13"/>
        <v/>
      </c>
      <c r="K16" s="1295">
        <f t="shared" si="4"/>
        <v>73</v>
      </c>
      <c r="L16" s="1296"/>
      <c r="M16" s="1296"/>
      <c r="N16" s="1299" t="str">
        <f t="shared" si="5"/>
        <v xml:space="preserve"> </v>
      </c>
      <c r="O16" s="1299" t="str">
        <f t="shared" si="14"/>
        <v/>
      </c>
      <c r="P16" s="1295">
        <f t="shared" si="6"/>
        <v>103</v>
      </c>
      <c r="Q16" s="1296"/>
      <c r="R16" s="1296"/>
      <c r="S16" s="1299" t="str">
        <f t="shared" si="7"/>
        <v xml:space="preserve"> </v>
      </c>
      <c r="T16" s="1299" t="str">
        <f t="shared" si="12"/>
        <v/>
      </c>
      <c r="U16" s="1298">
        <f t="shared" si="8"/>
        <v>133</v>
      </c>
      <c r="V16" s="1296"/>
      <c r="W16" s="1296"/>
      <c r="X16" s="1299" t="str">
        <f t="shared" si="9"/>
        <v xml:space="preserve"> </v>
      </c>
      <c r="Y16" s="1299" t="str">
        <f t="shared" si="15"/>
        <v/>
      </c>
      <c r="Z16" s="1295">
        <f t="shared" si="10"/>
        <v>163</v>
      </c>
      <c r="AA16" s="1296"/>
      <c r="AB16" s="1296"/>
      <c r="AC16" s="1299" t="str">
        <f t="shared" si="11"/>
        <v xml:space="preserve"> </v>
      </c>
      <c r="AD16" s="1299" t="str">
        <f t="shared" si="16"/>
        <v/>
      </c>
      <c r="AE16" s="1300"/>
      <c r="AF16" s="1300"/>
      <c r="AG16" s="1300"/>
      <c r="AH16" s="1300"/>
      <c r="AI16" s="1300"/>
      <c r="AJ16" s="1300"/>
      <c r="AK16" s="1300"/>
      <c r="AL16" s="1300"/>
      <c r="AM16" s="1300"/>
      <c r="AN16" s="1300"/>
      <c r="AO16" s="1300"/>
      <c r="AP16" s="1300"/>
      <c r="AQ16" s="1300"/>
      <c r="AR16" s="1300"/>
      <c r="AS16" s="1300"/>
      <c r="AT16" s="1300"/>
      <c r="AU16" s="1300"/>
      <c r="AV16" s="1300"/>
      <c r="AW16" s="1300"/>
      <c r="AX16" s="1300"/>
      <c r="AY16" s="1300"/>
      <c r="AZ16" s="1300"/>
      <c r="BA16" s="1300"/>
      <c r="BB16" s="1300"/>
      <c r="BC16" s="1300"/>
      <c r="BD16" s="1300"/>
      <c r="BE16" s="1300"/>
      <c r="BF16" s="1300"/>
      <c r="BG16" s="1300"/>
      <c r="BH16" s="1300"/>
      <c r="BI16" s="1300"/>
      <c r="BJ16" s="1300"/>
      <c r="BK16" s="1300"/>
      <c r="BL16" s="1300"/>
      <c r="BM16" s="1300"/>
      <c r="BN16" s="1300"/>
      <c r="BO16" s="1300"/>
      <c r="BP16" s="1300"/>
      <c r="BQ16" s="1300"/>
      <c r="BR16" s="1300"/>
      <c r="BS16" s="1300"/>
      <c r="BT16" s="1300"/>
      <c r="BU16" s="1300"/>
      <c r="BV16" s="1300"/>
      <c r="BW16" s="1300"/>
      <c r="BX16" s="1300"/>
      <c r="BY16" s="1300"/>
      <c r="BZ16" s="1300"/>
      <c r="CA16" s="1300"/>
      <c r="CB16" s="1300"/>
      <c r="CC16" s="1300"/>
      <c r="CD16" s="1300"/>
      <c r="CE16" s="1300"/>
      <c r="CF16" s="1300"/>
      <c r="CG16" s="1300"/>
      <c r="CH16" s="1300"/>
      <c r="CI16" s="1300"/>
      <c r="CJ16" s="1300"/>
      <c r="CK16" s="1300"/>
      <c r="CL16" s="1300"/>
      <c r="CM16" s="1300"/>
      <c r="CN16" s="1300"/>
      <c r="CO16" s="1300"/>
      <c r="CP16" s="1300"/>
      <c r="CQ16" s="1300"/>
      <c r="CR16" s="1300"/>
      <c r="CS16" s="1300"/>
      <c r="CT16" s="1300"/>
      <c r="CU16" s="1300"/>
      <c r="CV16" s="1300"/>
      <c r="CW16" s="1300"/>
      <c r="CX16" s="1300"/>
      <c r="CY16" s="1300"/>
      <c r="CZ16" s="1300"/>
      <c r="DA16" s="1300"/>
      <c r="DB16" s="1300"/>
      <c r="DC16" s="1300"/>
      <c r="DD16" s="1300"/>
      <c r="DE16" s="1300"/>
      <c r="DF16" s="1300"/>
      <c r="DG16" s="1300"/>
      <c r="DH16" s="1300"/>
      <c r="DI16" s="1300"/>
      <c r="DJ16" s="1300"/>
      <c r="DK16" s="1300"/>
      <c r="DL16" s="1300"/>
      <c r="DM16" s="1300"/>
      <c r="DN16" s="1300"/>
      <c r="DO16" s="1300"/>
      <c r="DP16" s="1300"/>
      <c r="DQ16" s="1300"/>
      <c r="DR16" s="1300"/>
      <c r="DS16" s="1300"/>
      <c r="DT16" s="1300"/>
      <c r="DU16" s="1300"/>
      <c r="DV16" s="1300"/>
      <c r="DW16" s="1300"/>
      <c r="DX16" s="1300"/>
      <c r="DY16" s="1300"/>
      <c r="DZ16" s="1300"/>
      <c r="EA16" s="1300"/>
      <c r="EB16" s="1300"/>
      <c r="EC16" s="1300"/>
      <c r="ED16" s="1300"/>
      <c r="EE16" s="1300"/>
      <c r="EF16" s="1300"/>
      <c r="EG16" s="1300"/>
      <c r="EH16" s="1300"/>
      <c r="EI16" s="1300"/>
      <c r="EJ16" s="1300"/>
      <c r="EK16" s="1300"/>
      <c r="EL16" s="1300"/>
      <c r="EM16" s="1300"/>
      <c r="EN16" s="1300"/>
      <c r="EO16" s="1300"/>
      <c r="EP16" s="1300"/>
      <c r="EQ16" s="1300"/>
      <c r="ER16" s="1300"/>
      <c r="ES16" s="1300"/>
      <c r="ET16" s="1300"/>
      <c r="EU16" s="1300"/>
      <c r="EV16" s="1300"/>
      <c r="EW16" s="1300"/>
      <c r="EX16" s="1300"/>
      <c r="EY16" s="1300"/>
      <c r="EZ16" s="1300"/>
      <c r="FA16" s="1300"/>
      <c r="FB16" s="1300"/>
      <c r="FC16" s="1300"/>
      <c r="FD16" s="1300"/>
      <c r="FE16" s="1300"/>
      <c r="FF16" s="1300"/>
      <c r="FG16" s="1300"/>
      <c r="FH16" s="1300"/>
      <c r="FI16" s="1300"/>
      <c r="FJ16" s="1300"/>
      <c r="FK16" s="1300"/>
      <c r="FL16" s="1300"/>
      <c r="FM16" s="1300"/>
      <c r="FN16" s="1300"/>
      <c r="FO16" s="1300"/>
      <c r="FP16" s="1300"/>
      <c r="FQ16" s="1300"/>
      <c r="FR16" s="1300"/>
      <c r="FS16" s="1300"/>
      <c r="FT16" s="1300"/>
      <c r="FU16" s="1300"/>
      <c r="FV16" s="1300"/>
      <c r="FW16" s="1300"/>
      <c r="FX16" s="1300"/>
      <c r="FY16" s="1300"/>
      <c r="FZ16" s="1300"/>
      <c r="GA16" s="1300"/>
      <c r="GB16" s="1300"/>
      <c r="GC16" s="1300"/>
      <c r="GD16" s="1300"/>
      <c r="GE16" s="1300"/>
      <c r="GF16" s="1300"/>
      <c r="GG16" s="1300"/>
      <c r="GH16" s="1300"/>
      <c r="GI16" s="1300"/>
      <c r="GJ16" s="1300"/>
      <c r="GK16" s="1300"/>
      <c r="GL16" s="1300"/>
      <c r="GM16" s="1300"/>
      <c r="GN16" s="1300"/>
      <c r="GO16" s="1300"/>
      <c r="GP16" s="1300"/>
      <c r="GQ16" s="1300"/>
      <c r="GR16" s="1300"/>
      <c r="GS16" s="1300"/>
      <c r="GT16" s="1300"/>
      <c r="GU16" s="1300"/>
      <c r="GV16" s="1300"/>
      <c r="GW16" s="1300"/>
      <c r="GX16" s="1300"/>
      <c r="GY16" s="1300"/>
      <c r="GZ16" s="1300"/>
      <c r="HA16" s="1300"/>
      <c r="HB16" s="1300"/>
      <c r="HC16" s="1300"/>
      <c r="HD16" s="1300"/>
      <c r="HE16" s="1300"/>
      <c r="HF16" s="1300"/>
      <c r="HG16" s="1300"/>
      <c r="HH16" s="1300"/>
      <c r="HI16" s="1300"/>
      <c r="HJ16" s="1300"/>
      <c r="HK16" s="1300"/>
      <c r="HL16" s="1300"/>
      <c r="HM16" s="1300"/>
      <c r="HN16" s="1300"/>
      <c r="HO16" s="1300"/>
      <c r="HP16" s="1300"/>
      <c r="HQ16" s="1300"/>
      <c r="HR16" s="1300"/>
      <c r="HS16" s="1300"/>
      <c r="HT16" s="1300"/>
      <c r="HU16" s="1300"/>
      <c r="HV16" s="1300"/>
      <c r="HW16" s="1300"/>
      <c r="HX16" s="1300"/>
      <c r="HY16" s="1300"/>
      <c r="HZ16" s="1300"/>
      <c r="IA16" s="1300"/>
      <c r="IB16" s="1300"/>
      <c r="IC16" s="1300"/>
      <c r="ID16" s="1300"/>
      <c r="IE16" s="1300"/>
      <c r="IF16" s="1300"/>
      <c r="IG16" s="1300"/>
      <c r="IH16" s="1300"/>
      <c r="II16" s="1300"/>
      <c r="IJ16" s="1300"/>
      <c r="IK16" s="1300"/>
      <c r="IL16" s="1300"/>
      <c r="IM16" s="1300"/>
      <c r="IN16" s="1300"/>
      <c r="IO16" s="1300"/>
      <c r="IP16" s="1300"/>
      <c r="IQ16" s="1300"/>
      <c r="IR16" s="1300"/>
      <c r="IS16" s="1300"/>
      <c r="IT16" s="1300"/>
      <c r="IU16" s="1300"/>
      <c r="IV16" s="1300"/>
    </row>
    <row r="17" spans="1:256">
      <c r="A17" s="1295">
        <f t="shared" si="0"/>
        <v>14</v>
      </c>
      <c r="B17" s="1296"/>
      <c r="C17" s="1296"/>
      <c r="D17" s="1299" t="str">
        <f t="shared" si="1"/>
        <v xml:space="preserve"> </v>
      </c>
      <c r="E17" s="1299" t="str">
        <f t="shared" si="17"/>
        <v/>
      </c>
      <c r="F17" s="1298">
        <f t="shared" si="2"/>
        <v>44</v>
      </c>
      <c r="G17" s="1296"/>
      <c r="H17" s="1296"/>
      <c r="I17" s="1299" t="str">
        <f t="shared" si="3"/>
        <v xml:space="preserve"> </v>
      </c>
      <c r="J17" s="1299" t="str">
        <f t="shared" si="13"/>
        <v/>
      </c>
      <c r="K17" s="1295">
        <f t="shared" si="4"/>
        <v>74</v>
      </c>
      <c r="L17" s="1296"/>
      <c r="M17" s="1296"/>
      <c r="N17" s="1299" t="str">
        <f t="shared" si="5"/>
        <v xml:space="preserve"> </v>
      </c>
      <c r="O17" s="1299" t="str">
        <f t="shared" si="14"/>
        <v/>
      </c>
      <c r="P17" s="1295">
        <f t="shared" si="6"/>
        <v>104</v>
      </c>
      <c r="Q17" s="1296"/>
      <c r="R17" s="1296"/>
      <c r="S17" s="1299" t="str">
        <f t="shared" si="7"/>
        <v xml:space="preserve"> </v>
      </c>
      <c r="T17" s="1299" t="str">
        <f t="shared" si="12"/>
        <v/>
      </c>
      <c r="U17" s="1298">
        <f t="shared" si="8"/>
        <v>134</v>
      </c>
      <c r="V17" s="1296"/>
      <c r="W17" s="1296"/>
      <c r="X17" s="1299" t="str">
        <f t="shared" si="9"/>
        <v xml:space="preserve"> </v>
      </c>
      <c r="Y17" s="1299" t="str">
        <f t="shared" si="15"/>
        <v/>
      </c>
      <c r="Z17" s="1295">
        <f t="shared" si="10"/>
        <v>164</v>
      </c>
      <c r="AA17" s="1296"/>
      <c r="AB17" s="1296"/>
      <c r="AC17" s="1299" t="str">
        <f t="shared" si="11"/>
        <v xml:space="preserve"> </v>
      </c>
      <c r="AD17" s="1299" t="str">
        <f t="shared" si="16"/>
        <v/>
      </c>
      <c r="AE17" s="1300"/>
      <c r="AF17" s="1300"/>
      <c r="AG17" s="1300"/>
      <c r="AH17" s="1300"/>
      <c r="AI17" s="1300"/>
      <c r="AJ17" s="1300"/>
      <c r="AK17" s="1300"/>
      <c r="AL17" s="1300"/>
      <c r="AM17" s="1300"/>
      <c r="AN17" s="1300"/>
      <c r="AO17" s="1300"/>
      <c r="AP17" s="1300"/>
      <c r="AQ17" s="1300"/>
      <c r="AR17" s="1300"/>
      <c r="AS17" s="1300"/>
      <c r="AT17" s="1300"/>
      <c r="AU17" s="1300"/>
      <c r="AV17" s="1300"/>
      <c r="AW17" s="1300"/>
      <c r="AX17" s="1300"/>
      <c r="AY17" s="1300"/>
      <c r="AZ17" s="1300"/>
      <c r="BA17" s="1300"/>
      <c r="BB17" s="1300"/>
      <c r="BC17" s="1300"/>
      <c r="BD17" s="1300"/>
      <c r="BE17" s="1300"/>
      <c r="BF17" s="1300"/>
      <c r="BG17" s="1300"/>
      <c r="BH17" s="1300"/>
      <c r="BI17" s="1300"/>
      <c r="BJ17" s="1300"/>
      <c r="BK17" s="1300"/>
      <c r="BL17" s="1300"/>
      <c r="BM17" s="1300"/>
      <c r="BN17" s="1300"/>
      <c r="BO17" s="1300"/>
      <c r="BP17" s="1300"/>
      <c r="BQ17" s="1300"/>
      <c r="BR17" s="1300"/>
      <c r="BS17" s="1300"/>
      <c r="BT17" s="1300"/>
      <c r="BU17" s="1300"/>
      <c r="BV17" s="1300"/>
      <c r="BW17" s="1300"/>
      <c r="BX17" s="1300"/>
      <c r="BY17" s="1300"/>
      <c r="BZ17" s="1300"/>
      <c r="CA17" s="1300"/>
      <c r="CB17" s="1300"/>
      <c r="CC17" s="1300"/>
      <c r="CD17" s="1300"/>
      <c r="CE17" s="1300"/>
      <c r="CF17" s="1300"/>
      <c r="CG17" s="1300"/>
      <c r="CH17" s="1300"/>
      <c r="CI17" s="1300"/>
      <c r="CJ17" s="1300"/>
      <c r="CK17" s="1300"/>
      <c r="CL17" s="1300"/>
      <c r="CM17" s="1300"/>
      <c r="CN17" s="1300"/>
      <c r="CO17" s="1300"/>
      <c r="CP17" s="1300"/>
      <c r="CQ17" s="1300"/>
      <c r="CR17" s="1300"/>
      <c r="CS17" s="1300"/>
      <c r="CT17" s="1300"/>
      <c r="CU17" s="1300"/>
      <c r="CV17" s="1300"/>
      <c r="CW17" s="1300"/>
      <c r="CX17" s="1300"/>
      <c r="CY17" s="1300"/>
      <c r="CZ17" s="1300"/>
      <c r="DA17" s="1300"/>
      <c r="DB17" s="1300"/>
      <c r="DC17" s="1300"/>
      <c r="DD17" s="1300"/>
      <c r="DE17" s="1300"/>
      <c r="DF17" s="1300"/>
      <c r="DG17" s="1300"/>
      <c r="DH17" s="1300"/>
      <c r="DI17" s="1300"/>
      <c r="DJ17" s="1300"/>
      <c r="DK17" s="1300"/>
      <c r="DL17" s="1300"/>
      <c r="DM17" s="1300"/>
      <c r="DN17" s="1300"/>
      <c r="DO17" s="1300"/>
      <c r="DP17" s="1300"/>
      <c r="DQ17" s="1300"/>
      <c r="DR17" s="1300"/>
      <c r="DS17" s="1300"/>
      <c r="DT17" s="1300"/>
      <c r="DU17" s="1300"/>
      <c r="DV17" s="1300"/>
      <c r="DW17" s="1300"/>
      <c r="DX17" s="1300"/>
      <c r="DY17" s="1300"/>
      <c r="DZ17" s="1300"/>
      <c r="EA17" s="1300"/>
      <c r="EB17" s="1300"/>
      <c r="EC17" s="1300"/>
      <c r="ED17" s="1300"/>
      <c r="EE17" s="1300"/>
      <c r="EF17" s="1300"/>
      <c r="EG17" s="1300"/>
      <c r="EH17" s="1300"/>
      <c r="EI17" s="1300"/>
      <c r="EJ17" s="1300"/>
      <c r="EK17" s="1300"/>
      <c r="EL17" s="1300"/>
      <c r="EM17" s="1300"/>
      <c r="EN17" s="1300"/>
      <c r="EO17" s="1300"/>
      <c r="EP17" s="1300"/>
      <c r="EQ17" s="1300"/>
      <c r="ER17" s="1300"/>
      <c r="ES17" s="1300"/>
      <c r="ET17" s="1300"/>
      <c r="EU17" s="1300"/>
      <c r="EV17" s="1300"/>
      <c r="EW17" s="1300"/>
      <c r="EX17" s="1300"/>
      <c r="EY17" s="1300"/>
      <c r="EZ17" s="1300"/>
      <c r="FA17" s="1300"/>
      <c r="FB17" s="1300"/>
      <c r="FC17" s="1300"/>
      <c r="FD17" s="1300"/>
      <c r="FE17" s="1300"/>
      <c r="FF17" s="1300"/>
      <c r="FG17" s="1300"/>
      <c r="FH17" s="1300"/>
      <c r="FI17" s="1300"/>
      <c r="FJ17" s="1300"/>
      <c r="FK17" s="1300"/>
      <c r="FL17" s="1300"/>
      <c r="FM17" s="1300"/>
      <c r="FN17" s="1300"/>
      <c r="FO17" s="1300"/>
      <c r="FP17" s="1300"/>
      <c r="FQ17" s="1300"/>
      <c r="FR17" s="1300"/>
      <c r="FS17" s="1300"/>
      <c r="FT17" s="1300"/>
      <c r="FU17" s="1300"/>
      <c r="FV17" s="1300"/>
      <c r="FW17" s="1300"/>
      <c r="FX17" s="1300"/>
      <c r="FY17" s="1300"/>
      <c r="FZ17" s="1300"/>
      <c r="GA17" s="1300"/>
      <c r="GB17" s="1300"/>
      <c r="GC17" s="1300"/>
      <c r="GD17" s="1300"/>
      <c r="GE17" s="1300"/>
      <c r="GF17" s="1300"/>
      <c r="GG17" s="1300"/>
      <c r="GH17" s="1300"/>
      <c r="GI17" s="1300"/>
      <c r="GJ17" s="1300"/>
      <c r="GK17" s="1300"/>
      <c r="GL17" s="1300"/>
      <c r="GM17" s="1300"/>
      <c r="GN17" s="1300"/>
      <c r="GO17" s="1300"/>
      <c r="GP17" s="1300"/>
      <c r="GQ17" s="1300"/>
      <c r="GR17" s="1300"/>
      <c r="GS17" s="1300"/>
      <c r="GT17" s="1300"/>
      <c r="GU17" s="1300"/>
      <c r="GV17" s="1300"/>
      <c r="GW17" s="1300"/>
      <c r="GX17" s="1300"/>
      <c r="GY17" s="1300"/>
      <c r="GZ17" s="1300"/>
      <c r="HA17" s="1300"/>
      <c r="HB17" s="1300"/>
      <c r="HC17" s="1300"/>
      <c r="HD17" s="1300"/>
      <c r="HE17" s="1300"/>
      <c r="HF17" s="1300"/>
      <c r="HG17" s="1300"/>
      <c r="HH17" s="1300"/>
      <c r="HI17" s="1300"/>
      <c r="HJ17" s="1300"/>
      <c r="HK17" s="1300"/>
      <c r="HL17" s="1300"/>
      <c r="HM17" s="1300"/>
      <c r="HN17" s="1300"/>
      <c r="HO17" s="1300"/>
      <c r="HP17" s="1300"/>
      <c r="HQ17" s="1300"/>
      <c r="HR17" s="1300"/>
      <c r="HS17" s="1300"/>
      <c r="HT17" s="1300"/>
      <c r="HU17" s="1300"/>
      <c r="HV17" s="1300"/>
      <c r="HW17" s="1300"/>
      <c r="HX17" s="1300"/>
      <c r="HY17" s="1300"/>
      <c r="HZ17" s="1300"/>
      <c r="IA17" s="1300"/>
      <c r="IB17" s="1300"/>
      <c r="IC17" s="1300"/>
      <c r="ID17" s="1300"/>
      <c r="IE17" s="1300"/>
      <c r="IF17" s="1300"/>
      <c r="IG17" s="1300"/>
      <c r="IH17" s="1300"/>
      <c r="II17" s="1300"/>
      <c r="IJ17" s="1300"/>
      <c r="IK17" s="1300"/>
      <c r="IL17" s="1300"/>
      <c r="IM17" s="1300"/>
      <c r="IN17" s="1300"/>
      <c r="IO17" s="1300"/>
      <c r="IP17" s="1300"/>
      <c r="IQ17" s="1300"/>
      <c r="IR17" s="1300"/>
      <c r="IS17" s="1300"/>
      <c r="IT17" s="1300"/>
      <c r="IU17" s="1300"/>
      <c r="IV17" s="1300"/>
    </row>
    <row r="18" spans="1:256">
      <c r="A18" s="1295">
        <f t="shared" si="0"/>
        <v>15</v>
      </c>
      <c r="B18" s="1296"/>
      <c r="C18" s="1296"/>
      <c r="D18" s="1299" t="str">
        <f t="shared" si="1"/>
        <v xml:space="preserve"> </v>
      </c>
      <c r="E18" s="1299" t="str">
        <f t="shared" si="17"/>
        <v/>
      </c>
      <c r="F18" s="1298">
        <f t="shared" si="2"/>
        <v>45</v>
      </c>
      <c r="G18" s="1296"/>
      <c r="H18" s="1296"/>
      <c r="I18" s="1299" t="str">
        <f t="shared" si="3"/>
        <v xml:space="preserve"> </v>
      </c>
      <c r="J18" s="1299" t="str">
        <f t="shared" si="13"/>
        <v/>
      </c>
      <c r="K18" s="1295">
        <f t="shared" si="4"/>
        <v>75</v>
      </c>
      <c r="L18" s="1296"/>
      <c r="M18" s="1296"/>
      <c r="N18" s="1299" t="str">
        <f t="shared" si="5"/>
        <v xml:space="preserve"> </v>
      </c>
      <c r="O18" s="1299" t="str">
        <f t="shared" si="14"/>
        <v/>
      </c>
      <c r="P18" s="1295">
        <f t="shared" si="6"/>
        <v>105</v>
      </c>
      <c r="Q18" s="1296"/>
      <c r="R18" s="1296"/>
      <c r="S18" s="1299" t="str">
        <f t="shared" si="7"/>
        <v xml:space="preserve"> </v>
      </c>
      <c r="T18" s="1299" t="str">
        <f t="shared" si="12"/>
        <v/>
      </c>
      <c r="U18" s="1298">
        <f t="shared" si="8"/>
        <v>135</v>
      </c>
      <c r="V18" s="1296"/>
      <c r="W18" s="1296"/>
      <c r="X18" s="1299" t="str">
        <f t="shared" si="9"/>
        <v xml:space="preserve"> </v>
      </c>
      <c r="Y18" s="1299" t="str">
        <f t="shared" si="15"/>
        <v/>
      </c>
      <c r="Z18" s="1295">
        <f t="shared" si="10"/>
        <v>165</v>
      </c>
      <c r="AA18" s="1296"/>
      <c r="AB18" s="1296"/>
      <c r="AC18" s="1299" t="str">
        <f t="shared" si="11"/>
        <v xml:space="preserve"> </v>
      </c>
      <c r="AD18" s="1299" t="str">
        <f t="shared" si="16"/>
        <v/>
      </c>
      <c r="AE18" s="1300"/>
      <c r="AF18" s="1300"/>
      <c r="AG18" s="1300"/>
      <c r="AH18" s="1300"/>
      <c r="AI18" s="1300"/>
      <c r="AJ18" s="1300"/>
      <c r="AK18" s="1300"/>
      <c r="AL18" s="1300"/>
      <c r="AM18" s="1300"/>
      <c r="AN18" s="1300"/>
      <c r="AO18" s="1300"/>
      <c r="AP18" s="1300"/>
      <c r="AQ18" s="1300"/>
      <c r="AR18" s="1300"/>
      <c r="AS18" s="1300"/>
      <c r="AT18" s="1300"/>
      <c r="AU18" s="1300"/>
      <c r="AV18" s="1300"/>
      <c r="AW18" s="1300"/>
      <c r="AX18" s="1300"/>
      <c r="AY18" s="1300"/>
      <c r="AZ18" s="1300"/>
      <c r="BA18" s="1300"/>
      <c r="BB18" s="1300"/>
      <c r="BC18" s="1300"/>
      <c r="BD18" s="1300"/>
      <c r="BE18" s="1300"/>
      <c r="BF18" s="1300"/>
      <c r="BG18" s="1300"/>
      <c r="BH18" s="1300"/>
      <c r="BI18" s="1300"/>
      <c r="BJ18" s="1300"/>
      <c r="BK18" s="1300"/>
      <c r="BL18" s="1300"/>
      <c r="BM18" s="1300"/>
      <c r="BN18" s="1300"/>
      <c r="BO18" s="1300"/>
      <c r="BP18" s="1300"/>
      <c r="BQ18" s="1300"/>
      <c r="BR18" s="1300"/>
      <c r="BS18" s="1300"/>
      <c r="BT18" s="1300"/>
      <c r="BU18" s="1300"/>
      <c r="BV18" s="1300"/>
      <c r="BW18" s="1300"/>
      <c r="BX18" s="1300"/>
      <c r="BY18" s="1300"/>
      <c r="BZ18" s="1300"/>
      <c r="CA18" s="1300"/>
      <c r="CB18" s="1300"/>
      <c r="CC18" s="1300"/>
      <c r="CD18" s="1300"/>
      <c r="CE18" s="1300"/>
      <c r="CF18" s="1300"/>
      <c r="CG18" s="1300"/>
      <c r="CH18" s="1300"/>
      <c r="CI18" s="1300"/>
      <c r="CJ18" s="1300"/>
      <c r="CK18" s="1300"/>
      <c r="CL18" s="1300"/>
      <c r="CM18" s="1300"/>
      <c r="CN18" s="1300"/>
      <c r="CO18" s="1300"/>
      <c r="CP18" s="1300"/>
      <c r="CQ18" s="1300"/>
      <c r="CR18" s="1300"/>
      <c r="CS18" s="1300"/>
      <c r="CT18" s="1300"/>
      <c r="CU18" s="1300"/>
      <c r="CV18" s="1300"/>
      <c r="CW18" s="1300"/>
      <c r="CX18" s="1300"/>
      <c r="CY18" s="1300"/>
      <c r="CZ18" s="1300"/>
      <c r="DA18" s="1300"/>
      <c r="DB18" s="1300"/>
      <c r="DC18" s="1300"/>
      <c r="DD18" s="1300"/>
      <c r="DE18" s="1300"/>
      <c r="DF18" s="1300"/>
      <c r="DG18" s="1300"/>
      <c r="DH18" s="1300"/>
      <c r="DI18" s="1300"/>
      <c r="DJ18" s="1300"/>
      <c r="DK18" s="1300"/>
      <c r="DL18" s="1300"/>
      <c r="DM18" s="1300"/>
      <c r="DN18" s="1300"/>
      <c r="DO18" s="1300"/>
      <c r="DP18" s="1300"/>
      <c r="DQ18" s="1300"/>
      <c r="DR18" s="1300"/>
      <c r="DS18" s="1300"/>
      <c r="DT18" s="1300"/>
      <c r="DU18" s="1300"/>
      <c r="DV18" s="1300"/>
      <c r="DW18" s="1300"/>
      <c r="DX18" s="1300"/>
      <c r="DY18" s="1300"/>
      <c r="DZ18" s="1300"/>
      <c r="EA18" s="1300"/>
      <c r="EB18" s="1300"/>
      <c r="EC18" s="1300"/>
      <c r="ED18" s="1300"/>
      <c r="EE18" s="1300"/>
      <c r="EF18" s="1300"/>
      <c r="EG18" s="1300"/>
      <c r="EH18" s="1300"/>
      <c r="EI18" s="1300"/>
      <c r="EJ18" s="1300"/>
      <c r="EK18" s="1300"/>
      <c r="EL18" s="1300"/>
      <c r="EM18" s="1300"/>
      <c r="EN18" s="1300"/>
      <c r="EO18" s="1300"/>
      <c r="EP18" s="1300"/>
      <c r="EQ18" s="1300"/>
      <c r="ER18" s="1300"/>
      <c r="ES18" s="1300"/>
      <c r="ET18" s="1300"/>
      <c r="EU18" s="1300"/>
      <c r="EV18" s="1300"/>
      <c r="EW18" s="1300"/>
      <c r="EX18" s="1300"/>
      <c r="EY18" s="1300"/>
      <c r="EZ18" s="1300"/>
      <c r="FA18" s="1300"/>
      <c r="FB18" s="1300"/>
      <c r="FC18" s="1300"/>
      <c r="FD18" s="1300"/>
      <c r="FE18" s="1300"/>
      <c r="FF18" s="1300"/>
      <c r="FG18" s="1300"/>
      <c r="FH18" s="1300"/>
      <c r="FI18" s="1300"/>
      <c r="FJ18" s="1300"/>
      <c r="FK18" s="1300"/>
      <c r="FL18" s="1300"/>
      <c r="FM18" s="1300"/>
      <c r="FN18" s="1300"/>
      <c r="FO18" s="1300"/>
      <c r="FP18" s="1300"/>
      <c r="FQ18" s="1300"/>
      <c r="FR18" s="1300"/>
      <c r="FS18" s="1300"/>
      <c r="FT18" s="1300"/>
      <c r="FU18" s="1300"/>
      <c r="FV18" s="1300"/>
      <c r="FW18" s="1300"/>
      <c r="FX18" s="1300"/>
      <c r="FY18" s="1300"/>
      <c r="FZ18" s="1300"/>
      <c r="GA18" s="1300"/>
      <c r="GB18" s="1300"/>
      <c r="GC18" s="1300"/>
      <c r="GD18" s="1300"/>
      <c r="GE18" s="1300"/>
      <c r="GF18" s="1300"/>
      <c r="GG18" s="1300"/>
      <c r="GH18" s="1300"/>
      <c r="GI18" s="1300"/>
      <c r="GJ18" s="1300"/>
      <c r="GK18" s="1300"/>
      <c r="GL18" s="1300"/>
      <c r="GM18" s="1300"/>
      <c r="GN18" s="1300"/>
      <c r="GO18" s="1300"/>
      <c r="GP18" s="1300"/>
      <c r="GQ18" s="1300"/>
      <c r="GR18" s="1300"/>
      <c r="GS18" s="1300"/>
      <c r="GT18" s="1300"/>
      <c r="GU18" s="1300"/>
      <c r="GV18" s="1300"/>
      <c r="GW18" s="1300"/>
      <c r="GX18" s="1300"/>
      <c r="GY18" s="1300"/>
      <c r="GZ18" s="1300"/>
      <c r="HA18" s="1300"/>
      <c r="HB18" s="1300"/>
      <c r="HC18" s="1300"/>
      <c r="HD18" s="1300"/>
      <c r="HE18" s="1300"/>
      <c r="HF18" s="1300"/>
      <c r="HG18" s="1300"/>
      <c r="HH18" s="1300"/>
      <c r="HI18" s="1300"/>
      <c r="HJ18" s="1300"/>
      <c r="HK18" s="1300"/>
      <c r="HL18" s="1300"/>
      <c r="HM18" s="1300"/>
      <c r="HN18" s="1300"/>
      <c r="HO18" s="1300"/>
      <c r="HP18" s="1300"/>
      <c r="HQ18" s="1300"/>
      <c r="HR18" s="1300"/>
      <c r="HS18" s="1300"/>
      <c r="HT18" s="1300"/>
      <c r="HU18" s="1300"/>
      <c r="HV18" s="1300"/>
      <c r="HW18" s="1300"/>
      <c r="HX18" s="1300"/>
      <c r="HY18" s="1300"/>
      <c r="HZ18" s="1300"/>
      <c r="IA18" s="1300"/>
      <c r="IB18" s="1300"/>
      <c r="IC18" s="1300"/>
      <c r="ID18" s="1300"/>
      <c r="IE18" s="1300"/>
      <c r="IF18" s="1300"/>
      <c r="IG18" s="1300"/>
      <c r="IH18" s="1300"/>
      <c r="II18" s="1300"/>
      <c r="IJ18" s="1300"/>
      <c r="IK18" s="1300"/>
      <c r="IL18" s="1300"/>
      <c r="IM18" s="1300"/>
      <c r="IN18" s="1300"/>
      <c r="IO18" s="1300"/>
      <c r="IP18" s="1300"/>
      <c r="IQ18" s="1300"/>
      <c r="IR18" s="1300"/>
      <c r="IS18" s="1300"/>
      <c r="IT18" s="1300"/>
      <c r="IU18" s="1300"/>
      <c r="IV18" s="1300"/>
    </row>
    <row r="19" spans="1:256">
      <c r="A19" s="1295">
        <f t="shared" si="0"/>
        <v>16</v>
      </c>
      <c r="B19" s="1296"/>
      <c r="C19" s="1296"/>
      <c r="D19" s="1299" t="str">
        <f t="shared" si="1"/>
        <v xml:space="preserve"> </v>
      </c>
      <c r="E19" s="1299" t="str">
        <f t="shared" si="17"/>
        <v/>
      </c>
      <c r="F19" s="1298">
        <f t="shared" si="2"/>
        <v>46</v>
      </c>
      <c r="G19" s="1303"/>
      <c r="H19" s="1303"/>
      <c r="I19" s="1299" t="str">
        <f t="shared" si="3"/>
        <v xml:space="preserve"> </v>
      </c>
      <c r="J19" s="1299" t="str">
        <f t="shared" si="13"/>
        <v/>
      </c>
      <c r="K19" s="1295">
        <f t="shared" si="4"/>
        <v>76</v>
      </c>
      <c r="L19" s="1303"/>
      <c r="M19" s="1303"/>
      <c r="N19" s="1299" t="str">
        <f t="shared" si="5"/>
        <v xml:space="preserve"> </v>
      </c>
      <c r="O19" s="1299" t="str">
        <f t="shared" si="14"/>
        <v/>
      </c>
      <c r="P19" s="1295">
        <f t="shared" si="6"/>
        <v>106</v>
      </c>
      <c r="Q19" s="1296"/>
      <c r="R19" s="1296"/>
      <c r="S19" s="1299" t="str">
        <f t="shared" si="7"/>
        <v xml:space="preserve"> </v>
      </c>
      <c r="T19" s="1299" t="str">
        <f t="shared" si="12"/>
        <v/>
      </c>
      <c r="U19" s="1298">
        <f t="shared" si="8"/>
        <v>136</v>
      </c>
      <c r="V19" s="1296"/>
      <c r="W19" s="1296"/>
      <c r="X19" s="1299" t="str">
        <f t="shared" si="9"/>
        <v xml:space="preserve"> </v>
      </c>
      <c r="Y19" s="1299" t="str">
        <f t="shared" si="15"/>
        <v/>
      </c>
      <c r="Z19" s="1295">
        <f t="shared" si="10"/>
        <v>166</v>
      </c>
      <c r="AA19" s="1296"/>
      <c r="AB19" s="1296"/>
      <c r="AC19" s="1299" t="str">
        <f t="shared" si="11"/>
        <v xml:space="preserve"> </v>
      </c>
      <c r="AD19" s="1299" t="str">
        <f t="shared" si="16"/>
        <v/>
      </c>
      <c r="AE19" s="1300"/>
      <c r="AF19" s="1300"/>
      <c r="AG19" s="1300"/>
      <c r="AH19" s="1300"/>
      <c r="AI19" s="1300"/>
      <c r="AJ19" s="1300"/>
      <c r="AK19" s="1300"/>
      <c r="AL19" s="1300"/>
      <c r="AM19" s="1300"/>
      <c r="AN19" s="1300"/>
      <c r="AO19" s="1300"/>
      <c r="AP19" s="1300"/>
      <c r="AQ19" s="1300"/>
      <c r="AR19" s="1300"/>
      <c r="AS19" s="1300"/>
      <c r="AT19" s="1300"/>
      <c r="AU19" s="1300"/>
      <c r="AV19" s="1300"/>
      <c r="AW19" s="1300"/>
      <c r="AX19" s="1300"/>
      <c r="AY19" s="1300"/>
      <c r="AZ19" s="1300"/>
      <c r="BA19" s="1300"/>
      <c r="BB19" s="1300"/>
      <c r="BC19" s="1300"/>
      <c r="BD19" s="1300"/>
      <c r="BE19" s="1300"/>
      <c r="BF19" s="1300"/>
      <c r="BG19" s="1300"/>
      <c r="BH19" s="1300"/>
      <c r="BI19" s="1300"/>
      <c r="BJ19" s="1300"/>
      <c r="BK19" s="1300"/>
      <c r="BL19" s="1300"/>
      <c r="BM19" s="1300"/>
      <c r="BN19" s="1300"/>
      <c r="BO19" s="1300"/>
      <c r="BP19" s="1300"/>
      <c r="BQ19" s="1300"/>
      <c r="BR19" s="1300"/>
      <c r="BS19" s="1300"/>
      <c r="BT19" s="1300"/>
      <c r="BU19" s="1300"/>
      <c r="BV19" s="1300"/>
      <c r="BW19" s="1300"/>
      <c r="BX19" s="1300"/>
      <c r="BY19" s="1300"/>
      <c r="BZ19" s="1300"/>
      <c r="CA19" s="1300"/>
      <c r="CB19" s="1300"/>
      <c r="CC19" s="1300"/>
      <c r="CD19" s="1300"/>
      <c r="CE19" s="1300"/>
      <c r="CF19" s="1300"/>
      <c r="CG19" s="1300"/>
      <c r="CH19" s="1300"/>
      <c r="CI19" s="1300"/>
      <c r="CJ19" s="1300"/>
      <c r="CK19" s="1300"/>
      <c r="CL19" s="1300"/>
      <c r="CM19" s="1300"/>
      <c r="CN19" s="1300"/>
      <c r="CO19" s="1300"/>
      <c r="CP19" s="1300"/>
      <c r="CQ19" s="1300"/>
      <c r="CR19" s="1300"/>
      <c r="CS19" s="1300"/>
      <c r="CT19" s="1300"/>
      <c r="CU19" s="1300"/>
      <c r="CV19" s="1300"/>
      <c r="CW19" s="1300"/>
      <c r="CX19" s="1300"/>
      <c r="CY19" s="1300"/>
      <c r="CZ19" s="1300"/>
      <c r="DA19" s="1300"/>
      <c r="DB19" s="1300"/>
      <c r="DC19" s="1300"/>
      <c r="DD19" s="1300"/>
      <c r="DE19" s="1300"/>
      <c r="DF19" s="1300"/>
      <c r="DG19" s="1300"/>
      <c r="DH19" s="1300"/>
      <c r="DI19" s="1300"/>
      <c r="DJ19" s="1300"/>
      <c r="DK19" s="1300"/>
      <c r="DL19" s="1300"/>
      <c r="DM19" s="1300"/>
      <c r="DN19" s="1300"/>
      <c r="DO19" s="1300"/>
      <c r="DP19" s="1300"/>
      <c r="DQ19" s="1300"/>
      <c r="DR19" s="1300"/>
      <c r="DS19" s="1300"/>
      <c r="DT19" s="1300"/>
      <c r="DU19" s="1300"/>
      <c r="DV19" s="1300"/>
      <c r="DW19" s="1300"/>
      <c r="DX19" s="1300"/>
      <c r="DY19" s="1300"/>
      <c r="DZ19" s="1300"/>
      <c r="EA19" s="1300"/>
      <c r="EB19" s="1300"/>
      <c r="EC19" s="1300"/>
      <c r="ED19" s="1300"/>
      <c r="EE19" s="1300"/>
      <c r="EF19" s="1300"/>
      <c r="EG19" s="1300"/>
      <c r="EH19" s="1300"/>
      <c r="EI19" s="1300"/>
      <c r="EJ19" s="1300"/>
      <c r="EK19" s="1300"/>
      <c r="EL19" s="1300"/>
      <c r="EM19" s="1300"/>
      <c r="EN19" s="1300"/>
      <c r="EO19" s="1300"/>
      <c r="EP19" s="1300"/>
      <c r="EQ19" s="1300"/>
      <c r="ER19" s="1300"/>
      <c r="ES19" s="1300"/>
      <c r="ET19" s="1300"/>
      <c r="EU19" s="1300"/>
      <c r="EV19" s="1300"/>
      <c r="EW19" s="1300"/>
      <c r="EX19" s="1300"/>
      <c r="EY19" s="1300"/>
      <c r="EZ19" s="1300"/>
      <c r="FA19" s="1300"/>
      <c r="FB19" s="1300"/>
      <c r="FC19" s="1300"/>
      <c r="FD19" s="1300"/>
      <c r="FE19" s="1300"/>
      <c r="FF19" s="1300"/>
      <c r="FG19" s="1300"/>
      <c r="FH19" s="1300"/>
      <c r="FI19" s="1300"/>
      <c r="FJ19" s="1300"/>
      <c r="FK19" s="1300"/>
      <c r="FL19" s="1300"/>
      <c r="FM19" s="1300"/>
      <c r="FN19" s="1300"/>
      <c r="FO19" s="1300"/>
      <c r="FP19" s="1300"/>
      <c r="FQ19" s="1300"/>
      <c r="FR19" s="1300"/>
      <c r="FS19" s="1300"/>
      <c r="FT19" s="1300"/>
      <c r="FU19" s="1300"/>
      <c r="FV19" s="1300"/>
      <c r="FW19" s="1300"/>
      <c r="FX19" s="1300"/>
      <c r="FY19" s="1300"/>
      <c r="FZ19" s="1300"/>
      <c r="GA19" s="1300"/>
      <c r="GB19" s="1300"/>
      <c r="GC19" s="1300"/>
      <c r="GD19" s="1300"/>
      <c r="GE19" s="1300"/>
      <c r="GF19" s="1300"/>
      <c r="GG19" s="1300"/>
      <c r="GH19" s="1300"/>
      <c r="GI19" s="1300"/>
      <c r="GJ19" s="1300"/>
      <c r="GK19" s="1300"/>
      <c r="GL19" s="1300"/>
      <c r="GM19" s="1300"/>
      <c r="GN19" s="1300"/>
      <c r="GO19" s="1300"/>
      <c r="GP19" s="1300"/>
      <c r="GQ19" s="1300"/>
      <c r="GR19" s="1300"/>
      <c r="GS19" s="1300"/>
      <c r="GT19" s="1300"/>
      <c r="GU19" s="1300"/>
      <c r="GV19" s="1300"/>
      <c r="GW19" s="1300"/>
      <c r="GX19" s="1300"/>
      <c r="GY19" s="1300"/>
      <c r="GZ19" s="1300"/>
      <c r="HA19" s="1300"/>
      <c r="HB19" s="1300"/>
      <c r="HC19" s="1300"/>
      <c r="HD19" s="1300"/>
      <c r="HE19" s="1300"/>
      <c r="HF19" s="1300"/>
      <c r="HG19" s="1300"/>
      <c r="HH19" s="1300"/>
      <c r="HI19" s="1300"/>
      <c r="HJ19" s="1300"/>
      <c r="HK19" s="1300"/>
      <c r="HL19" s="1300"/>
      <c r="HM19" s="1300"/>
      <c r="HN19" s="1300"/>
      <c r="HO19" s="1300"/>
      <c r="HP19" s="1300"/>
      <c r="HQ19" s="1300"/>
      <c r="HR19" s="1300"/>
      <c r="HS19" s="1300"/>
      <c r="HT19" s="1300"/>
      <c r="HU19" s="1300"/>
      <c r="HV19" s="1300"/>
      <c r="HW19" s="1300"/>
      <c r="HX19" s="1300"/>
      <c r="HY19" s="1300"/>
      <c r="HZ19" s="1300"/>
      <c r="IA19" s="1300"/>
      <c r="IB19" s="1300"/>
      <c r="IC19" s="1300"/>
      <c r="ID19" s="1300"/>
      <c r="IE19" s="1300"/>
      <c r="IF19" s="1300"/>
      <c r="IG19" s="1300"/>
      <c r="IH19" s="1300"/>
      <c r="II19" s="1300"/>
      <c r="IJ19" s="1300"/>
      <c r="IK19" s="1300"/>
      <c r="IL19" s="1300"/>
      <c r="IM19" s="1300"/>
      <c r="IN19" s="1300"/>
      <c r="IO19" s="1300"/>
      <c r="IP19" s="1300"/>
      <c r="IQ19" s="1300"/>
      <c r="IR19" s="1300"/>
      <c r="IS19" s="1300"/>
      <c r="IT19" s="1300"/>
      <c r="IU19" s="1300"/>
      <c r="IV19" s="1300"/>
    </row>
    <row r="20" spans="1:256">
      <c r="A20" s="1295">
        <f t="shared" si="0"/>
        <v>17</v>
      </c>
      <c r="B20" s="1296"/>
      <c r="C20" s="1296"/>
      <c r="D20" s="1299" t="str">
        <f t="shared" si="1"/>
        <v xml:space="preserve"> </v>
      </c>
      <c r="E20" s="1299" t="str">
        <f t="shared" si="17"/>
        <v/>
      </c>
      <c r="F20" s="1298">
        <f t="shared" si="2"/>
        <v>47</v>
      </c>
      <c r="G20" s="1296"/>
      <c r="H20" s="1296"/>
      <c r="I20" s="1299" t="str">
        <f t="shared" si="3"/>
        <v xml:space="preserve"> </v>
      </c>
      <c r="J20" s="1299" t="str">
        <f t="shared" si="13"/>
        <v/>
      </c>
      <c r="K20" s="1295">
        <f t="shared" si="4"/>
        <v>77</v>
      </c>
      <c r="L20" s="1296"/>
      <c r="M20" s="1296"/>
      <c r="N20" s="1299" t="str">
        <f t="shared" si="5"/>
        <v xml:space="preserve"> </v>
      </c>
      <c r="O20" s="1299" t="str">
        <f t="shared" si="14"/>
        <v/>
      </c>
      <c r="P20" s="1295">
        <f t="shared" si="6"/>
        <v>107</v>
      </c>
      <c r="Q20" s="1296"/>
      <c r="R20" s="1296"/>
      <c r="S20" s="1299" t="str">
        <f t="shared" si="7"/>
        <v xml:space="preserve"> </v>
      </c>
      <c r="T20" s="1299" t="str">
        <f t="shared" si="12"/>
        <v/>
      </c>
      <c r="U20" s="1298">
        <f t="shared" si="8"/>
        <v>137</v>
      </c>
      <c r="V20" s="1296"/>
      <c r="W20" s="1296"/>
      <c r="X20" s="1299" t="str">
        <f t="shared" si="9"/>
        <v xml:space="preserve"> </v>
      </c>
      <c r="Y20" s="1299" t="str">
        <f t="shared" si="15"/>
        <v/>
      </c>
      <c r="Z20" s="1295">
        <f t="shared" si="10"/>
        <v>167</v>
      </c>
      <c r="AA20" s="1296"/>
      <c r="AB20" s="1296"/>
      <c r="AC20" s="1299" t="str">
        <f t="shared" si="11"/>
        <v xml:space="preserve"> </v>
      </c>
      <c r="AD20" s="1299" t="str">
        <f t="shared" si="16"/>
        <v/>
      </c>
      <c r="AE20" s="1300"/>
      <c r="AF20" s="1300"/>
      <c r="AG20" s="1300"/>
      <c r="AH20" s="1300"/>
      <c r="AI20" s="1300"/>
      <c r="AJ20" s="1300"/>
      <c r="AK20" s="1300"/>
      <c r="AL20" s="1300"/>
      <c r="AM20" s="1300"/>
      <c r="AN20" s="1300"/>
      <c r="AO20" s="1300"/>
      <c r="AP20" s="1300"/>
      <c r="AQ20" s="1300"/>
      <c r="AR20" s="1300"/>
      <c r="AS20" s="1300"/>
      <c r="AT20" s="1300"/>
      <c r="AU20" s="1300"/>
      <c r="AV20" s="1300"/>
      <c r="AW20" s="1300"/>
      <c r="AX20" s="1300"/>
      <c r="AY20" s="1300"/>
      <c r="AZ20" s="1300"/>
      <c r="BA20" s="1300"/>
      <c r="BB20" s="1300"/>
      <c r="BC20" s="1300"/>
      <c r="BD20" s="1300"/>
      <c r="BE20" s="1300"/>
      <c r="BF20" s="1300"/>
      <c r="BG20" s="1300"/>
      <c r="BH20" s="1300"/>
      <c r="BI20" s="1300"/>
      <c r="BJ20" s="1300"/>
      <c r="BK20" s="1300"/>
      <c r="BL20" s="1300"/>
      <c r="BM20" s="1300"/>
      <c r="BN20" s="1300"/>
      <c r="BO20" s="1300"/>
      <c r="BP20" s="1300"/>
      <c r="BQ20" s="1300"/>
      <c r="BR20" s="1300"/>
      <c r="BS20" s="1300"/>
      <c r="BT20" s="1300"/>
      <c r="BU20" s="1300"/>
      <c r="BV20" s="1300"/>
      <c r="BW20" s="1300"/>
      <c r="BX20" s="1300"/>
      <c r="BY20" s="1300"/>
      <c r="BZ20" s="1300"/>
      <c r="CA20" s="1300"/>
      <c r="CB20" s="1300"/>
      <c r="CC20" s="1300"/>
      <c r="CD20" s="1300"/>
      <c r="CE20" s="1300"/>
      <c r="CF20" s="1300"/>
      <c r="CG20" s="1300"/>
      <c r="CH20" s="1300"/>
      <c r="CI20" s="1300"/>
      <c r="CJ20" s="1300"/>
      <c r="CK20" s="1300"/>
      <c r="CL20" s="1300"/>
      <c r="CM20" s="1300"/>
      <c r="CN20" s="1300"/>
      <c r="CO20" s="1300"/>
      <c r="CP20" s="1300"/>
      <c r="CQ20" s="1300"/>
      <c r="CR20" s="1300"/>
      <c r="CS20" s="1300"/>
      <c r="CT20" s="1300"/>
      <c r="CU20" s="1300"/>
      <c r="CV20" s="1300"/>
      <c r="CW20" s="1300"/>
      <c r="CX20" s="1300"/>
      <c r="CY20" s="1300"/>
      <c r="CZ20" s="1300"/>
      <c r="DA20" s="1300"/>
      <c r="DB20" s="1300"/>
      <c r="DC20" s="1300"/>
      <c r="DD20" s="1300"/>
      <c r="DE20" s="1300"/>
      <c r="DF20" s="1300"/>
      <c r="DG20" s="1300"/>
      <c r="DH20" s="1300"/>
      <c r="DI20" s="1300"/>
      <c r="DJ20" s="1300"/>
      <c r="DK20" s="1300"/>
      <c r="DL20" s="1300"/>
      <c r="DM20" s="1300"/>
      <c r="DN20" s="1300"/>
      <c r="DO20" s="1300"/>
      <c r="DP20" s="1300"/>
      <c r="DQ20" s="1300"/>
      <c r="DR20" s="1300"/>
      <c r="DS20" s="1300"/>
      <c r="DT20" s="1300"/>
      <c r="DU20" s="1300"/>
      <c r="DV20" s="1300"/>
      <c r="DW20" s="1300"/>
      <c r="DX20" s="1300"/>
      <c r="DY20" s="1300"/>
      <c r="DZ20" s="1300"/>
      <c r="EA20" s="1300"/>
      <c r="EB20" s="1300"/>
      <c r="EC20" s="1300"/>
      <c r="ED20" s="1300"/>
      <c r="EE20" s="1300"/>
      <c r="EF20" s="1300"/>
      <c r="EG20" s="1300"/>
      <c r="EH20" s="1300"/>
      <c r="EI20" s="1300"/>
      <c r="EJ20" s="1300"/>
      <c r="EK20" s="1300"/>
      <c r="EL20" s="1300"/>
      <c r="EM20" s="1300"/>
      <c r="EN20" s="1300"/>
      <c r="EO20" s="1300"/>
      <c r="EP20" s="1300"/>
      <c r="EQ20" s="1300"/>
      <c r="ER20" s="1300"/>
      <c r="ES20" s="1300"/>
      <c r="ET20" s="1300"/>
      <c r="EU20" s="1300"/>
      <c r="EV20" s="1300"/>
      <c r="EW20" s="1300"/>
      <c r="EX20" s="1300"/>
      <c r="EY20" s="1300"/>
      <c r="EZ20" s="1300"/>
      <c r="FA20" s="1300"/>
      <c r="FB20" s="1300"/>
      <c r="FC20" s="1300"/>
      <c r="FD20" s="1300"/>
      <c r="FE20" s="1300"/>
      <c r="FF20" s="1300"/>
      <c r="FG20" s="1300"/>
      <c r="FH20" s="1300"/>
      <c r="FI20" s="1300"/>
      <c r="FJ20" s="1300"/>
      <c r="FK20" s="1300"/>
      <c r="FL20" s="1300"/>
      <c r="FM20" s="1300"/>
      <c r="FN20" s="1300"/>
      <c r="FO20" s="1300"/>
      <c r="FP20" s="1300"/>
      <c r="FQ20" s="1300"/>
      <c r="FR20" s="1300"/>
      <c r="FS20" s="1300"/>
      <c r="FT20" s="1300"/>
      <c r="FU20" s="1300"/>
      <c r="FV20" s="1300"/>
      <c r="FW20" s="1300"/>
      <c r="FX20" s="1300"/>
      <c r="FY20" s="1300"/>
      <c r="FZ20" s="1300"/>
      <c r="GA20" s="1300"/>
      <c r="GB20" s="1300"/>
      <c r="GC20" s="1300"/>
      <c r="GD20" s="1300"/>
      <c r="GE20" s="1300"/>
      <c r="GF20" s="1300"/>
      <c r="GG20" s="1300"/>
      <c r="GH20" s="1300"/>
      <c r="GI20" s="1300"/>
      <c r="GJ20" s="1300"/>
      <c r="GK20" s="1300"/>
      <c r="GL20" s="1300"/>
      <c r="GM20" s="1300"/>
      <c r="GN20" s="1300"/>
      <c r="GO20" s="1300"/>
      <c r="GP20" s="1300"/>
      <c r="GQ20" s="1300"/>
      <c r="GR20" s="1300"/>
      <c r="GS20" s="1300"/>
      <c r="GT20" s="1300"/>
      <c r="GU20" s="1300"/>
      <c r="GV20" s="1300"/>
      <c r="GW20" s="1300"/>
      <c r="GX20" s="1300"/>
      <c r="GY20" s="1300"/>
      <c r="GZ20" s="1300"/>
      <c r="HA20" s="1300"/>
      <c r="HB20" s="1300"/>
      <c r="HC20" s="1300"/>
      <c r="HD20" s="1300"/>
      <c r="HE20" s="1300"/>
      <c r="HF20" s="1300"/>
      <c r="HG20" s="1300"/>
      <c r="HH20" s="1300"/>
      <c r="HI20" s="1300"/>
      <c r="HJ20" s="1300"/>
      <c r="HK20" s="1300"/>
      <c r="HL20" s="1300"/>
      <c r="HM20" s="1300"/>
      <c r="HN20" s="1300"/>
      <c r="HO20" s="1300"/>
      <c r="HP20" s="1300"/>
      <c r="HQ20" s="1300"/>
      <c r="HR20" s="1300"/>
      <c r="HS20" s="1300"/>
      <c r="HT20" s="1300"/>
      <c r="HU20" s="1300"/>
      <c r="HV20" s="1300"/>
      <c r="HW20" s="1300"/>
      <c r="HX20" s="1300"/>
      <c r="HY20" s="1300"/>
      <c r="HZ20" s="1300"/>
      <c r="IA20" s="1300"/>
      <c r="IB20" s="1300"/>
      <c r="IC20" s="1300"/>
      <c r="ID20" s="1300"/>
      <c r="IE20" s="1300"/>
      <c r="IF20" s="1300"/>
      <c r="IG20" s="1300"/>
      <c r="IH20" s="1300"/>
      <c r="II20" s="1300"/>
      <c r="IJ20" s="1300"/>
      <c r="IK20" s="1300"/>
      <c r="IL20" s="1300"/>
      <c r="IM20" s="1300"/>
      <c r="IN20" s="1300"/>
      <c r="IO20" s="1300"/>
      <c r="IP20" s="1300"/>
      <c r="IQ20" s="1300"/>
      <c r="IR20" s="1300"/>
      <c r="IS20" s="1300"/>
      <c r="IT20" s="1300"/>
      <c r="IU20" s="1300"/>
      <c r="IV20" s="1300"/>
    </row>
    <row r="21" spans="1:256">
      <c r="A21" s="1295">
        <f t="shared" si="0"/>
        <v>18</v>
      </c>
      <c r="B21" s="1296"/>
      <c r="C21" s="1296"/>
      <c r="D21" s="1299" t="str">
        <f t="shared" si="1"/>
        <v xml:space="preserve"> </v>
      </c>
      <c r="E21" s="1299" t="str">
        <f t="shared" si="17"/>
        <v/>
      </c>
      <c r="F21" s="1298">
        <f t="shared" si="2"/>
        <v>48</v>
      </c>
      <c r="G21" s="1296"/>
      <c r="H21" s="1296"/>
      <c r="I21" s="1299" t="str">
        <f t="shared" si="3"/>
        <v xml:space="preserve"> </v>
      </c>
      <c r="J21" s="1299" t="str">
        <f t="shared" si="13"/>
        <v/>
      </c>
      <c r="K21" s="1295">
        <f t="shared" si="4"/>
        <v>78</v>
      </c>
      <c r="L21" s="1296"/>
      <c r="M21" s="1296"/>
      <c r="N21" s="1299" t="str">
        <f t="shared" si="5"/>
        <v xml:space="preserve"> </v>
      </c>
      <c r="O21" s="1299" t="str">
        <f t="shared" si="14"/>
        <v/>
      </c>
      <c r="P21" s="1295">
        <f t="shared" si="6"/>
        <v>108</v>
      </c>
      <c r="Q21" s="1296"/>
      <c r="R21" s="1296"/>
      <c r="S21" s="1299" t="str">
        <f t="shared" si="7"/>
        <v xml:space="preserve"> </v>
      </c>
      <c r="T21" s="1299" t="str">
        <f t="shared" si="12"/>
        <v/>
      </c>
      <c r="U21" s="1298">
        <f t="shared" si="8"/>
        <v>138</v>
      </c>
      <c r="V21" s="1296"/>
      <c r="W21" s="1296"/>
      <c r="X21" s="1299" t="str">
        <f t="shared" si="9"/>
        <v xml:space="preserve"> </v>
      </c>
      <c r="Y21" s="1299" t="str">
        <f t="shared" si="15"/>
        <v/>
      </c>
      <c r="Z21" s="1295">
        <f t="shared" si="10"/>
        <v>168</v>
      </c>
      <c r="AA21" s="1296"/>
      <c r="AB21" s="1296"/>
      <c r="AC21" s="1299" t="str">
        <f t="shared" si="11"/>
        <v xml:space="preserve"> </v>
      </c>
      <c r="AD21" s="1299" t="str">
        <f t="shared" si="16"/>
        <v/>
      </c>
      <c r="AE21" s="1300"/>
      <c r="AF21" s="1300"/>
      <c r="AG21" s="1300"/>
      <c r="AH21" s="1300"/>
      <c r="AI21" s="1300"/>
      <c r="AJ21" s="1300"/>
      <c r="AK21" s="1300"/>
      <c r="AL21" s="1300"/>
      <c r="AM21" s="1300"/>
      <c r="AN21" s="1300"/>
      <c r="AO21" s="1300"/>
      <c r="AP21" s="1300"/>
      <c r="AQ21" s="1300"/>
      <c r="AR21" s="1300"/>
      <c r="AS21" s="1300"/>
      <c r="AT21" s="1300"/>
      <c r="AU21" s="1300"/>
      <c r="AV21" s="1300"/>
      <c r="AW21" s="1300"/>
      <c r="AX21" s="1300"/>
      <c r="AY21" s="1300"/>
      <c r="AZ21" s="1300"/>
      <c r="BA21" s="1300"/>
      <c r="BB21" s="1300"/>
      <c r="BC21" s="1300"/>
      <c r="BD21" s="1300"/>
      <c r="BE21" s="1300"/>
      <c r="BF21" s="1300"/>
      <c r="BG21" s="1300"/>
      <c r="BH21" s="1300"/>
      <c r="BI21" s="1300"/>
      <c r="BJ21" s="1300"/>
      <c r="BK21" s="1300"/>
      <c r="BL21" s="1300"/>
      <c r="BM21" s="1300"/>
      <c r="BN21" s="1300"/>
      <c r="BO21" s="1300"/>
      <c r="BP21" s="1300"/>
      <c r="BQ21" s="1300"/>
      <c r="BR21" s="1300"/>
      <c r="BS21" s="1300"/>
      <c r="BT21" s="1300"/>
      <c r="BU21" s="1300"/>
      <c r="BV21" s="1300"/>
      <c r="BW21" s="1300"/>
      <c r="BX21" s="1300"/>
      <c r="BY21" s="1300"/>
      <c r="BZ21" s="1300"/>
      <c r="CA21" s="1300"/>
      <c r="CB21" s="1300"/>
      <c r="CC21" s="1300"/>
      <c r="CD21" s="1300"/>
      <c r="CE21" s="1300"/>
      <c r="CF21" s="1300"/>
      <c r="CG21" s="1300"/>
      <c r="CH21" s="1300"/>
      <c r="CI21" s="1300"/>
      <c r="CJ21" s="1300"/>
      <c r="CK21" s="1300"/>
      <c r="CL21" s="1300"/>
      <c r="CM21" s="1300"/>
      <c r="CN21" s="1300"/>
      <c r="CO21" s="1300"/>
      <c r="CP21" s="1300"/>
      <c r="CQ21" s="1300"/>
      <c r="CR21" s="1300"/>
      <c r="CS21" s="1300"/>
      <c r="CT21" s="1300"/>
      <c r="CU21" s="1300"/>
      <c r="CV21" s="1300"/>
      <c r="CW21" s="1300"/>
      <c r="CX21" s="1300"/>
      <c r="CY21" s="1300"/>
      <c r="CZ21" s="1300"/>
      <c r="DA21" s="1300"/>
      <c r="DB21" s="1300"/>
      <c r="DC21" s="1300"/>
      <c r="DD21" s="1300"/>
      <c r="DE21" s="1300"/>
      <c r="DF21" s="1300"/>
      <c r="DG21" s="1300"/>
      <c r="DH21" s="1300"/>
      <c r="DI21" s="1300"/>
      <c r="DJ21" s="1300"/>
      <c r="DK21" s="1300"/>
      <c r="DL21" s="1300"/>
      <c r="DM21" s="1300"/>
      <c r="DN21" s="1300"/>
      <c r="DO21" s="1300"/>
      <c r="DP21" s="1300"/>
      <c r="DQ21" s="1300"/>
      <c r="DR21" s="1300"/>
      <c r="DS21" s="1300"/>
      <c r="DT21" s="1300"/>
      <c r="DU21" s="1300"/>
      <c r="DV21" s="1300"/>
      <c r="DW21" s="1300"/>
      <c r="DX21" s="1300"/>
      <c r="DY21" s="1300"/>
      <c r="DZ21" s="1300"/>
      <c r="EA21" s="1300"/>
      <c r="EB21" s="1300"/>
      <c r="EC21" s="1300"/>
      <c r="ED21" s="1300"/>
      <c r="EE21" s="1300"/>
      <c r="EF21" s="1300"/>
      <c r="EG21" s="1300"/>
      <c r="EH21" s="1300"/>
      <c r="EI21" s="1300"/>
      <c r="EJ21" s="1300"/>
      <c r="EK21" s="1300"/>
      <c r="EL21" s="1300"/>
      <c r="EM21" s="1300"/>
      <c r="EN21" s="1300"/>
      <c r="EO21" s="1300"/>
      <c r="EP21" s="1300"/>
      <c r="EQ21" s="1300"/>
      <c r="ER21" s="1300"/>
      <c r="ES21" s="1300"/>
      <c r="ET21" s="1300"/>
      <c r="EU21" s="1300"/>
      <c r="EV21" s="1300"/>
      <c r="EW21" s="1300"/>
      <c r="EX21" s="1300"/>
      <c r="EY21" s="1300"/>
      <c r="EZ21" s="1300"/>
      <c r="FA21" s="1300"/>
      <c r="FB21" s="1300"/>
      <c r="FC21" s="1300"/>
      <c r="FD21" s="1300"/>
      <c r="FE21" s="1300"/>
      <c r="FF21" s="1300"/>
      <c r="FG21" s="1300"/>
      <c r="FH21" s="1300"/>
      <c r="FI21" s="1300"/>
      <c r="FJ21" s="1300"/>
      <c r="FK21" s="1300"/>
      <c r="FL21" s="1300"/>
      <c r="FM21" s="1300"/>
      <c r="FN21" s="1300"/>
      <c r="FO21" s="1300"/>
      <c r="FP21" s="1300"/>
      <c r="FQ21" s="1300"/>
      <c r="FR21" s="1300"/>
      <c r="FS21" s="1300"/>
      <c r="FT21" s="1300"/>
      <c r="FU21" s="1300"/>
      <c r="FV21" s="1300"/>
      <c r="FW21" s="1300"/>
      <c r="FX21" s="1300"/>
      <c r="FY21" s="1300"/>
      <c r="FZ21" s="1300"/>
      <c r="GA21" s="1300"/>
      <c r="GB21" s="1300"/>
      <c r="GC21" s="1300"/>
      <c r="GD21" s="1300"/>
      <c r="GE21" s="1300"/>
      <c r="GF21" s="1300"/>
      <c r="GG21" s="1300"/>
      <c r="GH21" s="1300"/>
      <c r="GI21" s="1300"/>
      <c r="GJ21" s="1300"/>
      <c r="GK21" s="1300"/>
      <c r="GL21" s="1300"/>
      <c r="GM21" s="1300"/>
      <c r="GN21" s="1300"/>
      <c r="GO21" s="1300"/>
      <c r="GP21" s="1300"/>
      <c r="GQ21" s="1300"/>
      <c r="GR21" s="1300"/>
      <c r="GS21" s="1300"/>
      <c r="GT21" s="1300"/>
      <c r="GU21" s="1300"/>
      <c r="GV21" s="1300"/>
      <c r="GW21" s="1300"/>
      <c r="GX21" s="1300"/>
      <c r="GY21" s="1300"/>
      <c r="GZ21" s="1300"/>
      <c r="HA21" s="1300"/>
      <c r="HB21" s="1300"/>
      <c r="HC21" s="1300"/>
      <c r="HD21" s="1300"/>
      <c r="HE21" s="1300"/>
      <c r="HF21" s="1300"/>
      <c r="HG21" s="1300"/>
      <c r="HH21" s="1300"/>
      <c r="HI21" s="1300"/>
      <c r="HJ21" s="1300"/>
      <c r="HK21" s="1300"/>
      <c r="HL21" s="1300"/>
      <c r="HM21" s="1300"/>
      <c r="HN21" s="1300"/>
      <c r="HO21" s="1300"/>
      <c r="HP21" s="1300"/>
      <c r="HQ21" s="1300"/>
      <c r="HR21" s="1300"/>
      <c r="HS21" s="1300"/>
      <c r="HT21" s="1300"/>
      <c r="HU21" s="1300"/>
      <c r="HV21" s="1300"/>
      <c r="HW21" s="1300"/>
      <c r="HX21" s="1300"/>
      <c r="HY21" s="1300"/>
      <c r="HZ21" s="1300"/>
      <c r="IA21" s="1300"/>
      <c r="IB21" s="1300"/>
      <c r="IC21" s="1300"/>
      <c r="ID21" s="1300"/>
      <c r="IE21" s="1300"/>
      <c r="IF21" s="1300"/>
      <c r="IG21" s="1300"/>
      <c r="IH21" s="1300"/>
      <c r="II21" s="1300"/>
      <c r="IJ21" s="1300"/>
      <c r="IK21" s="1300"/>
      <c r="IL21" s="1300"/>
      <c r="IM21" s="1300"/>
      <c r="IN21" s="1300"/>
      <c r="IO21" s="1300"/>
      <c r="IP21" s="1300"/>
      <c r="IQ21" s="1300"/>
      <c r="IR21" s="1300"/>
      <c r="IS21" s="1300"/>
      <c r="IT21" s="1300"/>
      <c r="IU21" s="1300"/>
      <c r="IV21" s="1300"/>
    </row>
    <row r="22" spans="1:256">
      <c r="A22" s="1295">
        <f t="shared" si="0"/>
        <v>19</v>
      </c>
      <c r="B22" s="1296"/>
      <c r="C22" s="1296"/>
      <c r="D22" s="1299" t="str">
        <f t="shared" si="1"/>
        <v xml:space="preserve"> </v>
      </c>
      <c r="E22" s="1299" t="str">
        <f t="shared" si="17"/>
        <v/>
      </c>
      <c r="F22" s="1298">
        <f t="shared" si="2"/>
        <v>49</v>
      </c>
      <c r="G22" s="1296"/>
      <c r="H22" s="1296"/>
      <c r="I22" s="1299" t="str">
        <f t="shared" si="3"/>
        <v xml:space="preserve"> </v>
      </c>
      <c r="J22" s="1299" t="str">
        <f t="shared" si="13"/>
        <v/>
      </c>
      <c r="K22" s="1295">
        <f t="shared" si="4"/>
        <v>79</v>
      </c>
      <c r="L22" s="1296"/>
      <c r="M22" s="1296"/>
      <c r="N22" s="1299" t="str">
        <f t="shared" si="5"/>
        <v xml:space="preserve"> </v>
      </c>
      <c r="O22" s="1299" t="str">
        <f t="shared" si="14"/>
        <v/>
      </c>
      <c r="P22" s="1295">
        <f t="shared" si="6"/>
        <v>109</v>
      </c>
      <c r="Q22" s="1296"/>
      <c r="R22" s="1296"/>
      <c r="S22" s="1299" t="str">
        <f t="shared" si="7"/>
        <v xml:space="preserve"> </v>
      </c>
      <c r="T22" s="1299" t="str">
        <f t="shared" si="12"/>
        <v/>
      </c>
      <c r="U22" s="1298">
        <f t="shared" si="8"/>
        <v>139</v>
      </c>
      <c r="V22" s="1296"/>
      <c r="W22" s="1296"/>
      <c r="X22" s="1299" t="str">
        <f t="shared" si="9"/>
        <v xml:space="preserve"> </v>
      </c>
      <c r="Y22" s="1299" t="str">
        <f t="shared" si="15"/>
        <v/>
      </c>
      <c r="Z22" s="1295">
        <f t="shared" si="10"/>
        <v>169</v>
      </c>
      <c r="AA22" s="1296"/>
      <c r="AB22" s="1296"/>
      <c r="AC22" s="1299" t="str">
        <f t="shared" si="11"/>
        <v xml:space="preserve"> </v>
      </c>
      <c r="AD22" s="1299" t="str">
        <f t="shared" si="16"/>
        <v/>
      </c>
      <c r="AE22" s="1300"/>
      <c r="AF22" s="1300"/>
      <c r="AG22" s="1300"/>
      <c r="AH22" s="1300"/>
      <c r="AI22" s="1300"/>
      <c r="AJ22" s="1300"/>
      <c r="AK22" s="1300"/>
      <c r="AL22" s="1300"/>
      <c r="AM22" s="1300"/>
      <c r="AN22" s="1300"/>
      <c r="AO22" s="1300"/>
      <c r="AP22" s="1300"/>
      <c r="AQ22" s="1300"/>
      <c r="AR22" s="1300"/>
      <c r="AS22" s="1300"/>
      <c r="AT22" s="1300"/>
      <c r="AU22" s="1300"/>
      <c r="AV22" s="1300"/>
      <c r="AW22" s="1300"/>
      <c r="AX22" s="1300"/>
      <c r="AY22" s="1300"/>
      <c r="AZ22" s="1300"/>
      <c r="BA22" s="1300"/>
      <c r="BB22" s="1300"/>
      <c r="BC22" s="1300"/>
      <c r="BD22" s="1300"/>
      <c r="BE22" s="1300"/>
      <c r="BF22" s="1300"/>
      <c r="BG22" s="1300"/>
      <c r="BH22" s="1300"/>
      <c r="BI22" s="1300"/>
      <c r="BJ22" s="1300"/>
      <c r="BK22" s="1300"/>
      <c r="BL22" s="1300"/>
      <c r="BM22" s="1300"/>
      <c r="BN22" s="1300"/>
      <c r="BO22" s="1300"/>
      <c r="BP22" s="1300"/>
      <c r="BQ22" s="1300"/>
      <c r="BR22" s="1300"/>
      <c r="BS22" s="1300"/>
      <c r="BT22" s="1300"/>
      <c r="BU22" s="1300"/>
      <c r="BV22" s="1300"/>
      <c r="BW22" s="1300"/>
      <c r="BX22" s="1300"/>
      <c r="BY22" s="1300"/>
      <c r="BZ22" s="1300"/>
      <c r="CA22" s="1300"/>
      <c r="CB22" s="1300"/>
      <c r="CC22" s="1300"/>
      <c r="CD22" s="1300"/>
      <c r="CE22" s="1300"/>
      <c r="CF22" s="1300"/>
      <c r="CG22" s="1300"/>
      <c r="CH22" s="1300"/>
      <c r="CI22" s="1300"/>
      <c r="CJ22" s="1300"/>
      <c r="CK22" s="1300"/>
      <c r="CL22" s="1300"/>
      <c r="CM22" s="1300"/>
      <c r="CN22" s="1300"/>
      <c r="CO22" s="1300"/>
      <c r="CP22" s="1300"/>
      <c r="CQ22" s="1300"/>
      <c r="CR22" s="1300"/>
      <c r="CS22" s="1300"/>
      <c r="CT22" s="1300"/>
      <c r="CU22" s="1300"/>
      <c r="CV22" s="1300"/>
      <c r="CW22" s="1300"/>
      <c r="CX22" s="1300"/>
      <c r="CY22" s="1300"/>
      <c r="CZ22" s="1300"/>
      <c r="DA22" s="1300"/>
      <c r="DB22" s="1300"/>
      <c r="DC22" s="1300"/>
      <c r="DD22" s="1300"/>
      <c r="DE22" s="1300"/>
      <c r="DF22" s="1300"/>
      <c r="DG22" s="1300"/>
      <c r="DH22" s="1300"/>
      <c r="DI22" s="1300"/>
      <c r="DJ22" s="1300"/>
      <c r="DK22" s="1300"/>
      <c r="DL22" s="1300"/>
      <c r="DM22" s="1300"/>
      <c r="DN22" s="1300"/>
      <c r="DO22" s="1300"/>
      <c r="DP22" s="1300"/>
      <c r="DQ22" s="1300"/>
      <c r="DR22" s="1300"/>
      <c r="DS22" s="1300"/>
      <c r="DT22" s="1300"/>
      <c r="DU22" s="1300"/>
      <c r="DV22" s="1300"/>
      <c r="DW22" s="1300"/>
      <c r="DX22" s="1300"/>
      <c r="DY22" s="1300"/>
      <c r="DZ22" s="1300"/>
      <c r="EA22" s="1300"/>
      <c r="EB22" s="1300"/>
      <c r="EC22" s="1300"/>
      <c r="ED22" s="1300"/>
      <c r="EE22" s="1300"/>
      <c r="EF22" s="1300"/>
      <c r="EG22" s="1300"/>
      <c r="EH22" s="1300"/>
      <c r="EI22" s="1300"/>
      <c r="EJ22" s="1300"/>
      <c r="EK22" s="1300"/>
      <c r="EL22" s="1300"/>
      <c r="EM22" s="1300"/>
      <c r="EN22" s="1300"/>
      <c r="EO22" s="1300"/>
      <c r="EP22" s="1300"/>
      <c r="EQ22" s="1300"/>
      <c r="ER22" s="1300"/>
      <c r="ES22" s="1300"/>
      <c r="ET22" s="1300"/>
      <c r="EU22" s="1300"/>
      <c r="EV22" s="1300"/>
      <c r="EW22" s="1300"/>
      <c r="EX22" s="1300"/>
      <c r="EY22" s="1300"/>
      <c r="EZ22" s="1300"/>
      <c r="FA22" s="1300"/>
      <c r="FB22" s="1300"/>
      <c r="FC22" s="1300"/>
      <c r="FD22" s="1300"/>
      <c r="FE22" s="1300"/>
      <c r="FF22" s="1300"/>
      <c r="FG22" s="1300"/>
      <c r="FH22" s="1300"/>
      <c r="FI22" s="1300"/>
      <c r="FJ22" s="1300"/>
      <c r="FK22" s="1300"/>
      <c r="FL22" s="1300"/>
      <c r="FM22" s="1300"/>
      <c r="FN22" s="1300"/>
      <c r="FO22" s="1300"/>
      <c r="FP22" s="1300"/>
      <c r="FQ22" s="1300"/>
      <c r="FR22" s="1300"/>
      <c r="FS22" s="1300"/>
      <c r="FT22" s="1300"/>
      <c r="FU22" s="1300"/>
      <c r="FV22" s="1300"/>
      <c r="FW22" s="1300"/>
      <c r="FX22" s="1300"/>
      <c r="FY22" s="1300"/>
      <c r="FZ22" s="1300"/>
      <c r="GA22" s="1300"/>
      <c r="GB22" s="1300"/>
      <c r="GC22" s="1300"/>
      <c r="GD22" s="1300"/>
      <c r="GE22" s="1300"/>
      <c r="GF22" s="1300"/>
      <c r="GG22" s="1300"/>
      <c r="GH22" s="1300"/>
      <c r="GI22" s="1300"/>
      <c r="GJ22" s="1300"/>
      <c r="GK22" s="1300"/>
      <c r="GL22" s="1300"/>
      <c r="GM22" s="1300"/>
      <c r="GN22" s="1300"/>
      <c r="GO22" s="1300"/>
      <c r="GP22" s="1300"/>
      <c r="GQ22" s="1300"/>
      <c r="GR22" s="1300"/>
      <c r="GS22" s="1300"/>
      <c r="GT22" s="1300"/>
      <c r="GU22" s="1300"/>
      <c r="GV22" s="1300"/>
      <c r="GW22" s="1300"/>
      <c r="GX22" s="1300"/>
      <c r="GY22" s="1300"/>
      <c r="GZ22" s="1300"/>
      <c r="HA22" s="1300"/>
      <c r="HB22" s="1300"/>
      <c r="HC22" s="1300"/>
      <c r="HD22" s="1300"/>
      <c r="HE22" s="1300"/>
      <c r="HF22" s="1300"/>
      <c r="HG22" s="1300"/>
      <c r="HH22" s="1300"/>
      <c r="HI22" s="1300"/>
      <c r="HJ22" s="1300"/>
      <c r="HK22" s="1300"/>
      <c r="HL22" s="1300"/>
      <c r="HM22" s="1300"/>
      <c r="HN22" s="1300"/>
      <c r="HO22" s="1300"/>
      <c r="HP22" s="1300"/>
      <c r="HQ22" s="1300"/>
      <c r="HR22" s="1300"/>
      <c r="HS22" s="1300"/>
      <c r="HT22" s="1300"/>
      <c r="HU22" s="1300"/>
      <c r="HV22" s="1300"/>
      <c r="HW22" s="1300"/>
      <c r="HX22" s="1300"/>
      <c r="HY22" s="1300"/>
      <c r="HZ22" s="1300"/>
      <c r="IA22" s="1300"/>
      <c r="IB22" s="1300"/>
      <c r="IC22" s="1300"/>
      <c r="ID22" s="1300"/>
      <c r="IE22" s="1300"/>
      <c r="IF22" s="1300"/>
      <c r="IG22" s="1300"/>
      <c r="IH22" s="1300"/>
      <c r="II22" s="1300"/>
      <c r="IJ22" s="1300"/>
      <c r="IK22" s="1300"/>
      <c r="IL22" s="1300"/>
      <c r="IM22" s="1300"/>
      <c r="IN22" s="1300"/>
      <c r="IO22" s="1300"/>
      <c r="IP22" s="1300"/>
      <c r="IQ22" s="1300"/>
      <c r="IR22" s="1300"/>
      <c r="IS22" s="1300"/>
      <c r="IT22" s="1300"/>
      <c r="IU22" s="1300"/>
      <c r="IV22" s="1300"/>
    </row>
    <row r="23" spans="1:256">
      <c r="A23" s="1295">
        <f t="shared" si="0"/>
        <v>20</v>
      </c>
      <c r="B23" s="1296"/>
      <c r="C23" s="1296"/>
      <c r="D23" s="1299" t="str">
        <f t="shared" si="1"/>
        <v xml:space="preserve"> </v>
      </c>
      <c r="E23" s="1299" t="str">
        <f t="shared" si="17"/>
        <v/>
      </c>
      <c r="F23" s="1298">
        <f t="shared" si="2"/>
        <v>50</v>
      </c>
      <c r="G23" s="1302"/>
      <c r="H23" s="1302"/>
      <c r="I23" s="1299" t="str">
        <f t="shared" si="3"/>
        <v xml:space="preserve"> </v>
      </c>
      <c r="J23" s="1299" t="str">
        <f t="shared" si="13"/>
        <v/>
      </c>
      <c r="K23" s="1295">
        <f t="shared" si="4"/>
        <v>80</v>
      </c>
      <c r="L23" s="1302"/>
      <c r="M23" s="1302"/>
      <c r="N23" s="1299" t="str">
        <f t="shared" si="5"/>
        <v xml:space="preserve"> </v>
      </c>
      <c r="O23" s="1299" t="str">
        <f t="shared" si="14"/>
        <v/>
      </c>
      <c r="P23" s="1295">
        <f t="shared" si="6"/>
        <v>110</v>
      </c>
      <c r="Q23" s="1296"/>
      <c r="R23" s="1296"/>
      <c r="S23" s="1299" t="str">
        <f t="shared" si="7"/>
        <v xml:space="preserve"> </v>
      </c>
      <c r="T23" s="1299" t="str">
        <f t="shared" si="12"/>
        <v/>
      </c>
      <c r="U23" s="1298">
        <f t="shared" si="8"/>
        <v>140</v>
      </c>
      <c r="V23" s="1296"/>
      <c r="W23" s="1296"/>
      <c r="X23" s="1299" t="str">
        <f t="shared" si="9"/>
        <v xml:space="preserve"> </v>
      </c>
      <c r="Y23" s="1299" t="str">
        <f t="shared" si="15"/>
        <v/>
      </c>
      <c r="Z23" s="1295">
        <f t="shared" si="10"/>
        <v>170</v>
      </c>
      <c r="AA23" s="1296"/>
      <c r="AB23" s="1296"/>
      <c r="AC23" s="1299" t="str">
        <f t="shared" si="11"/>
        <v xml:space="preserve"> </v>
      </c>
      <c r="AD23" s="1299" t="str">
        <f t="shared" si="16"/>
        <v/>
      </c>
      <c r="AE23" s="1300"/>
      <c r="AF23" s="1300"/>
      <c r="AG23" s="1300"/>
      <c r="AH23" s="1300"/>
      <c r="AI23" s="1300"/>
      <c r="AJ23" s="1300"/>
      <c r="AK23" s="1300"/>
      <c r="AL23" s="1300"/>
      <c r="AM23" s="1300"/>
      <c r="AN23" s="1300"/>
      <c r="AO23" s="1300"/>
      <c r="AP23" s="1300"/>
      <c r="AQ23" s="1300"/>
      <c r="AR23" s="1300"/>
      <c r="AS23" s="1300"/>
      <c r="AT23" s="1300"/>
      <c r="AU23" s="1300"/>
      <c r="AV23" s="1300"/>
      <c r="AW23" s="1300"/>
      <c r="AX23" s="1300"/>
      <c r="AY23" s="1300"/>
      <c r="AZ23" s="1300"/>
      <c r="BA23" s="1300"/>
      <c r="BB23" s="1300"/>
      <c r="BC23" s="1300"/>
      <c r="BD23" s="1300"/>
      <c r="BE23" s="1300"/>
      <c r="BF23" s="1300"/>
      <c r="BG23" s="1300"/>
      <c r="BH23" s="1300"/>
      <c r="BI23" s="1300"/>
      <c r="BJ23" s="1300"/>
      <c r="BK23" s="1300"/>
      <c r="BL23" s="1300"/>
      <c r="BM23" s="1300"/>
      <c r="BN23" s="1300"/>
      <c r="BO23" s="1300"/>
      <c r="BP23" s="1300"/>
      <c r="BQ23" s="1300"/>
      <c r="BR23" s="1300"/>
      <c r="BS23" s="1300"/>
      <c r="BT23" s="1300"/>
      <c r="BU23" s="1300"/>
      <c r="BV23" s="1300"/>
      <c r="BW23" s="1300"/>
      <c r="BX23" s="1300"/>
      <c r="BY23" s="1300"/>
      <c r="BZ23" s="1300"/>
      <c r="CA23" s="1300"/>
      <c r="CB23" s="1300"/>
      <c r="CC23" s="1300"/>
      <c r="CD23" s="1300"/>
      <c r="CE23" s="1300"/>
      <c r="CF23" s="1300"/>
      <c r="CG23" s="1300"/>
      <c r="CH23" s="1300"/>
      <c r="CI23" s="1300"/>
      <c r="CJ23" s="1300"/>
      <c r="CK23" s="1300"/>
      <c r="CL23" s="1300"/>
      <c r="CM23" s="1300"/>
      <c r="CN23" s="1300"/>
      <c r="CO23" s="1300"/>
      <c r="CP23" s="1300"/>
      <c r="CQ23" s="1300"/>
      <c r="CR23" s="1300"/>
      <c r="CS23" s="1300"/>
      <c r="CT23" s="1300"/>
      <c r="CU23" s="1300"/>
      <c r="CV23" s="1300"/>
      <c r="CW23" s="1300"/>
      <c r="CX23" s="1300"/>
      <c r="CY23" s="1300"/>
      <c r="CZ23" s="1300"/>
      <c r="DA23" s="1300"/>
      <c r="DB23" s="1300"/>
      <c r="DC23" s="1300"/>
      <c r="DD23" s="1300"/>
      <c r="DE23" s="1300"/>
      <c r="DF23" s="1300"/>
      <c r="DG23" s="1300"/>
      <c r="DH23" s="1300"/>
      <c r="DI23" s="1300"/>
      <c r="DJ23" s="1300"/>
      <c r="DK23" s="1300"/>
      <c r="DL23" s="1300"/>
      <c r="DM23" s="1300"/>
      <c r="DN23" s="1300"/>
      <c r="DO23" s="1300"/>
      <c r="DP23" s="1300"/>
      <c r="DQ23" s="1300"/>
      <c r="DR23" s="1300"/>
      <c r="DS23" s="1300"/>
      <c r="DT23" s="1300"/>
      <c r="DU23" s="1300"/>
      <c r="DV23" s="1300"/>
      <c r="DW23" s="1300"/>
      <c r="DX23" s="1300"/>
      <c r="DY23" s="1300"/>
      <c r="DZ23" s="1300"/>
      <c r="EA23" s="1300"/>
      <c r="EB23" s="1300"/>
      <c r="EC23" s="1300"/>
      <c r="ED23" s="1300"/>
      <c r="EE23" s="1300"/>
      <c r="EF23" s="1300"/>
      <c r="EG23" s="1300"/>
      <c r="EH23" s="1300"/>
      <c r="EI23" s="1300"/>
      <c r="EJ23" s="1300"/>
      <c r="EK23" s="1300"/>
      <c r="EL23" s="1300"/>
      <c r="EM23" s="1300"/>
      <c r="EN23" s="1300"/>
      <c r="EO23" s="1300"/>
      <c r="EP23" s="1300"/>
      <c r="EQ23" s="1300"/>
      <c r="ER23" s="1300"/>
      <c r="ES23" s="1300"/>
      <c r="ET23" s="1300"/>
      <c r="EU23" s="1300"/>
      <c r="EV23" s="1300"/>
      <c r="EW23" s="1300"/>
      <c r="EX23" s="1300"/>
      <c r="EY23" s="1300"/>
      <c r="EZ23" s="1300"/>
      <c r="FA23" s="1300"/>
      <c r="FB23" s="1300"/>
      <c r="FC23" s="1300"/>
      <c r="FD23" s="1300"/>
      <c r="FE23" s="1300"/>
      <c r="FF23" s="1300"/>
      <c r="FG23" s="1300"/>
      <c r="FH23" s="1300"/>
      <c r="FI23" s="1300"/>
      <c r="FJ23" s="1300"/>
      <c r="FK23" s="1300"/>
      <c r="FL23" s="1300"/>
      <c r="FM23" s="1300"/>
      <c r="FN23" s="1300"/>
      <c r="FO23" s="1300"/>
      <c r="FP23" s="1300"/>
      <c r="FQ23" s="1300"/>
      <c r="FR23" s="1300"/>
      <c r="FS23" s="1300"/>
      <c r="FT23" s="1300"/>
      <c r="FU23" s="1300"/>
      <c r="FV23" s="1300"/>
      <c r="FW23" s="1300"/>
      <c r="FX23" s="1300"/>
      <c r="FY23" s="1300"/>
      <c r="FZ23" s="1300"/>
      <c r="GA23" s="1300"/>
      <c r="GB23" s="1300"/>
      <c r="GC23" s="1300"/>
      <c r="GD23" s="1300"/>
      <c r="GE23" s="1300"/>
      <c r="GF23" s="1300"/>
      <c r="GG23" s="1300"/>
      <c r="GH23" s="1300"/>
      <c r="GI23" s="1300"/>
      <c r="GJ23" s="1300"/>
      <c r="GK23" s="1300"/>
      <c r="GL23" s="1300"/>
      <c r="GM23" s="1300"/>
      <c r="GN23" s="1300"/>
      <c r="GO23" s="1300"/>
      <c r="GP23" s="1300"/>
      <c r="GQ23" s="1300"/>
      <c r="GR23" s="1300"/>
      <c r="GS23" s="1300"/>
      <c r="GT23" s="1300"/>
      <c r="GU23" s="1300"/>
      <c r="GV23" s="1300"/>
      <c r="GW23" s="1300"/>
      <c r="GX23" s="1300"/>
      <c r="GY23" s="1300"/>
      <c r="GZ23" s="1300"/>
      <c r="HA23" s="1300"/>
      <c r="HB23" s="1300"/>
      <c r="HC23" s="1300"/>
      <c r="HD23" s="1300"/>
      <c r="HE23" s="1300"/>
      <c r="HF23" s="1300"/>
      <c r="HG23" s="1300"/>
      <c r="HH23" s="1300"/>
      <c r="HI23" s="1300"/>
      <c r="HJ23" s="1300"/>
      <c r="HK23" s="1300"/>
      <c r="HL23" s="1300"/>
      <c r="HM23" s="1300"/>
      <c r="HN23" s="1300"/>
      <c r="HO23" s="1300"/>
      <c r="HP23" s="1300"/>
      <c r="HQ23" s="1300"/>
      <c r="HR23" s="1300"/>
      <c r="HS23" s="1300"/>
      <c r="HT23" s="1300"/>
      <c r="HU23" s="1300"/>
      <c r="HV23" s="1300"/>
      <c r="HW23" s="1300"/>
      <c r="HX23" s="1300"/>
      <c r="HY23" s="1300"/>
      <c r="HZ23" s="1300"/>
      <c r="IA23" s="1300"/>
      <c r="IB23" s="1300"/>
      <c r="IC23" s="1300"/>
      <c r="ID23" s="1300"/>
      <c r="IE23" s="1300"/>
      <c r="IF23" s="1300"/>
      <c r="IG23" s="1300"/>
      <c r="IH23" s="1300"/>
      <c r="II23" s="1300"/>
      <c r="IJ23" s="1300"/>
      <c r="IK23" s="1300"/>
      <c r="IL23" s="1300"/>
      <c r="IM23" s="1300"/>
      <c r="IN23" s="1300"/>
      <c r="IO23" s="1300"/>
      <c r="IP23" s="1300"/>
      <c r="IQ23" s="1300"/>
      <c r="IR23" s="1300"/>
      <c r="IS23" s="1300"/>
      <c r="IT23" s="1300"/>
      <c r="IU23" s="1300"/>
      <c r="IV23" s="1300"/>
    </row>
    <row r="24" spans="1:256">
      <c r="A24" s="1295">
        <f t="shared" si="0"/>
        <v>21</v>
      </c>
      <c r="B24" s="1296"/>
      <c r="C24" s="1296"/>
      <c r="D24" s="1299" t="str">
        <f t="shared" si="1"/>
        <v xml:space="preserve"> </v>
      </c>
      <c r="E24" s="1299" t="str">
        <f t="shared" si="17"/>
        <v/>
      </c>
      <c r="F24" s="1298">
        <f t="shared" si="2"/>
        <v>51</v>
      </c>
      <c r="G24" s="1296"/>
      <c r="H24" s="1296"/>
      <c r="I24" s="1299" t="str">
        <f t="shared" si="3"/>
        <v xml:space="preserve"> </v>
      </c>
      <c r="J24" s="1299" t="str">
        <f t="shared" si="13"/>
        <v/>
      </c>
      <c r="K24" s="1295">
        <f t="shared" si="4"/>
        <v>81</v>
      </c>
      <c r="L24" s="1296"/>
      <c r="M24" s="1296"/>
      <c r="N24" s="1299" t="str">
        <f t="shared" si="5"/>
        <v xml:space="preserve"> </v>
      </c>
      <c r="O24" s="1299" t="str">
        <f t="shared" si="14"/>
        <v/>
      </c>
      <c r="P24" s="1295">
        <f t="shared" si="6"/>
        <v>111</v>
      </c>
      <c r="Q24" s="1296"/>
      <c r="R24" s="1296"/>
      <c r="S24" s="1299" t="str">
        <f t="shared" si="7"/>
        <v xml:space="preserve"> </v>
      </c>
      <c r="T24" s="1299" t="str">
        <f t="shared" si="12"/>
        <v/>
      </c>
      <c r="U24" s="1298">
        <f t="shared" si="8"/>
        <v>141</v>
      </c>
      <c r="V24" s="1296"/>
      <c r="W24" s="1296"/>
      <c r="X24" s="1299" t="str">
        <f t="shared" si="9"/>
        <v xml:space="preserve"> </v>
      </c>
      <c r="Y24" s="1299" t="str">
        <f t="shared" si="15"/>
        <v/>
      </c>
      <c r="Z24" s="1295">
        <f t="shared" si="10"/>
        <v>171</v>
      </c>
      <c r="AA24" s="1296"/>
      <c r="AB24" s="1296"/>
      <c r="AC24" s="1299" t="str">
        <f t="shared" si="11"/>
        <v xml:space="preserve"> </v>
      </c>
      <c r="AD24" s="1299" t="str">
        <f t="shared" si="16"/>
        <v/>
      </c>
      <c r="AE24" s="1300"/>
      <c r="AF24" s="1300"/>
      <c r="AG24" s="1300"/>
      <c r="AH24" s="1300"/>
      <c r="AI24" s="1300"/>
      <c r="AJ24" s="1300"/>
      <c r="AK24" s="1300"/>
      <c r="AL24" s="1300"/>
      <c r="AM24" s="1300"/>
      <c r="AN24" s="1300"/>
      <c r="AO24" s="1300"/>
      <c r="AP24" s="1300"/>
      <c r="AQ24" s="1300"/>
      <c r="AR24" s="1300"/>
      <c r="AS24" s="1300"/>
      <c r="AT24" s="1300"/>
      <c r="AU24" s="1300"/>
      <c r="AV24" s="1300"/>
      <c r="AW24" s="1300"/>
      <c r="AX24" s="1300"/>
      <c r="AY24" s="1300"/>
      <c r="AZ24" s="1300"/>
      <c r="BA24" s="1300"/>
      <c r="BB24" s="1300"/>
      <c r="BC24" s="1300"/>
      <c r="BD24" s="1300"/>
      <c r="BE24" s="1300"/>
      <c r="BF24" s="1300"/>
      <c r="BG24" s="1300"/>
      <c r="BH24" s="1300"/>
      <c r="BI24" s="1300"/>
      <c r="BJ24" s="1300"/>
      <c r="BK24" s="1300"/>
      <c r="BL24" s="1300"/>
      <c r="BM24" s="1300"/>
      <c r="BN24" s="1300"/>
      <c r="BO24" s="1300"/>
      <c r="BP24" s="1300"/>
      <c r="BQ24" s="1300"/>
      <c r="BR24" s="1300"/>
      <c r="BS24" s="1300"/>
      <c r="BT24" s="1300"/>
      <c r="BU24" s="1300"/>
      <c r="BV24" s="1300"/>
      <c r="BW24" s="1300"/>
      <c r="BX24" s="1300"/>
      <c r="BY24" s="1300"/>
      <c r="BZ24" s="1300"/>
      <c r="CA24" s="1300"/>
      <c r="CB24" s="1300"/>
      <c r="CC24" s="1300"/>
      <c r="CD24" s="1300"/>
      <c r="CE24" s="1300"/>
      <c r="CF24" s="1300"/>
      <c r="CG24" s="1300"/>
      <c r="CH24" s="1300"/>
      <c r="CI24" s="1300"/>
      <c r="CJ24" s="1300"/>
      <c r="CK24" s="1300"/>
      <c r="CL24" s="1300"/>
      <c r="CM24" s="1300"/>
      <c r="CN24" s="1300"/>
      <c r="CO24" s="1300"/>
      <c r="CP24" s="1300"/>
      <c r="CQ24" s="1300"/>
      <c r="CR24" s="1300"/>
      <c r="CS24" s="1300"/>
      <c r="CT24" s="1300"/>
      <c r="CU24" s="1300"/>
      <c r="CV24" s="1300"/>
      <c r="CW24" s="1300"/>
      <c r="CX24" s="1300"/>
      <c r="CY24" s="1300"/>
      <c r="CZ24" s="1300"/>
      <c r="DA24" s="1300"/>
      <c r="DB24" s="1300"/>
      <c r="DC24" s="1300"/>
      <c r="DD24" s="1300"/>
      <c r="DE24" s="1300"/>
      <c r="DF24" s="1300"/>
      <c r="DG24" s="1300"/>
      <c r="DH24" s="1300"/>
      <c r="DI24" s="1300"/>
      <c r="DJ24" s="1300"/>
      <c r="DK24" s="1300"/>
      <c r="DL24" s="1300"/>
      <c r="DM24" s="1300"/>
      <c r="DN24" s="1300"/>
      <c r="DO24" s="1300"/>
      <c r="DP24" s="1300"/>
      <c r="DQ24" s="1300"/>
      <c r="DR24" s="1300"/>
      <c r="DS24" s="1300"/>
      <c r="DT24" s="1300"/>
      <c r="DU24" s="1300"/>
      <c r="DV24" s="1300"/>
      <c r="DW24" s="1300"/>
      <c r="DX24" s="1300"/>
      <c r="DY24" s="1300"/>
      <c r="DZ24" s="1300"/>
      <c r="EA24" s="1300"/>
      <c r="EB24" s="1300"/>
      <c r="EC24" s="1300"/>
      <c r="ED24" s="1300"/>
      <c r="EE24" s="1300"/>
      <c r="EF24" s="1300"/>
      <c r="EG24" s="1300"/>
      <c r="EH24" s="1300"/>
      <c r="EI24" s="1300"/>
      <c r="EJ24" s="1300"/>
      <c r="EK24" s="1300"/>
      <c r="EL24" s="1300"/>
      <c r="EM24" s="1300"/>
      <c r="EN24" s="1300"/>
      <c r="EO24" s="1300"/>
      <c r="EP24" s="1300"/>
      <c r="EQ24" s="1300"/>
      <c r="ER24" s="1300"/>
      <c r="ES24" s="1300"/>
      <c r="ET24" s="1300"/>
      <c r="EU24" s="1300"/>
      <c r="EV24" s="1300"/>
      <c r="EW24" s="1300"/>
      <c r="EX24" s="1300"/>
      <c r="EY24" s="1300"/>
      <c r="EZ24" s="1300"/>
      <c r="FA24" s="1300"/>
      <c r="FB24" s="1300"/>
      <c r="FC24" s="1300"/>
      <c r="FD24" s="1300"/>
      <c r="FE24" s="1300"/>
      <c r="FF24" s="1300"/>
      <c r="FG24" s="1300"/>
      <c r="FH24" s="1300"/>
      <c r="FI24" s="1300"/>
      <c r="FJ24" s="1300"/>
      <c r="FK24" s="1300"/>
      <c r="FL24" s="1300"/>
      <c r="FM24" s="1300"/>
      <c r="FN24" s="1300"/>
      <c r="FO24" s="1300"/>
      <c r="FP24" s="1300"/>
      <c r="FQ24" s="1300"/>
      <c r="FR24" s="1300"/>
      <c r="FS24" s="1300"/>
      <c r="FT24" s="1300"/>
      <c r="FU24" s="1300"/>
      <c r="FV24" s="1300"/>
      <c r="FW24" s="1300"/>
      <c r="FX24" s="1300"/>
      <c r="FY24" s="1300"/>
      <c r="FZ24" s="1300"/>
      <c r="GA24" s="1300"/>
      <c r="GB24" s="1300"/>
      <c r="GC24" s="1300"/>
      <c r="GD24" s="1300"/>
      <c r="GE24" s="1300"/>
      <c r="GF24" s="1300"/>
      <c r="GG24" s="1300"/>
      <c r="GH24" s="1300"/>
      <c r="GI24" s="1300"/>
      <c r="GJ24" s="1300"/>
      <c r="GK24" s="1300"/>
      <c r="GL24" s="1300"/>
      <c r="GM24" s="1300"/>
      <c r="GN24" s="1300"/>
      <c r="GO24" s="1300"/>
      <c r="GP24" s="1300"/>
      <c r="GQ24" s="1300"/>
      <c r="GR24" s="1300"/>
      <c r="GS24" s="1300"/>
      <c r="GT24" s="1300"/>
      <c r="GU24" s="1300"/>
      <c r="GV24" s="1300"/>
      <c r="GW24" s="1300"/>
      <c r="GX24" s="1300"/>
      <c r="GY24" s="1300"/>
      <c r="GZ24" s="1300"/>
      <c r="HA24" s="1300"/>
      <c r="HB24" s="1300"/>
      <c r="HC24" s="1300"/>
      <c r="HD24" s="1300"/>
      <c r="HE24" s="1300"/>
      <c r="HF24" s="1300"/>
      <c r="HG24" s="1300"/>
      <c r="HH24" s="1300"/>
      <c r="HI24" s="1300"/>
      <c r="HJ24" s="1300"/>
      <c r="HK24" s="1300"/>
      <c r="HL24" s="1300"/>
      <c r="HM24" s="1300"/>
      <c r="HN24" s="1300"/>
      <c r="HO24" s="1300"/>
      <c r="HP24" s="1300"/>
      <c r="HQ24" s="1300"/>
      <c r="HR24" s="1300"/>
      <c r="HS24" s="1300"/>
      <c r="HT24" s="1300"/>
      <c r="HU24" s="1300"/>
      <c r="HV24" s="1300"/>
      <c r="HW24" s="1300"/>
      <c r="HX24" s="1300"/>
      <c r="HY24" s="1300"/>
      <c r="HZ24" s="1300"/>
      <c r="IA24" s="1300"/>
      <c r="IB24" s="1300"/>
      <c r="IC24" s="1300"/>
      <c r="ID24" s="1300"/>
      <c r="IE24" s="1300"/>
      <c r="IF24" s="1300"/>
      <c r="IG24" s="1300"/>
      <c r="IH24" s="1300"/>
      <c r="II24" s="1300"/>
      <c r="IJ24" s="1300"/>
      <c r="IK24" s="1300"/>
      <c r="IL24" s="1300"/>
      <c r="IM24" s="1300"/>
      <c r="IN24" s="1300"/>
      <c r="IO24" s="1300"/>
      <c r="IP24" s="1300"/>
      <c r="IQ24" s="1300"/>
      <c r="IR24" s="1300"/>
      <c r="IS24" s="1300"/>
      <c r="IT24" s="1300"/>
      <c r="IU24" s="1300"/>
      <c r="IV24" s="1300"/>
    </row>
    <row r="25" spans="1:256">
      <c r="A25" s="1295">
        <f t="shared" si="0"/>
        <v>22</v>
      </c>
      <c r="B25" s="1296"/>
      <c r="C25" s="1296"/>
      <c r="D25" s="1299" t="str">
        <f t="shared" si="1"/>
        <v xml:space="preserve"> </v>
      </c>
      <c r="E25" s="1299" t="str">
        <f t="shared" si="17"/>
        <v/>
      </c>
      <c r="F25" s="1298">
        <f t="shared" si="2"/>
        <v>52</v>
      </c>
      <c r="G25" s="1296"/>
      <c r="H25" s="1296"/>
      <c r="I25" s="1299" t="str">
        <f t="shared" si="3"/>
        <v xml:space="preserve"> </v>
      </c>
      <c r="J25" s="1299" t="str">
        <f t="shared" si="13"/>
        <v/>
      </c>
      <c r="K25" s="1295">
        <f t="shared" si="4"/>
        <v>82</v>
      </c>
      <c r="L25" s="1296"/>
      <c r="M25" s="1296"/>
      <c r="N25" s="1299" t="str">
        <f t="shared" si="5"/>
        <v xml:space="preserve"> </v>
      </c>
      <c r="O25" s="1299" t="str">
        <f>IF(ISBLANK(L25), "",AVERAGE(N19:N25))</f>
        <v/>
      </c>
      <c r="P25" s="1295">
        <f t="shared" si="6"/>
        <v>112</v>
      </c>
      <c r="Q25" s="1296"/>
      <c r="R25" s="1296"/>
      <c r="S25" s="1299" t="str">
        <f t="shared" si="7"/>
        <v xml:space="preserve"> </v>
      </c>
      <c r="T25" s="1299" t="str">
        <f t="shared" si="12"/>
        <v/>
      </c>
      <c r="U25" s="1298">
        <f t="shared" si="8"/>
        <v>142</v>
      </c>
      <c r="V25" s="1296"/>
      <c r="W25" s="1296"/>
      <c r="X25" s="1299" t="str">
        <f t="shared" si="9"/>
        <v xml:space="preserve"> </v>
      </c>
      <c r="Y25" s="1299" t="str">
        <f t="shared" si="15"/>
        <v/>
      </c>
      <c r="Z25" s="1295">
        <f t="shared" si="10"/>
        <v>172</v>
      </c>
      <c r="AA25" s="1296"/>
      <c r="AB25" s="1296"/>
      <c r="AC25" s="1299" t="str">
        <f t="shared" si="11"/>
        <v xml:space="preserve"> </v>
      </c>
      <c r="AD25" s="1299" t="str">
        <f>IF(ISBLANK(AA25), "",AVERAGE(AC19:AC25))</f>
        <v/>
      </c>
      <c r="AE25" s="1300"/>
      <c r="AF25" s="1300"/>
      <c r="AG25" s="1300"/>
      <c r="AH25" s="1300"/>
      <c r="AI25" s="1300"/>
      <c r="AJ25" s="1300"/>
      <c r="AK25" s="1300"/>
      <c r="AL25" s="1300"/>
      <c r="AM25" s="1300"/>
      <c r="AN25" s="1300"/>
      <c r="AO25" s="1300"/>
      <c r="AP25" s="1300"/>
      <c r="AQ25" s="1300"/>
      <c r="AR25" s="1300"/>
      <c r="AS25" s="1300"/>
      <c r="AT25" s="1300"/>
      <c r="AU25" s="1300"/>
      <c r="AV25" s="1300"/>
      <c r="AW25" s="1300"/>
      <c r="AX25" s="1300"/>
      <c r="AY25" s="1300"/>
      <c r="AZ25" s="1300"/>
      <c r="BA25" s="1300"/>
      <c r="BB25" s="1300"/>
      <c r="BC25" s="1300"/>
      <c r="BD25" s="1300"/>
      <c r="BE25" s="1300"/>
      <c r="BF25" s="1300"/>
      <c r="BG25" s="1300"/>
      <c r="BH25" s="1300"/>
      <c r="BI25" s="1300"/>
      <c r="BJ25" s="1300"/>
      <c r="BK25" s="1300"/>
      <c r="BL25" s="1300"/>
      <c r="BM25" s="1300"/>
      <c r="BN25" s="1300"/>
      <c r="BO25" s="1300"/>
      <c r="BP25" s="1300"/>
      <c r="BQ25" s="1300"/>
      <c r="BR25" s="1300"/>
      <c r="BS25" s="1300"/>
      <c r="BT25" s="1300"/>
      <c r="BU25" s="1300"/>
      <c r="BV25" s="1300"/>
      <c r="BW25" s="1300"/>
      <c r="BX25" s="1300"/>
      <c r="BY25" s="1300"/>
      <c r="BZ25" s="1300"/>
      <c r="CA25" s="1300"/>
      <c r="CB25" s="1300"/>
      <c r="CC25" s="1300"/>
      <c r="CD25" s="1300"/>
      <c r="CE25" s="1300"/>
      <c r="CF25" s="1300"/>
      <c r="CG25" s="1300"/>
      <c r="CH25" s="1300"/>
      <c r="CI25" s="1300"/>
      <c r="CJ25" s="1300"/>
      <c r="CK25" s="1300"/>
      <c r="CL25" s="1300"/>
      <c r="CM25" s="1300"/>
      <c r="CN25" s="1300"/>
      <c r="CO25" s="1300"/>
      <c r="CP25" s="1300"/>
      <c r="CQ25" s="1300"/>
      <c r="CR25" s="1300"/>
      <c r="CS25" s="1300"/>
      <c r="CT25" s="1300"/>
      <c r="CU25" s="1300"/>
      <c r="CV25" s="1300"/>
      <c r="CW25" s="1300"/>
      <c r="CX25" s="1300"/>
      <c r="CY25" s="1300"/>
      <c r="CZ25" s="1300"/>
      <c r="DA25" s="1300"/>
      <c r="DB25" s="1300"/>
      <c r="DC25" s="1300"/>
      <c r="DD25" s="1300"/>
      <c r="DE25" s="1300"/>
      <c r="DF25" s="1300"/>
      <c r="DG25" s="1300"/>
      <c r="DH25" s="1300"/>
      <c r="DI25" s="1300"/>
      <c r="DJ25" s="1300"/>
      <c r="DK25" s="1300"/>
      <c r="DL25" s="1300"/>
      <c r="DM25" s="1300"/>
      <c r="DN25" s="1300"/>
      <c r="DO25" s="1300"/>
      <c r="DP25" s="1300"/>
      <c r="DQ25" s="1300"/>
      <c r="DR25" s="1300"/>
      <c r="DS25" s="1300"/>
      <c r="DT25" s="1300"/>
      <c r="DU25" s="1300"/>
      <c r="DV25" s="1300"/>
      <c r="DW25" s="1300"/>
      <c r="DX25" s="1300"/>
      <c r="DY25" s="1300"/>
      <c r="DZ25" s="1300"/>
      <c r="EA25" s="1300"/>
      <c r="EB25" s="1300"/>
      <c r="EC25" s="1300"/>
      <c r="ED25" s="1300"/>
      <c r="EE25" s="1300"/>
      <c r="EF25" s="1300"/>
      <c r="EG25" s="1300"/>
      <c r="EH25" s="1300"/>
      <c r="EI25" s="1300"/>
      <c r="EJ25" s="1300"/>
      <c r="EK25" s="1300"/>
      <c r="EL25" s="1300"/>
      <c r="EM25" s="1300"/>
      <c r="EN25" s="1300"/>
      <c r="EO25" s="1300"/>
      <c r="EP25" s="1300"/>
      <c r="EQ25" s="1300"/>
      <c r="ER25" s="1300"/>
      <c r="ES25" s="1300"/>
      <c r="ET25" s="1300"/>
      <c r="EU25" s="1300"/>
      <c r="EV25" s="1300"/>
      <c r="EW25" s="1300"/>
      <c r="EX25" s="1300"/>
      <c r="EY25" s="1300"/>
      <c r="EZ25" s="1300"/>
      <c r="FA25" s="1300"/>
      <c r="FB25" s="1300"/>
      <c r="FC25" s="1300"/>
      <c r="FD25" s="1300"/>
      <c r="FE25" s="1300"/>
      <c r="FF25" s="1300"/>
      <c r="FG25" s="1300"/>
      <c r="FH25" s="1300"/>
      <c r="FI25" s="1300"/>
      <c r="FJ25" s="1300"/>
      <c r="FK25" s="1300"/>
      <c r="FL25" s="1300"/>
      <c r="FM25" s="1300"/>
      <c r="FN25" s="1300"/>
      <c r="FO25" s="1300"/>
      <c r="FP25" s="1300"/>
      <c r="FQ25" s="1300"/>
      <c r="FR25" s="1300"/>
      <c r="FS25" s="1300"/>
      <c r="FT25" s="1300"/>
      <c r="FU25" s="1300"/>
      <c r="FV25" s="1300"/>
      <c r="FW25" s="1300"/>
      <c r="FX25" s="1300"/>
      <c r="FY25" s="1300"/>
      <c r="FZ25" s="1300"/>
      <c r="GA25" s="1300"/>
      <c r="GB25" s="1300"/>
      <c r="GC25" s="1300"/>
      <c r="GD25" s="1300"/>
      <c r="GE25" s="1300"/>
      <c r="GF25" s="1300"/>
      <c r="GG25" s="1300"/>
      <c r="GH25" s="1300"/>
      <c r="GI25" s="1300"/>
      <c r="GJ25" s="1300"/>
      <c r="GK25" s="1300"/>
      <c r="GL25" s="1300"/>
      <c r="GM25" s="1300"/>
      <c r="GN25" s="1300"/>
      <c r="GO25" s="1300"/>
      <c r="GP25" s="1300"/>
      <c r="GQ25" s="1300"/>
      <c r="GR25" s="1300"/>
      <c r="GS25" s="1300"/>
      <c r="GT25" s="1300"/>
      <c r="GU25" s="1300"/>
      <c r="GV25" s="1300"/>
      <c r="GW25" s="1300"/>
      <c r="GX25" s="1300"/>
      <c r="GY25" s="1300"/>
      <c r="GZ25" s="1300"/>
      <c r="HA25" s="1300"/>
      <c r="HB25" s="1300"/>
      <c r="HC25" s="1300"/>
      <c r="HD25" s="1300"/>
      <c r="HE25" s="1300"/>
      <c r="HF25" s="1300"/>
      <c r="HG25" s="1300"/>
      <c r="HH25" s="1300"/>
      <c r="HI25" s="1300"/>
      <c r="HJ25" s="1300"/>
      <c r="HK25" s="1300"/>
      <c r="HL25" s="1300"/>
      <c r="HM25" s="1300"/>
      <c r="HN25" s="1300"/>
      <c r="HO25" s="1300"/>
      <c r="HP25" s="1300"/>
      <c r="HQ25" s="1300"/>
      <c r="HR25" s="1300"/>
      <c r="HS25" s="1300"/>
      <c r="HT25" s="1300"/>
      <c r="HU25" s="1300"/>
      <c r="HV25" s="1300"/>
      <c r="HW25" s="1300"/>
      <c r="HX25" s="1300"/>
      <c r="HY25" s="1300"/>
      <c r="HZ25" s="1300"/>
      <c r="IA25" s="1300"/>
      <c r="IB25" s="1300"/>
      <c r="IC25" s="1300"/>
      <c r="ID25" s="1300"/>
      <c r="IE25" s="1300"/>
      <c r="IF25" s="1300"/>
      <c r="IG25" s="1300"/>
      <c r="IH25" s="1300"/>
      <c r="II25" s="1300"/>
      <c r="IJ25" s="1300"/>
      <c r="IK25" s="1300"/>
      <c r="IL25" s="1300"/>
      <c r="IM25" s="1300"/>
      <c r="IN25" s="1300"/>
      <c r="IO25" s="1300"/>
      <c r="IP25" s="1300"/>
      <c r="IQ25" s="1300"/>
      <c r="IR25" s="1300"/>
      <c r="IS25" s="1300"/>
      <c r="IT25" s="1300"/>
      <c r="IU25" s="1300"/>
      <c r="IV25" s="1300"/>
    </row>
    <row r="26" spans="1:256">
      <c r="A26" s="1295">
        <f t="shared" si="0"/>
        <v>23</v>
      </c>
      <c r="B26" s="1296"/>
      <c r="C26" s="1296"/>
      <c r="D26" s="1299" t="str">
        <f t="shared" si="1"/>
        <v xml:space="preserve"> </v>
      </c>
      <c r="E26" s="1299" t="str">
        <f t="shared" si="17"/>
        <v/>
      </c>
      <c r="F26" s="1298">
        <f t="shared" si="2"/>
        <v>53</v>
      </c>
      <c r="G26" s="1296"/>
      <c r="H26" s="1296"/>
      <c r="I26" s="1299" t="str">
        <f t="shared" si="3"/>
        <v xml:space="preserve"> </v>
      </c>
      <c r="J26" s="1299" t="str">
        <f t="shared" si="13"/>
        <v/>
      </c>
      <c r="K26" s="1295">
        <f t="shared" si="4"/>
        <v>83</v>
      </c>
      <c r="L26" s="1296"/>
      <c r="M26" s="1296"/>
      <c r="N26" s="1299" t="str">
        <f t="shared" si="5"/>
        <v xml:space="preserve"> </v>
      </c>
      <c r="O26" s="1299" t="str">
        <f t="shared" si="14"/>
        <v/>
      </c>
      <c r="P26" s="1295">
        <f t="shared" si="6"/>
        <v>113</v>
      </c>
      <c r="Q26" s="1296"/>
      <c r="R26" s="1296"/>
      <c r="S26" s="1299" t="str">
        <f t="shared" si="7"/>
        <v xml:space="preserve"> </v>
      </c>
      <c r="T26" s="1299" t="str">
        <f t="shared" si="12"/>
        <v/>
      </c>
      <c r="U26" s="1298">
        <f t="shared" si="8"/>
        <v>143</v>
      </c>
      <c r="V26" s="1296"/>
      <c r="W26" s="1296"/>
      <c r="X26" s="1299" t="str">
        <f t="shared" si="9"/>
        <v xml:space="preserve"> </v>
      </c>
      <c r="Y26" s="1299" t="str">
        <f t="shared" si="15"/>
        <v/>
      </c>
      <c r="Z26" s="1295">
        <f t="shared" si="10"/>
        <v>173</v>
      </c>
      <c r="AA26" s="1296"/>
      <c r="AB26" s="1296"/>
      <c r="AC26" s="1299" t="str">
        <f t="shared" si="11"/>
        <v xml:space="preserve"> </v>
      </c>
      <c r="AD26" s="1299" t="str">
        <f t="shared" ref="AD26:AD33" si="18">IF(ISBLANK(AA26), "",AVERAGE(AC20:AC26))</f>
        <v/>
      </c>
      <c r="AE26" s="1300"/>
      <c r="AF26" s="1300"/>
      <c r="AG26" s="1300"/>
      <c r="AH26" s="1300"/>
      <c r="AI26" s="1300"/>
      <c r="AJ26" s="1300"/>
      <c r="AK26" s="1300"/>
      <c r="AL26" s="1300"/>
      <c r="AM26" s="1300"/>
      <c r="AN26" s="1300"/>
      <c r="AO26" s="1300"/>
      <c r="AP26" s="1300"/>
      <c r="AQ26" s="1300"/>
      <c r="AR26" s="1300"/>
      <c r="AS26" s="1300"/>
      <c r="AT26" s="1300"/>
      <c r="AU26" s="1300"/>
      <c r="AV26" s="1300"/>
      <c r="AW26" s="1300"/>
      <c r="AX26" s="1300"/>
      <c r="AY26" s="1300"/>
      <c r="AZ26" s="1300"/>
      <c r="BA26" s="1300"/>
      <c r="BB26" s="1300"/>
      <c r="BC26" s="1300"/>
      <c r="BD26" s="1300"/>
      <c r="BE26" s="1300"/>
      <c r="BF26" s="1300"/>
      <c r="BG26" s="1300"/>
      <c r="BH26" s="1300"/>
      <c r="BI26" s="1300"/>
      <c r="BJ26" s="1300"/>
      <c r="BK26" s="1300"/>
      <c r="BL26" s="1300"/>
      <c r="BM26" s="1300"/>
      <c r="BN26" s="1300"/>
      <c r="BO26" s="1300"/>
      <c r="BP26" s="1300"/>
      <c r="BQ26" s="1300"/>
      <c r="BR26" s="1300"/>
      <c r="BS26" s="1300"/>
      <c r="BT26" s="1300"/>
      <c r="BU26" s="1300"/>
      <c r="BV26" s="1300"/>
      <c r="BW26" s="1300"/>
      <c r="BX26" s="1300"/>
      <c r="BY26" s="1300"/>
      <c r="BZ26" s="1300"/>
      <c r="CA26" s="1300"/>
      <c r="CB26" s="1300"/>
      <c r="CC26" s="1300"/>
      <c r="CD26" s="1300"/>
      <c r="CE26" s="1300"/>
      <c r="CF26" s="1300"/>
      <c r="CG26" s="1300"/>
      <c r="CH26" s="1300"/>
      <c r="CI26" s="1300"/>
      <c r="CJ26" s="1300"/>
      <c r="CK26" s="1300"/>
      <c r="CL26" s="1300"/>
      <c r="CM26" s="1300"/>
      <c r="CN26" s="1300"/>
      <c r="CO26" s="1300"/>
      <c r="CP26" s="1300"/>
      <c r="CQ26" s="1300"/>
      <c r="CR26" s="1300"/>
      <c r="CS26" s="1300"/>
      <c r="CT26" s="1300"/>
      <c r="CU26" s="1300"/>
      <c r="CV26" s="1300"/>
      <c r="CW26" s="1300"/>
      <c r="CX26" s="1300"/>
      <c r="CY26" s="1300"/>
      <c r="CZ26" s="1300"/>
      <c r="DA26" s="1300"/>
      <c r="DB26" s="1300"/>
      <c r="DC26" s="1300"/>
      <c r="DD26" s="1300"/>
      <c r="DE26" s="1300"/>
      <c r="DF26" s="1300"/>
      <c r="DG26" s="1300"/>
      <c r="DH26" s="1300"/>
      <c r="DI26" s="1300"/>
      <c r="DJ26" s="1300"/>
      <c r="DK26" s="1300"/>
      <c r="DL26" s="1300"/>
      <c r="DM26" s="1300"/>
      <c r="DN26" s="1300"/>
      <c r="DO26" s="1300"/>
      <c r="DP26" s="1300"/>
      <c r="DQ26" s="1300"/>
      <c r="DR26" s="1300"/>
      <c r="DS26" s="1300"/>
      <c r="DT26" s="1300"/>
      <c r="DU26" s="1300"/>
      <c r="DV26" s="1300"/>
      <c r="DW26" s="1300"/>
      <c r="DX26" s="1300"/>
      <c r="DY26" s="1300"/>
      <c r="DZ26" s="1300"/>
      <c r="EA26" s="1300"/>
      <c r="EB26" s="1300"/>
      <c r="EC26" s="1300"/>
      <c r="ED26" s="1300"/>
      <c r="EE26" s="1300"/>
      <c r="EF26" s="1300"/>
      <c r="EG26" s="1300"/>
      <c r="EH26" s="1300"/>
      <c r="EI26" s="1300"/>
      <c r="EJ26" s="1300"/>
      <c r="EK26" s="1300"/>
      <c r="EL26" s="1300"/>
      <c r="EM26" s="1300"/>
      <c r="EN26" s="1300"/>
      <c r="EO26" s="1300"/>
      <c r="EP26" s="1300"/>
      <c r="EQ26" s="1300"/>
      <c r="ER26" s="1300"/>
      <c r="ES26" s="1300"/>
      <c r="ET26" s="1300"/>
      <c r="EU26" s="1300"/>
      <c r="EV26" s="1300"/>
      <c r="EW26" s="1300"/>
      <c r="EX26" s="1300"/>
      <c r="EY26" s="1300"/>
      <c r="EZ26" s="1300"/>
      <c r="FA26" s="1300"/>
      <c r="FB26" s="1300"/>
      <c r="FC26" s="1300"/>
      <c r="FD26" s="1300"/>
      <c r="FE26" s="1300"/>
      <c r="FF26" s="1300"/>
      <c r="FG26" s="1300"/>
      <c r="FH26" s="1300"/>
      <c r="FI26" s="1300"/>
      <c r="FJ26" s="1300"/>
      <c r="FK26" s="1300"/>
      <c r="FL26" s="1300"/>
      <c r="FM26" s="1300"/>
      <c r="FN26" s="1300"/>
      <c r="FO26" s="1300"/>
      <c r="FP26" s="1300"/>
      <c r="FQ26" s="1300"/>
      <c r="FR26" s="1300"/>
      <c r="FS26" s="1300"/>
      <c r="FT26" s="1300"/>
      <c r="FU26" s="1300"/>
      <c r="FV26" s="1300"/>
      <c r="FW26" s="1300"/>
      <c r="FX26" s="1300"/>
      <c r="FY26" s="1300"/>
      <c r="FZ26" s="1300"/>
      <c r="GA26" s="1300"/>
      <c r="GB26" s="1300"/>
      <c r="GC26" s="1300"/>
      <c r="GD26" s="1300"/>
      <c r="GE26" s="1300"/>
      <c r="GF26" s="1300"/>
      <c r="GG26" s="1300"/>
      <c r="GH26" s="1300"/>
      <c r="GI26" s="1300"/>
      <c r="GJ26" s="1300"/>
      <c r="GK26" s="1300"/>
      <c r="GL26" s="1300"/>
      <c r="GM26" s="1300"/>
      <c r="GN26" s="1300"/>
      <c r="GO26" s="1300"/>
      <c r="GP26" s="1300"/>
      <c r="GQ26" s="1300"/>
      <c r="GR26" s="1300"/>
      <c r="GS26" s="1300"/>
      <c r="GT26" s="1300"/>
      <c r="GU26" s="1300"/>
      <c r="GV26" s="1300"/>
      <c r="GW26" s="1300"/>
      <c r="GX26" s="1300"/>
      <c r="GY26" s="1300"/>
      <c r="GZ26" s="1300"/>
      <c r="HA26" s="1300"/>
      <c r="HB26" s="1300"/>
      <c r="HC26" s="1300"/>
      <c r="HD26" s="1300"/>
      <c r="HE26" s="1300"/>
      <c r="HF26" s="1300"/>
      <c r="HG26" s="1300"/>
      <c r="HH26" s="1300"/>
      <c r="HI26" s="1300"/>
      <c r="HJ26" s="1300"/>
      <c r="HK26" s="1300"/>
      <c r="HL26" s="1300"/>
      <c r="HM26" s="1300"/>
      <c r="HN26" s="1300"/>
      <c r="HO26" s="1300"/>
      <c r="HP26" s="1300"/>
      <c r="HQ26" s="1300"/>
      <c r="HR26" s="1300"/>
      <c r="HS26" s="1300"/>
      <c r="HT26" s="1300"/>
      <c r="HU26" s="1300"/>
      <c r="HV26" s="1300"/>
      <c r="HW26" s="1300"/>
      <c r="HX26" s="1300"/>
      <c r="HY26" s="1300"/>
      <c r="HZ26" s="1300"/>
      <c r="IA26" s="1300"/>
      <c r="IB26" s="1300"/>
      <c r="IC26" s="1300"/>
      <c r="ID26" s="1300"/>
      <c r="IE26" s="1300"/>
      <c r="IF26" s="1300"/>
      <c r="IG26" s="1300"/>
      <c r="IH26" s="1300"/>
      <c r="II26" s="1300"/>
      <c r="IJ26" s="1300"/>
      <c r="IK26" s="1300"/>
      <c r="IL26" s="1300"/>
      <c r="IM26" s="1300"/>
      <c r="IN26" s="1300"/>
      <c r="IO26" s="1300"/>
      <c r="IP26" s="1300"/>
      <c r="IQ26" s="1300"/>
      <c r="IR26" s="1300"/>
      <c r="IS26" s="1300"/>
      <c r="IT26" s="1300"/>
      <c r="IU26" s="1300"/>
      <c r="IV26" s="1300"/>
    </row>
    <row r="27" spans="1:256">
      <c r="A27" s="1295">
        <f t="shared" si="0"/>
        <v>24</v>
      </c>
      <c r="B27" s="1296"/>
      <c r="C27" s="1296"/>
      <c r="D27" s="1299" t="str">
        <f t="shared" si="1"/>
        <v xml:space="preserve"> </v>
      </c>
      <c r="E27" s="1299" t="str">
        <f t="shared" si="17"/>
        <v/>
      </c>
      <c r="F27" s="1298">
        <f t="shared" si="2"/>
        <v>54</v>
      </c>
      <c r="G27" s="1302"/>
      <c r="H27" s="1302"/>
      <c r="I27" s="1299" t="str">
        <f t="shared" si="3"/>
        <v xml:space="preserve"> </v>
      </c>
      <c r="J27" s="1299" t="str">
        <f t="shared" si="13"/>
        <v/>
      </c>
      <c r="K27" s="1295">
        <f t="shared" si="4"/>
        <v>84</v>
      </c>
      <c r="L27" s="1302"/>
      <c r="M27" s="1302"/>
      <c r="N27" s="1299" t="str">
        <f t="shared" si="5"/>
        <v xml:space="preserve"> </v>
      </c>
      <c r="O27" s="1299" t="str">
        <f t="shared" si="14"/>
        <v/>
      </c>
      <c r="P27" s="1295">
        <f t="shared" si="6"/>
        <v>114</v>
      </c>
      <c r="Q27" s="1296"/>
      <c r="R27" s="1296"/>
      <c r="S27" s="1299" t="str">
        <f t="shared" si="7"/>
        <v xml:space="preserve"> </v>
      </c>
      <c r="T27" s="1299" t="str">
        <f t="shared" si="12"/>
        <v/>
      </c>
      <c r="U27" s="1298">
        <f t="shared" si="8"/>
        <v>144</v>
      </c>
      <c r="V27" s="1296"/>
      <c r="W27" s="1296"/>
      <c r="X27" s="1299" t="str">
        <f t="shared" si="9"/>
        <v xml:space="preserve"> </v>
      </c>
      <c r="Y27" s="1299" t="str">
        <f t="shared" si="15"/>
        <v/>
      </c>
      <c r="Z27" s="1295">
        <f t="shared" si="10"/>
        <v>174</v>
      </c>
      <c r="AA27" s="1296"/>
      <c r="AB27" s="1296"/>
      <c r="AC27" s="1299" t="str">
        <f t="shared" si="11"/>
        <v xml:space="preserve"> </v>
      </c>
      <c r="AD27" s="1299" t="str">
        <f t="shared" si="18"/>
        <v/>
      </c>
      <c r="AE27" s="1300"/>
      <c r="AF27" s="1300"/>
      <c r="AG27" s="1300"/>
      <c r="AH27" s="1300"/>
      <c r="AI27" s="1300"/>
      <c r="AJ27" s="1300"/>
      <c r="AK27" s="1300"/>
      <c r="AL27" s="1300"/>
      <c r="AM27" s="1300"/>
      <c r="AN27" s="1300"/>
      <c r="AO27" s="1300"/>
      <c r="AP27" s="1300"/>
      <c r="AQ27" s="1300"/>
      <c r="AR27" s="1300"/>
      <c r="AS27" s="1300"/>
      <c r="AT27" s="1300"/>
      <c r="AU27" s="1300"/>
      <c r="AV27" s="1300"/>
      <c r="AW27" s="1300"/>
      <c r="AX27" s="1300"/>
      <c r="AY27" s="1300"/>
      <c r="AZ27" s="1300"/>
      <c r="BA27" s="1300"/>
      <c r="BB27" s="1300"/>
      <c r="BC27" s="1300"/>
      <c r="BD27" s="1300"/>
      <c r="BE27" s="1300"/>
      <c r="BF27" s="1300"/>
      <c r="BG27" s="1300"/>
      <c r="BH27" s="1300"/>
      <c r="BI27" s="1300"/>
      <c r="BJ27" s="1300"/>
      <c r="BK27" s="1300"/>
      <c r="BL27" s="1300"/>
      <c r="BM27" s="1300"/>
      <c r="BN27" s="1300"/>
      <c r="BO27" s="1300"/>
      <c r="BP27" s="1300"/>
      <c r="BQ27" s="1300"/>
      <c r="BR27" s="1300"/>
      <c r="BS27" s="1300"/>
      <c r="BT27" s="1300"/>
      <c r="BU27" s="1300"/>
      <c r="BV27" s="1300"/>
      <c r="BW27" s="1300"/>
      <c r="BX27" s="1300"/>
      <c r="BY27" s="1300"/>
      <c r="BZ27" s="1300"/>
      <c r="CA27" s="1300"/>
      <c r="CB27" s="1300"/>
      <c r="CC27" s="1300"/>
      <c r="CD27" s="1300"/>
      <c r="CE27" s="1300"/>
      <c r="CF27" s="1300"/>
      <c r="CG27" s="1300"/>
      <c r="CH27" s="1300"/>
      <c r="CI27" s="1300"/>
      <c r="CJ27" s="1300"/>
      <c r="CK27" s="1300"/>
      <c r="CL27" s="1300"/>
      <c r="CM27" s="1300"/>
      <c r="CN27" s="1300"/>
      <c r="CO27" s="1300"/>
      <c r="CP27" s="1300"/>
      <c r="CQ27" s="1300"/>
      <c r="CR27" s="1300"/>
      <c r="CS27" s="1300"/>
      <c r="CT27" s="1300"/>
      <c r="CU27" s="1300"/>
      <c r="CV27" s="1300"/>
      <c r="CW27" s="1300"/>
      <c r="CX27" s="1300"/>
      <c r="CY27" s="1300"/>
      <c r="CZ27" s="1300"/>
      <c r="DA27" s="1300"/>
      <c r="DB27" s="1300"/>
      <c r="DC27" s="1300"/>
      <c r="DD27" s="1300"/>
      <c r="DE27" s="1300"/>
      <c r="DF27" s="1300"/>
      <c r="DG27" s="1300"/>
      <c r="DH27" s="1300"/>
      <c r="DI27" s="1300"/>
      <c r="DJ27" s="1300"/>
      <c r="DK27" s="1300"/>
      <c r="DL27" s="1300"/>
      <c r="DM27" s="1300"/>
      <c r="DN27" s="1300"/>
      <c r="DO27" s="1300"/>
      <c r="DP27" s="1300"/>
      <c r="DQ27" s="1300"/>
      <c r="DR27" s="1300"/>
      <c r="DS27" s="1300"/>
      <c r="DT27" s="1300"/>
      <c r="DU27" s="1300"/>
      <c r="DV27" s="1300"/>
      <c r="DW27" s="1300"/>
      <c r="DX27" s="1300"/>
      <c r="DY27" s="1300"/>
      <c r="DZ27" s="1300"/>
      <c r="EA27" s="1300"/>
      <c r="EB27" s="1300"/>
      <c r="EC27" s="1300"/>
      <c r="ED27" s="1300"/>
      <c r="EE27" s="1300"/>
      <c r="EF27" s="1300"/>
      <c r="EG27" s="1300"/>
      <c r="EH27" s="1300"/>
      <c r="EI27" s="1300"/>
      <c r="EJ27" s="1300"/>
      <c r="EK27" s="1300"/>
      <c r="EL27" s="1300"/>
      <c r="EM27" s="1300"/>
      <c r="EN27" s="1300"/>
      <c r="EO27" s="1300"/>
      <c r="EP27" s="1300"/>
      <c r="EQ27" s="1300"/>
      <c r="ER27" s="1300"/>
      <c r="ES27" s="1300"/>
      <c r="ET27" s="1300"/>
      <c r="EU27" s="1300"/>
      <c r="EV27" s="1300"/>
      <c r="EW27" s="1300"/>
      <c r="EX27" s="1300"/>
      <c r="EY27" s="1300"/>
      <c r="EZ27" s="1300"/>
      <c r="FA27" s="1300"/>
      <c r="FB27" s="1300"/>
      <c r="FC27" s="1300"/>
      <c r="FD27" s="1300"/>
      <c r="FE27" s="1300"/>
      <c r="FF27" s="1300"/>
      <c r="FG27" s="1300"/>
      <c r="FH27" s="1300"/>
      <c r="FI27" s="1300"/>
      <c r="FJ27" s="1300"/>
      <c r="FK27" s="1300"/>
      <c r="FL27" s="1300"/>
      <c r="FM27" s="1300"/>
      <c r="FN27" s="1300"/>
      <c r="FO27" s="1300"/>
      <c r="FP27" s="1300"/>
      <c r="FQ27" s="1300"/>
      <c r="FR27" s="1300"/>
      <c r="FS27" s="1300"/>
      <c r="FT27" s="1300"/>
      <c r="FU27" s="1300"/>
      <c r="FV27" s="1300"/>
      <c r="FW27" s="1300"/>
      <c r="FX27" s="1300"/>
      <c r="FY27" s="1300"/>
      <c r="FZ27" s="1300"/>
      <c r="GA27" s="1300"/>
      <c r="GB27" s="1300"/>
      <c r="GC27" s="1300"/>
      <c r="GD27" s="1300"/>
      <c r="GE27" s="1300"/>
      <c r="GF27" s="1300"/>
      <c r="GG27" s="1300"/>
      <c r="GH27" s="1300"/>
      <c r="GI27" s="1300"/>
      <c r="GJ27" s="1300"/>
      <c r="GK27" s="1300"/>
      <c r="GL27" s="1300"/>
      <c r="GM27" s="1300"/>
      <c r="GN27" s="1300"/>
      <c r="GO27" s="1300"/>
      <c r="GP27" s="1300"/>
      <c r="GQ27" s="1300"/>
      <c r="GR27" s="1300"/>
      <c r="GS27" s="1300"/>
      <c r="GT27" s="1300"/>
      <c r="GU27" s="1300"/>
      <c r="GV27" s="1300"/>
      <c r="GW27" s="1300"/>
      <c r="GX27" s="1300"/>
      <c r="GY27" s="1300"/>
      <c r="GZ27" s="1300"/>
      <c r="HA27" s="1300"/>
      <c r="HB27" s="1300"/>
      <c r="HC27" s="1300"/>
      <c r="HD27" s="1300"/>
      <c r="HE27" s="1300"/>
      <c r="HF27" s="1300"/>
      <c r="HG27" s="1300"/>
      <c r="HH27" s="1300"/>
      <c r="HI27" s="1300"/>
      <c r="HJ27" s="1300"/>
      <c r="HK27" s="1300"/>
      <c r="HL27" s="1300"/>
      <c r="HM27" s="1300"/>
      <c r="HN27" s="1300"/>
      <c r="HO27" s="1300"/>
      <c r="HP27" s="1300"/>
      <c r="HQ27" s="1300"/>
      <c r="HR27" s="1300"/>
      <c r="HS27" s="1300"/>
      <c r="HT27" s="1300"/>
      <c r="HU27" s="1300"/>
      <c r="HV27" s="1300"/>
      <c r="HW27" s="1300"/>
      <c r="HX27" s="1300"/>
      <c r="HY27" s="1300"/>
      <c r="HZ27" s="1300"/>
      <c r="IA27" s="1300"/>
      <c r="IB27" s="1300"/>
      <c r="IC27" s="1300"/>
      <c r="ID27" s="1300"/>
      <c r="IE27" s="1300"/>
      <c r="IF27" s="1300"/>
      <c r="IG27" s="1300"/>
      <c r="IH27" s="1300"/>
      <c r="II27" s="1300"/>
      <c r="IJ27" s="1300"/>
      <c r="IK27" s="1300"/>
      <c r="IL27" s="1300"/>
      <c r="IM27" s="1300"/>
      <c r="IN27" s="1300"/>
      <c r="IO27" s="1300"/>
      <c r="IP27" s="1300"/>
      <c r="IQ27" s="1300"/>
      <c r="IR27" s="1300"/>
      <c r="IS27" s="1300"/>
      <c r="IT27" s="1300"/>
      <c r="IU27" s="1300"/>
      <c r="IV27" s="1300"/>
    </row>
    <row r="28" spans="1:256">
      <c r="A28" s="1295">
        <f t="shared" si="0"/>
        <v>25</v>
      </c>
      <c r="B28" s="1296"/>
      <c r="C28" s="1296"/>
      <c r="D28" s="1299" t="str">
        <f t="shared" si="1"/>
        <v xml:space="preserve"> </v>
      </c>
      <c r="E28" s="1299" t="str">
        <f t="shared" si="17"/>
        <v/>
      </c>
      <c r="F28" s="1298">
        <f t="shared" si="2"/>
        <v>55</v>
      </c>
      <c r="G28" s="1296"/>
      <c r="H28" s="1296"/>
      <c r="I28" s="1299" t="str">
        <f t="shared" si="3"/>
        <v xml:space="preserve"> </v>
      </c>
      <c r="J28" s="1299" t="str">
        <f t="shared" si="13"/>
        <v/>
      </c>
      <c r="K28" s="1295">
        <f t="shared" si="4"/>
        <v>85</v>
      </c>
      <c r="L28" s="1296"/>
      <c r="M28" s="1296"/>
      <c r="N28" s="1299"/>
      <c r="O28" s="1299"/>
      <c r="P28" s="1295">
        <f t="shared" si="6"/>
        <v>115</v>
      </c>
      <c r="Q28" s="1296"/>
      <c r="R28" s="1296"/>
      <c r="S28" s="1299" t="str">
        <f t="shared" si="7"/>
        <v xml:space="preserve"> </v>
      </c>
      <c r="T28" s="1299" t="str">
        <f t="shared" si="12"/>
        <v/>
      </c>
      <c r="U28" s="1298">
        <f t="shared" si="8"/>
        <v>145</v>
      </c>
      <c r="V28" s="1296"/>
      <c r="W28" s="1296"/>
      <c r="X28" s="1299" t="str">
        <f t="shared" si="9"/>
        <v xml:space="preserve"> </v>
      </c>
      <c r="Y28" s="1299" t="str">
        <f t="shared" si="15"/>
        <v/>
      </c>
      <c r="Z28" s="1295">
        <f t="shared" si="10"/>
        <v>175</v>
      </c>
      <c r="AA28" s="1296"/>
      <c r="AB28" s="1296"/>
      <c r="AC28" s="1299" t="str">
        <f t="shared" si="11"/>
        <v xml:space="preserve"> </v>
      </c>
      <c r="AD28" s="1299" t="str">
        <f t="shared" si="18"/>
        <v/>
      </c>
      <c r="AE28" s="1300"/>
      <c r="AF28" s="1300"/>
      <c r="AG28" s="1300"/>
      <c r="AH28" s="1300"/>
      <c r="AI28" s="1300"/>
      <c r="AJ28" s="1300"/>
      <c r="AK28" s="1300"/>
      <c r="AL28" s="1300"/>
      <c r="AM28" s="1300"/>
      <c r="AN28" s="1300"/>
      <c r="AO28" s="1300"/>
      <c r="AP28" s="1300"/>
      <c r="AQ28" s="1300"/>
      <c r="AR28" s="1300"/>
      <c r="AS28" s="1300"/>
      <c r="AT28" s="1300"/>
      <c r="AU28" s="1300"/>
      <c r="AV28" s="1300"/>
      <c r="AW28" s="1300"/>
      <c r="AX28" s="1300"/>
      <c r="AY28" s="1300"/>
      <c r="AZ28" s="1300"/>
      <c r="BA28" s="1300"/>
      <c r="BB28" s="1300"/>
      <c r="BC28" s="1300"/>
      <c r="BD28" s="1300"/>
      <c r="BE28" s="1300"/>
      <c r="BF28" s="1300"/>
      <c r="BG28" s="1300"/>
      <c r="BH28" s="1300"/>
      <c r="BI28" s="1300"/>
      <c r="BJ28" s="1300"/>
      <c r="BK28" s="1300"/>
      <c r="BL28" s="1300"/>
      <c r="BM28" s="1300"/>
      <c r="BN28" s="1300"/>
      <c r="BO28" s="1300"/>
      <c r="BP28" s="1300"/>
      <c r="BQ28" s="1300"/>
      <c r="BR28" s="1300"/>
      <c r="BS28" s="1300"/>
      <c r="BT28" s="1300"/>
      <c r="BU28" s="1300"/>
      <c r="BV28" s="1300"/>
      <c r="BW28" s="1300"/>
      <c r="BX28" s="1300"/>
      <c r="BY28" s="1300"/>
      <c r="BZ28" s="1300"/>
      <c r="CA28" s="1300"/>
      <c r="CB28" s="1300"/>
      <c r="CC28" s="1300"/>
      <c r="CD28" s="1300"/>
      <c r="CE28" s="1300"/>
      <c r="CF28" s="1300"/>
      <c r="CG28" s="1300"/>
      <c r="CH28" s="1300"/>
      <c r="CI28" s="1300"/>
      <c r="CJ28" s="1300"/>
      <c r="CK28" s="1300"/>
      <c r="CL28" s="1300"/>
      <c r="CM28" s="1300"/>
      <c r="CN28" s="1300"/>
      <c r="CO28" s="1300"/>
      <c r="CP28" s="1300"/>
      <c r="CQ28" s="1300"/>
      <c r="CR28" s="1300"/>
      <c r="CS28" s="1300"/>
      <c r="CT28" s="1300"/>
      <c r="CU28" s="1300"/>
      <c r="CV28" s="1300"/>
      <c r="CW28" s="1300"/>
      <c r="CX28" s="1300"/>
      <c r="CY28" s="1300"/>
      <c r="CZ28" s="1300"/>
      <c r="DA28" s="1300"/>
      <c r="DB28" s="1300"/>
      <c r="DC28" s="1300"/>
      <c r="DD28" s="1300"/>
      <c r="DE28" s="1300"/>
      <c r="DF28" s="1300"/>
      <c r="DG28" s="1300"/>
      <c r="DH28" s="1300"/>
      <c r="DI28" s="1300"/>
      <c r="DJ28" s="1300"/>
      <c r="DK28" s="1300"/>
      <c r="DL28" s="1300"/>
      <c r="DM28" s="1300"/>
      <c r="DN28" s="1300"/>
      <c r="DO28" s="1300"/>
      <c r="DP28" s="1300"/>
      <c r="DQ28" s="1300"/>
      <c r="DR28" s="1300"/>
      <c r="DS28" s="1300"/>
      <c r="DT28" s="1300"/>
      <c r="DU28" s="1300"/>
      <c r="DV28" s="1300"/>
      <c r="DW28" s="1300"/>
      <c r="DX28" s="1300"/>
      <c r="DY28" s="1300"/>
      <c r="DZ28" s="1300"/>
      <c r="EA28" s="1300"/>
      <c r="EB28" s="1300"/>
      <c r="EC28" s="1300"/>
      <c r="ED28" s="1300"/>
      <c r="EE28" s="1300"/>
      <c r="EF28" s="1300"/>
      <c r="EG28" s="1300"/>
      <c r="EH28" s="1300"/>
      <c r="EI28" s="1300"/>
      <c r="EJ28" s="1300"/>
      <c r="EK28" s="1300"/>
      <c r="EL28" s="1300"/>
      <c r="EM28" s="1300"/>
      <c r="EN28" s="1300"/>
      <c r="EO28" s="1300"/>
      <c r="EP28" s="1300"/>
      <c r="EQ28" s="1300"/>
      <c r="ER28" s="1300"/>
      <c r="ES28" s="1300"/>
      <c r="ET28" s="1300"/>
      <c r="EU28" s="1300"/>
      <c r="EV28" s="1300"/>
      <c r="EW28" s="1300"/>
      <c r="EX28" s="1300"/>
      <c r="EY28" s="1300"/>
      <c r="EZ28" s="1300"/>
      <c r="FA28" s="1300"/>
      <c r="FB28" s="1300"/>
      <c r="FC28" s="1300"/>
      <c r="FD28" s="1300"/>
      <c r="FE28" s="1300"/>
      <c r="FF28" s="1300"/>
      <c r="FG28" s="1300"/>
      <c r="FH28" s="1300"/>
      <c r="FI28" s="1300"/>
      <c r="FJ28" s="1300"/>
      <c r="FK28" s="1300"/>
      <c r="FL28" s="1300"/>
      <c r="FM28" s="1300"/>
      <c r="FN28" s="1300"/>
      <c r="FO28" s="1300"/>
      <c r="FP28" s="1300"/>
      <c r="FQ28" s="1300"/>
      <c r="FR28" s="1300"/>
      <c r="FS28" s="1300"/>
      <c r="FT28" s="1300"/>
      <c r="FU28" s="1300"/>
      <c r="FV28" s="1300"/>
      <c r="FW28" s="1300"/>
      <c r="FX28" s="1300"/>
      <c r="FY28" s="1300"/>
      <c r="FZ28" s="1300"/>
      <c r="GA28" s="1300"/>
      <c r="GB28" s="1300"/>
      <c r="GC28" s="1300"/>
      <c r="GD28" s="1300"/>
      <c r="GE28" s="1300"/>
      <c r="GF28" s="1300"/>
      <c r="GG28" s="1300"/>
      <c r="GH28" s="1300"/>
      <c r="GI28" s="1300"/>
      <c r="GJ28" s="1300"/>
      <c r="GK28" s="1300"/>
      <c r="GL28" s="1300"/>
      <c r="GM28" s="1300"/>
      <c r="GN28" s="1300"/>
      <c r="GO28" s="1300"/>
      <c r="GP28" s="1300"/>
      <c r="GQ28" s="1300"/>
      <c r="GR28" s="1300"/>
      <c r="GS28" s="1300"/>
      <c r="GT28" s="1300"/>
      <c r="GU28" s="1300"/>
      <c r="GV28" s="1300"/>
      <c r="GW28" s="1300"/>
      <c r="GX28" s="1300"/>
      <c r="GY28" s="1300"/>
      <c r="GZ28" s="1300"/>
      <c r="HA28" s="1300"/>
      <c r="HB28" s="1300"/>
      <c r="HC28" s="1300"/>
      <c r="HD28" s="1300"/>
      <c r="HE28" s="1300"/>
      <c r="HF28" s="1300"/>
      <c r="HG28" s="1300"/>
      <c r="HH28" s="1300"/>
      <c r="HI28" s="1300"/>
      <c r="HJ28" s="1300"/>
      <c r="HK28" s="1300"/>
      <c r="HL28" s="1300"/>
      <c r="HM28" s="1300"/>
      <c r="HN28" s="1300"/>
      <c r="HO28" s="1300"/>
      <c r="HP28" s="1300"/>
      <c r="HQ28" s="1300"/>
      <c r="HR28" s="1300"/>
      <c r="HS28" s="1300"/>
      <c r="HT28" s="1300"/>
      <c r="HU28" s="1300"/>
      <c r="HV28" s="1300"/>
      <c r="HW28" s="1300"/>
      <c r="HX28" s="1300"/>
      <c r="HY28" s="1300"/>
      <c r="HZ28" s="1300"/>
      <c r="IA28" s="1300"/>
      <c r="IB28" s="1300"/>
      <c r="IC28" s="1300"/>
      <c r="ID28" s="1300"/>
      <c r="IE28" s="1300"/>
      <c r="IF28" s="1300"/>
      <c r="IG28" s="1300"/>
      <c r="IH28" s="1300"/>
      <c r="II28" s="1300"/>
      <c r="IJ28" s="1300"/>
      <c r="IK28" s="1300"/>
      <c r="IL28" s="1300"/>
      <c r="IM28" s="1300"/>
      <c r="IN28" s="1300"/>
      <c r="IO28" s="1300"/>
      <c r="IP28" s="1300"/>
      <c r="IQ28" s="1300"/>
      <c r="IR28" s="1300"/>
      <c r="IS28" s="1300"/>
      <c r="IT28" s="1300"/>
      <c r="IU28" s="1300"/>
      <c r="IV28" s="1300"/>
    </row>
    <row r="29" spans="1:256">
      <c r="A29" s="1295">
        <f t="shared" si="0"/>
        <v>26</v>
      </c>
      <c r="B29" s="1296"/>
      <c r="C29" s="1296"/>
      <c r="D29" s="1299" t="str">
        <f t="shared" si="1"/>
        <v xml:space="preserve"> </v>
      </c>
      <c r="E29" s="1299" t="str">
        <f t="shared" si="17"/>
        <v/>
      </c>
      <c r="F29" s="1298">
        <f t="shared" si="2"/>
        <v>56</v>
      </c>
      <c r="G29" s="1296"/>
      <c r="H29" s="1296"/>
      <c r="I29" s="1299" t="str">
        <f t="shared" si="3"/>
        <v xml:space="preserve"> </v>
      </c>
      <c r="J29" s="1299" t="str">
        <f t="shared" si="13"/>
        <v/>
      </c>
      <c r="K29" s="1295">
        <f t="shared" si="4"/>
        <v>86</v>
      </c>
      <c r="L29" s="1296"/>
      <c r="M29" s="1296"/>
      <c r="N29" s="1299"/>
      <c r="O29" s="1299"/>
      <c r="P29" s="1295">
        <f t="shared" si="6"/>
        <v>116</v>
      </c>
      <c r="Q29" s="1296"/>
      <c r="R29" s="1296"/>
      <c r="S29" s="1299" t="str">
        <f t="shared" si="7"/>
        <v xml:space="preserve"> </v>
      </c>
      <c r="T29" s="1299" t="str">
        <f t="shared" si="12"/>
        <v/>
      </c>
      <c r="U29" s="1298">
        <f t="shared" si="8"/>
        <v>146</v>
      </c>
      <c r="V29" s="1296"/>
      <c r="W29" s="1296"/>
      <c r="X29" s="1299" t="str">
        <f t="shared" si="9"/>
        <v xml:space="preserve"> </v>
      </c>
      <c r="Y29" s="1299" t="str">
        <f t="shared" si="15"/>
        <v/>
      </c>
      <c r="Z29" s="1295">
        <f t="shared" si="10"/>
        <v>176</v>
      </c>
      <c r="AA29" s="1296"/>
      <c r="AB29" s="1296"/>
      <c r="AC29" s="1299" t="str">
        <f t="shared" si="11"/>
        <v xml:space="preserve"> </v>
      </c>
      <c r="AD29" s="1299" t="str">
        <f t="shared" si="18"/>
        <v/>
      </c>
      <c r="AE29" s="1300"/>
      <c r="AF29" s="1300"/>
      <c r="AG29" s="1300"/>
      <c r="AH29" s="1300"/>
      <c r="AI29" s="1300"/>
      <c r="AJ29" s="1300"/>
      <c r="AK29" s="1300"/>
      <c r="AL29" s="1300"/>
      <c r="AM29" s="1300"/>
      <c r="AN29" s="1300"/>
      <c r="AO29" s="1300"/>
      <c r="AP29" s="1300"/>
      <c r="AQ29" s="1300"/>
      <c r="AR29" s="1300"/>
      <c r="AS29" s="1300"/>
      <c r="AT29" s="1300"/>
      <c r="AU29" s="1300"/>
      <c r="AV29" s="1300"/>
      <c r="AW29" s="1300"/>
      <c r="AX29" s="1300"/>
      <c r="AY29" s="1300"/>
      <c r="AZ29" s="1300"/>
      <c r="BA29" s="1300"/>
      <c r="BB29" s="1300"/>
      <c r="BC29" s="1300"/>
      <c r="BD29" s="1300"/>
      <c r="BE29" s="1300"/>
      <c r="BF29" s="1300"/>
      <c r="BG29" s="1300"/>
      <c r="BH29" s="1300"/>
      <c r="BI29" s="1300"/>
      <c r="BJ29" s="1300"/>
      <c r="BK29" s="1300"/>
      <c r="BL29" s="1300"/>
      <c r="BM29" s="1300"/>
      <c r="BN29" s="1300"/>
      <c r="BO29" s="1300"/>
      <c r="BP29" s="1300"/>
      <c r="BQ29" s="1300"/>
      <c r="BR29" s="1300"/>
      <c r="BS29" s="1300"/>
      <c r="BT29" s="1300"/>
      <c r="BU29" s="1300"/>
      <c r="BV29" s="1300"/>
      <c r="BW29" s="1300"/>
      <c r="BX29" s="1300"/>
      <c r="BY29" s="1300"/>
      <c r="BZ29" s="1300"/>
      <c r="CA29" s="1300"/>
      <c r="CB29" s="1300"/>
      <c r="CC29" s="1300"/>
      <c r="CD29" s="1300"/>
      <c r="CE29" s="1300"/>
      <c r="CF29" s="1300"/>
      <c r="CG29" s="1300"/>
      <c r="CH29" s="1300"/>
      <c r="CI29" s="1300"/>
      <c r="CJ29" s="1300"/>
      <c r="CK29" s="1300"/>
      <c r="CL29" s="1300"/>
      <c r="CM29" s="1300"/>
      <c r="CN29" s="1300"/>
      <c r="CO29" s="1300"/>
      <c r="CP29" s="1300"/>
      <c r="CQ29" s="1300"/>
      <c r="CR29" s="1300"/>
      <c r="CS29" s="1300"/>
      <c r="CT29" s="1300"/>
      <c r="CU29" s="1300"/>
      <c r="CV29" s="1300"/>
      <c r="CW29" s="1300"/>
      <c r="CX29" s="1300"/>
      <c r="CY29" s="1300"/>
      <c r="CZ29" s="1300"/>
      <c r="DA29" s="1300"/>
      <c r="DB29" s="1300"/>
      <c r="DC29" s="1300"/>
      <c r="DD29" s="1300"/>
      <c r="DE29" s="1300"/>
      <c r="DF29" s="1300"/>
      <c r="DG29" s="1300"/>
      <c r="DH29" s="1300"/>
      <c r="DI29" s="1300"/>
      <c r="DJ29" s="1300"/>
      <c r="DK29" s="1300"/>
      <c r="DL29" s="1300"/>
      <c r="DM29" s="1300"/>
      <c r="DN29" s="1300"/>
      <c r="DO29" s="1300"/>
      <c r="DP29" s="1300"/>
      <c r="DQ29" s="1300"/>
      <c r="DR29" s="1300"/>
      <c r="DS29" s="1300"/>
      <c r="DT29" s="1300"/>
      <c r="DU29" s="1300"/>
      <c r="DV29" s="1300"/>
      <c r="DW29" s="1300"/>
      <c r="DX29" s="1300"/>
      <c r="DY29" s="1300"/>
      <c r="DZ29" s="1300"/>
      <c r="EA29" s="1300"/>
      <c r="EB29" s="1300"/>
      <c r="EC29" s="1300"/>
      <c r="ED29" s="1300"/>
      <c r="EE29" s="1300"/>
      <c r="EF29" s="1300"/>
      <c r="EG29" s="1300"/>
      <c r="EH29" s="1300"/>
      <c r="EI29" s="1300"/>
      <c r="EJ29" s="1300"/>
      <c r="EK29" s="1300"/>
      <c r="EL29" s="1300"/>
      <c r="EM29" s="1300"/>
      <c r="EN29" s="1300"/>
      <c r="EO29" s="1300"/>
      <c r="EP29" s="1300"/>
      <c r="EQ29" s="1300"/>
      <c r="ER29" s="1300"/>
      <c r="ES29" s="1300"/>
      <c r="ET29" s="1300"/>
      <c r="EU29" s="1300"/>
      <c r="EV29" s="1300"/>
      <c r="EW29" s="1300"/>
      <c r="EX29" s="1300"/>
      <c r="EY29" s="1300"/>
      <c r="EZ29" s="1300"/>
      <c r="FA29" s="1300"/>
      <c r="FB29" s="1300"/>
      <c r="FC29" s="1300"/>
      <c r="FD29" s="1300"/>
      <c r="FE29" s="1300"/>
      <c r="FF29" s="1300"/>
      <c r="FG29" s="1300"/>
      <c r="FH29" s="1300"/>
      <c r="FI29" s="1300"/>
      <c r="FJ29" s="1300"/>
      <c r="FK29" s="1300"/>
      <c r="FL29" s="1300"/>
      <c r="FM29" s="1300"/>
      <c r="FN29" s="1300"/>
      <c r="FO29" s="1300"/>
      <c r="FP29" s="1300"/>
      <c r="FQ29" s="1300"/>
      <c r="FR29" s="1300"/>
      <c r="FS29" s="1300"/>
      <c r="FT29" s="1300"/>
      <c r="FU29" s="1300"/>
      <c r="FV29" s="1300"/>
      <c r="FW29" s="1300"/>
      <c r="FX29" s="1300"/>
      <c r="FY29" s="1300"/>
      <c r="FZ29" s="1300"/>
      <c r="GA29" s="1300"/>
      <c r="GB29" s="1300"/>
      <c r="GC29" s="1300"/>
      <c r="GD29" s="1300"/>
      <c r="GE29" s="1300"/>
      <c r="GF29" s="1300"/>
      <c r="GG29" s="1300"/>
      <c r="GH29" s="1300"/>
      <c r="GI29" s="1300"/>
      <c r="GJ29" s="1300"/>
      <c r="GK29" s="1300"/>
      <c r="GL29" s="1300"/>
      <c r="GM29" s="1300"/>
      <c r="GN29" s="1300"/>
      <c r="GO29" s="1300"/>
      <c r="GP29" s="1300"/>
      <c r="GQ29" s="1300"/>
      <c r="GR29" s="1300"/>
      <c r="GS29" s="1300"/>
      <c r="GT29" s="1300"/>
      <c r="GU29" s="1300"/>
      <c r="GV29" s="1300"/>
      <c r="GW29" s="1300"/>
      <c r="GX29" s="1300"/>
      <c r="GY29" s="1300"/>
      <c r="GZ29" s="1300"/>
      <c r="HA29" s="1300"/>
      <c r="HB29" s="1300"/>
      <c r="HC29" s="1300"/>
      <c r="HD29" s="1300"/>
      <c r="HE29" s="1300"/>
      <c r="HF29" s="1300"/>
      <c r="HG29" s="1300"/>
      <c r="HH29" s="1300"/>
      <c r="HI29" s="1300"/>
      <c r="HJ29" s="1300"/>
      <c r="HK29" s="1300"/>
      <c r="HL29" s="1300"/>
      <c r="HM29" s="1300"/>
      <c r="HN29" s="1300"/>
      <c r="HO29" s="1300"/>
      <c r="HP29" s="1300"/>
      <c r="HQ29" s="1300"/>
      <c r="HR29" s="1300"/>
      <c r="HS29" s="1300"/>
      <c r="HT29" s="1300"/>
      <c r="HU29" s="1300"/>
      <c r="HV29" s="1300"/>
      <c r="HW29" s="1300"/>
      <c r="HX29" s="1300"/>
      <c r="HY29" s="1300"/>
      <c r="HZ29" s="1300"/>
      <c r="IA29" s="1300"/>
      <c r="IB29" s="1300"/>
      <c r="IC29" s="1300"/>
      <c r="ID29" s="1300"/>
      <c r="IE29" s="1300"/>
      <c r="IF29" s="1300"/>
      <c r="IG29" s="1300"/>
      <c r="IH29" s="1300"/>
      <c r="II29" s="1300"/>
      <c r="IJ29" s="1300"/>
      <c r="IK29" s="1300"/>
      <c r="IL29" s="1300"/>
      <c r="IM29" s="1300"/>
      <c r="IN29" s="1300"/>
      <c r="IO29" s="1300"/>
      <c r="IP29" s="1300"/>
      <c r="IQ29" s="1300"/>
      <c r="IR29" s="1300"/>
      <c r="IS29" s="1300"/>
      <c r="IT29" s="1300"/>
      <c r="IU29" s="1300"/>
      <c r="IV29" s="1300"/>
    </row>
    <row r="30" spans="1:256">
      <c r="A30" s="1295">
        <f t="shared" si="0"/>
        <v>27</v>
      </c>
      <c r="B30" s="1296"/>
      <c r="C30" s="1296"/>
      <c r="D30" s="1299" t="str">
        <f t="shared" si="1"/>
        <v xml:space="preserve"> </v>
      </c>
      <c r="E30" s="1299" t="str">
        <f t="shared" si="17"/>
        <v/>
      </c>
      <c r="F30" s="1298">
        <f t="shared" si="2"/>
        <v>57</v>
      </c>
      <c r="G30" s="1296"/>
      <c r="H30" s="1296"/>
      <c r="I30" s="1299" t="str">
        <f t="shared" si="3"/>
        <v xml:space="preserve"> </v>
      </c>
      <c r="J30" s="1299" t="str">
        <f t="shared" si="13"/>
        <v/>
      </c>
      <c r="K30" s="1295">
        <f t="shared" si="4"/>
        <v>87</v>
      </c>
      <c r="L30" s="1296"/>
      <c r="M30" s="1296"/>
      <c r="N30" s="1299"/>
      <c r="O30" s="1299"/>
      <c r="P30" s="1295">
        <f t="shared" si="6"/>
        <v>117</v>
      </c>
      <c r="Q30" s="1296"/>
      <c r="R30" s="1296"/>
      <c r="S30" s="1299" t="str">
        <f t="shared" si="7"/>
        <v xml:space="preserve"> </v>
      </c>
      <c r="T30" s="1299" t="str">
        <f t="shared" si="12"/>
        <v/>
      </c>
      <c r="U30" s="1298">
        <f t="shared" si="8"/>
        <v>147</v>
      </c>
      <c r="V30" s="1296"/>
      <c r="W30" s="1296"/>
      <c r="X30" s="1299" t="str">
        <f t="shared" si="9"/>
        <v xml:space="preserve"> </v>
      </c>
      <c r="Y30" s="1299" t="str">
        <f t="shared" si="15"/>
        <v/>
      </c>
      <c r="Z30" s="1295">
        <f t="shared" si="10"/>
        <v>177</v>
      </c>
      <c r="AA30" s="1296"/>
      <c r="AB30" s="1296"/>
      <c r="AC30" s="1299" t="str">
        <f t="shared" si="11"/>
        <v xml:space="preserve"> </v>
      </c>
      <c r="AD30" s="1299" t="str">
        <f t="shared" si="18"/>
        <v/>
      </c>
      <c r="AE30" s="1300"/>
      <c r="AF30" s="1300"/>
      <c r="AG30" s="1300"/>
      <c r="AH30" s="1300"/>
      <c r="AI30" s="1300"/>
      <c r="AJ30" s="1300"/>
      <c r="AK30" s="1300"/>
      <c r="AL30" s="1300"/>
      <c r="AM30" s="1300"/>
      <c r="AN30" s="1300"/>
      <c r="AO30" s="1300"/>
      <c r="AP30" s="1300"/>
      <c r="AQ30" s="1300"/>
      <c r="AR30" s="1300"/>
      <c r="AS30" s="1300"/>
      <c r="AT30" s="1300"/>
      <c r="AU30" s="1300"/>
      <c r="AV30" s="1300"/>
      <c r="AW30" s="1300"/>
      <c r="AX30" s="1300"/>
      <c r="AY30" s="1300"/>
      <c r="AZ30" s="1300"/>
      <c r="BA30" s="1300"/>
      <c r="BB30" s="1300"/>
      <c r="BC30" s="1300"/>
      <c r="BD30" s="1300"/>
      <c r="BE30" s="1300"/>
      <c r="BF30" s="1300"/>
      <c r="BG30" s="1300"/>
      <c r="BH30" s="1300"/>
      <c r="BI30" s="1300"/>
      <c r="BJ30" s="1300"/>
      <c r="BK30" s="1300"/>
      <c r="BL30" s="1300"/>
      <c r="BM30" s="1300"/>
      <c r="BN30" s="1300"/>
      <c r="BO30" s="1300"/>
      <c r="BP30" s="1300"/>
      <c r="BQ30" s="1300"/>
      <c r="BR30" s="1300"/>
      <c r="BS30" s="1300"/>
      <c r="BT30" s="1300"/>
      <c r="BU30" s="1300"/>
      <c r="BV30" s="1300"/>
      <c r="BW30" s="1300"/>
      <c r="BX30" s="1300"/>
      <c r="BY30" s="1300"/>
      <c r="BZ30" s="1300"/>
      <c r="CA30" s="1300"/>
      <c r="CB30" s="1300"/>
      <c r="CC30" s="1300"/>
      <c r="CD30" s="1300"/>
      <c r="CE30" s="1300"/>
      <c r="CF30" s="1300"/>
      <c r="CG30" s="1300"/>
      <c r="CH30" s="1300"/>
      <c r="CI30" s="1300"/>
      <c r="CJ30" s="1300"/>
      <c r="CK30" s="1300"/>
      <c r="CL30" s="1300"/>
      <c r="CM30" s="1300"/>
      <c r="CN30" s="1300"/>
      <c r="CO30" s="1300"/>
      <c r="CP30" s="1300"/>
      <c r="CQ30" s="1300"/>
      <c r="CR30" s="1300"/>
      <c r="CS30" s="1300"/>
      <c r="CT30" s="1300"/>
      <c r="CU30" s="1300"/>
      <c r="CV30" s="1300"/>
      <c r="CW30" s="1300"/>
      <c r="CX30" s="1300"/>
      <c r="CY30" s="1300"/>
      <c r="CZ30" s="1300"/>
      <c r="DA30" s="1300"/>
      <c r="DB30" s="1300"/>
      <c r="DC30" s="1300"/>
      <c r="DD30" s="1300"/>
      <c r="DE30" s="1300"/>
      <c r="DF30" s="1300"/>
      <c r="DG30" s="1300"/>
      <c r="DH30" s="1300"/>
      <c r="DI30" s="1300"/>
      <c r="DJ30" s="1300"/>
      <c r="DK30" s="1300"/>
      <c r="DL30" s="1300"/>
      <c r="DM30" s="1300"/>
      <c r="DN30" s="1300"/>
      <c r="DO30" s="1300"/>
      <c r="DP30" s="1300"/>
      <c r="DQ30" s="1300"/>
      <c r="DR30" s="1300"/>
      <c r="DS30" s="1300"/>
      <c r="DT30" s="1300"/>
      <c r="DU30" s="1300"/>
      <c r="DV30" s="1300"/>
      <c r="DW30" s="1300"/>
      <c r="DX30" s="1300"/>
      <c r="DY30" s="1300"/>
      <c r="DZ30" s="1300"/>
      <c r="EA30" s="1300"/>
      <c r="EB30" s="1300"/>
      <c r="EC30" s="1300"/>
      <c r="ED30" s="1300"/>
      <c r="EE30" s="1300"/>
      <c r="EF30" s="1300"/>
      <c r="EG30" s="1300"/>
      <c r="EH30" s="1300"/>
      <c r="EI30" s="1300"/>
      <c r="EJ30" s="1300"/>
      <c r="EK30" s="1300"/>
      <c r="EL30" s="1300"/>
      <c r="EM30" s="1300"/>
      <c r="EN30" s="1300"/>
      <c r="EO30" s="1300"/>
      <c r="EP30" s="1300"/>
      <c r="EQ30" s="1300"/>
      <c r="ER30" s="1300"/>
      <c r="ES30" s="1300"/>
      <c r="ET30" s="1300"/>
      <c r="EU30" s="1300"/>
      <c r="EV30" s="1300"/>
      <c r="EW30" s="1300"/>
      <c r="EX30" s="1300"/>
      <c r="EY30" s="1300"/>
      <c r="EZ30" s="1300"/>
      <c r="FA30" s="1300"/>
      <c r="FB30" s="1300"/>
      <c r="FC30" s="1300"/>
      <c r="FD30" s="1300"/>
      <c r="FE30" s="1300"/>
      <c r="FF30" s="1300"/>
      <c r="FG30" s="1300"/>
      <c r="FH30" s="1300"/>
      <c r="FI30" s="1300"/>
      <c r="FJ30" s="1300"/>
      <c r="FK30" s="1300"/>
      <c r="FL30" s="1300"/>
      <c r="FM30" s="1300"/>
      <c r="FN30" s="1300"/>
      <c r="FO30" s="1300"/>
      <c r="FP30" s="1300"/>
      <c r="FQ30" s="1300"/>
      <c r="FR30" s="1300"/>
      <c r="FS30" s="1300"/>
      <c r="FT30" s="1300"/>
      <c r="FU30" s="1300"/>
      <c r="FV30" s="1300"/>
      <c r="FW30" s="1300"/>
      <c r="FX30" s="1300"/>
      <c r="FY30" s="1300"/>
      <c r="FZ30" s="1300"/>
      <c r="GA30" s="1300"/>
      <c r="GB30" s="1300"/>
      <c r="GC30" s="1300"/>
      <c r="GD30" s="1300"/>
      <c r="GE30" s="1300"/>
      <c r="GF30" s="1300"/>
      <c r="GG30" s="1300"/>
      <c r="GH30" s="1300"/>
      <c r="GI30" s="1300"/>
      <c r="GJ30" s="1300"/>
      <c r="GK30" s="1300"/>
      <c r="GL30" s="1300"/>
      <c r="GM30" s="1300"/>
      <c r="GN30" s="1300"/>
      <c r="GO30" s="1300"/>
      <c r="GP30" s="1300"/>
      <c r="GQ30" s="1300"/>
      <c r="GR30" s="1300"/>
      <c r="GS30" s="1300"/>
      <c r="GT30" s="1300"/>
      <c r="GU30" s="1300"/>
      <c r="GV30" s="1300"/>
      <c r="GW30" s="1300"/>
      <c r="GX30" s="1300"/>
      <c r="GY30" s="1300"/>
      <c r="GZ30" s="1300"/>
      <c r="HA30" s="1300"/>
      <c r="HB30" s="1300"/>
      <c r="HC30" s="1300"/>
      <c r="HD30" s="1300"/>
      <c r="HE30" s="1300"/>
      <c r="HF30" s="1300"/>
      <c r="HG30" s="1300"/>
      <c r="HH30" s="1300"/>
      <c r="HI30" s="1300"/>
      <c r="HJ30" s="1300"/>
      <c r="HK30" s="1300"/>
      <c r="HL30" s="1300"/>
      <c r="HM30" s="1300"/>
      <c r="HN30" s="1300"/>
      <c r="HO30" s="1300"/>
      <c r="HP30" s="1300"/>
      <c r="HQ30" s="1300"/>
      <c r="HR30" s="1300"/>
      <c r="HS30" s="1300"/>
      <c r="HT30" s="1300"/>
      <c r="HU30" s="1300"/>
      <c r="HV30" s="1300"/>
      <c r="HW30" s="1300"/>
      <c r="HX30" s="1300"/>
      <c r="HY30" s="1300"/>
      <c r="HZ30" s="1300"/>
      <c r="IA30" s="1300"/>
      <c r="IB30" s="1300"/>
      <c r="IC30" s="1300"/>
      <c r="ID30" s="1300"/>
      <c r="IE30" s="1300"/>
      <c r="IF30" s="1300"/>
      <c r="IG30" s="1300"/>
      <c r="IH30" s="1300"/>
      <c r="II30" s="1300"/>
      <c r="IJ30" s="1300"/>
      <c r="IK30" s="1300"/>
      <c r="IL30" s="1300"/>
      <c r="IM30" s="1300"/>
      <c r="IN30" s="1300"/>
      <c r="IO30" s="1300"/>
      <c r="IP30" s="1300"/>
      <c r="IQ30" s="1300"/>
      <c r="IR30" s="1300"/>
      <c r="IS30" s="1300"/>
      <c r="IT30" s="1300"/>
      <c r="IU30" s="1300"/>
      <c r="IV30" s="1300"/>
    </row>
    <row r="31" spans="1:256">
      <c r="A31" s="1295">
        <f t="shared" si="0"/>
        <v>28</v>
      </c>
      <c r="B31" s="1296"/>
      <c r="C31" s="1296"/>
      <c r="D31" s="1299" t="str">
        <f t="shared" si="1"/>
        <v xml:space="preserve"> </v>
      </c>
      <c r="E31" s="1299" t="str">
        <f t="shared" si="17"/>
        <v/>
      </c>
      <c r="F31" s="1298">
        <f t="shared" si="2"/>
        <v>58</v>
      </c>
      <c r="G31" s="1302"/>
      <c r="H31" s="1302"/>
      <c r="I31" s="1299" t="str">
        <f t="shared" si="3"/>
        <v xml:space="preserve"> </v>
      </c>
      <c r="J31" s="1299" t="str">
        <f t="shared" si="13"/>
        <v/>
      </c>
      <c r="K31" s="1295">
        <f t="shared" si="4"/>
        <v>88</v>
      </c>
      <c r="L31" s="1302"/>
      <c r="M31" s="1302"/>
      <c r="N31" s="1299"/>
      <c r="O31" s="1299"/>
      <c r="P31" s="1295">
        <f t="shared" si="6"/>
        <v>118</v>
      </c>
      <c r="Q31" s="1296"/>
      <c r="R31" s="1296"/>
      <c r="S31" s="1299" t="str">
        <f t="shared" si="7"/>
        <v xml:space="preserve"> </v>
      </c>
      <c r="T31" s="1299" t="str">
        <f t="shared" si="12"/>
        <v/>
      </c>
      <c r="U31" s="1298">
        <f t="shared" si="8"/>
        <v>148</v>
      </c>
      <c r="V31" s="1296"/>
      <c r="W31" s="1296"/>
      <c r="X31" s="1299" t="str">
        <f t="shared" si="9"/>
        <v xml:space="preserve"> </v>
      </c>
      <c r="Y31" s="1299" t="str">
        <f t="shared" si="15"/>
        <v/>
      </c>
      <c r="Z31" s="1295">
        <f t="shared" si="10"/>
        <v>178</v>
      </c>
      <c r="AA31" s="1296"/>
      <c r="AB31" s="1296"/>
      <c r="AC31" s="1299" t="str">
        <f t="shared" si="11"/>
        <v xml:space="preserve"> </v>
      </c>
      <c r="AD31" s="1299" t="str">
        <f t="shared" si="18"/>
        <v/>
      </c>
      <c r="AE31" s="1300"/>
      <c r="AF31" s="1300"/>
      <c r="AG31" s="1300"/>
      <c r="AH31" s="1300"/>
      <c r="AI31" s="1300"/>
      <c r="AJ31" s="1300"/>
      <c r="AK31" s="1300"/>
      <c r="AL31" s="1300"/>
      <c r="AM31" s="1300"/>
      <c r="AN31" s="1300"/>
      <c r="AO31" s="1300"/>
      <c r="AP31" s="1300"/>
      <c r="AQ31" s="1300"/>
      <c r="AR31" s="1300"/>
      <c r="AS31" s="1300"/>
      <c r="AT31" s="1300"/>
      <c r="AU31" s="1300"/>
      <c r="AV31" s="1300"/>
      <c r="AW31" s="1300"/>
      <c r="AX31" s="1300"/>
      <c r="AY31" s="1300"/>
      <c r="AZ31" s="1300"/>
      <c r="BA31" s="1300"/>
      <c r="BB31" s="1300"/>
      <c r="BC31" s="1300"/>
      <c r="BD31" s="1300"/>
      <c r="BE31" s="1300"/>
      <c r="BF31" s="1300"/>
      <c r="BG31" s="1300"/>
      <c r="BH31" s="1300"/>
      <c r="BI31" s="1300"/>
      <c r="BJ31" s="1300"/>
      <c r="BK31" s="1300"/>
      <c r="BL31" s="1300"/>
      <c r="BM31" s="1300"/>
      <c r="BN31" s="1300"/>
      <c r="BO31" s="1300"/>
      <c r="BP31" s="1300"/>
      <c r="BQ31" s="1300"/>
      <c r="BR31" s="1300"/>
      <c r="BS31" s="1300"/>
      <c r="BT31" s="1300"/>
      <c r="BU31" s="1300"/>
      <c r="BV31" s="1300"/>
      <c r="BW31" s="1300"/>
      <c r="BX31" s="1300"/>
      <c r="BY31" s="1300"/>
      <c r="BZ31" s="1300"/>
      <c r="CA31" s="1300"/>
      <c r="CB31" s="1300"/>
      <c r="CC31" s="1300"/>
      <c r="CD31" s="1300"/>
      <c r="CE31" s="1300"/>
      <c r="CF31" s="1300"/>
      <c r="CG31" s="1300"/>
      <c r="CH31" s="1300"/>
      <c r="CI31" s="1300"/>
      <c r="CJ31" s="1300"/>
      <c r="CK31" s="1300"/>
      <c r="CL31" s="1300"/>
      <c r="CM31" s="1300"/>
      <c r="CN31" s="1300"/>
      <c r="CO31" s="1300"/>
      <c r="CP31" s="1300"/>
      <c r="CQ31" s="1300"/>
      <c r="CR31" s="1300"/>
      <c r="CS31" s="1300"/>
      <c r="CT31" s="1300"/>
      <c r="CU31" s="1300"/>
      <c r="CV31" s="1300"/>
      <c r="CW31" s="1300"/>
      <c r="CX31" s="1300"/>
      <c r="CY31" s="1300"/>
      <c r="CZ31" s="1300"/>
      <c r="DA31" s="1300"/>
      <c r="DB31" s="1300"/>
      <c r="DC31" s="1300"/>
      <c r="DD31" s="1300"/>
      <c r="DE31" s="1300"/>
      <c r="DF31" s="1300"/>
      <c r="DG31" s="1300"/>
      <c r="DH31" s="1300"/>
      <c r="DI31" s="1300"/>
      <c r="DJ31" s="1300"/>
      <c r="DK31" s="1300"/>
      <c r="DL31" s="1300"/>
      <c r="DM31" s="1300"/>
      <c r="DN31" s="1300"/>
      <c r="DO31" s="1300"/>
      <c r="DP31" s="1300"/>
      <c r="DQ31" s="1300"/>
      <c r="DR31" s="1300"/>
      <c r="DS31" s="1300"/>
      <c r="DT31" s="1300"/>
      <c r="DU31" s="1300"/>
      <c r="DV31" s="1300"/>
      <c r="DW31" s="1300"/>
      <c r="DX31" s="1300"/>
      <c r="DY31" s="1300"/>
      <c r="DZ31" s="1300"/>
      <c r="EA31" s="1300"/>
      <c r="EB31" s="1300"/>
      <c r="EC31" s="1300"/>
      <c r="ED31" s="1300"/>
      <c r="EE31" s="1300"/>
      <c r="EF31" s="1300"/>
      <c r="EG31" s="1300"/>
      <c r="EH31" s="1300"/>
      <c r="EI31" s="1300"/>
      <c r="EJ31" s="1300"/>
      <c r="EK31" s="1300"/>
      <c r="EL31" s="1300"/>
      <c r="EM31" s="1300"/>
      <c r="EN31" s="1300"/>
      <c r="EO31" s="1300"/>
      <c r="EP31" s="1300"/>
      <c r="EQ31" s="1300"/>
      <c r="ER31" s="1300"/>
      <c r="ES31" s="1300"/>
      <c r="ET31" s="1300"/>
      <c r="EU31" s="1300"/>
      <c r="EV31" s="1300"/>
      <c r="EW31" s="1300"/>
      <c r="EX31" s="1300"/>
      <c r="EY31" s="1300"/>
      <c r="EZ31" s="1300"/>
      <c r="FA31" s="1300"/>
      <c r="FB31" s="1300"/>
      <c r="FC31" s="1300"/>
      <c r="FD31" s="1300"/>
      <c r="FE31" s="1300"/>
      <c r="FF31" s="1300"/>
      <c r="FG31" s="1300"/>
      <c r="FH31" s="1300"/>
      <c r="FI31" s="1300"/>
      <c r="FJ31" s="1300"/>
      <c r="FK31" s="1300"/>
      <c r="FL31" s="1300"/>
      <c r="FM31" s="1300"/>
      <c r="FN31" s="1300"/>
      <c r="FO31" s="1300"/>
      <c r="FP31" s="1300"/>
      <c r="FQ31" s="1300"/>
      <c r="FR31" s="1300"/>
      <c r="FS31" s="1300"/>
      <c r="FT31" s="1300"/>
      <c r="FU31" s="1300"/>
      <c r="FV31" s="1300"/>
      <c r="FW31" s="1300"/>
      <c r="FX31" s="1300"/>
      <c r="FY31" s="1300"/>
      <c r="FZ31" s="1300"/>
      <c r="GA31" s="1300"/>
      <c r="GB31" s="1300"/>
      <c r="GC31" s="1300"/>
      <c r="GD31" s="1300"/>
      <c r="GE31" s="1300"/>
      <c r="GF31" s="1300"/>
      <c r="GG31" s="1300"/>
      <c r="GH31" s="1300"/>
      <c r="GI31" s="1300"/>
      <c r="GJ31" s="1300"/>
      <c r="GK31" s="1300"/>
      <c r="GL31" s="1300"/>
      <c r="GM31" s="1300"/>
      <c r="GN31" s="1300"/>
      <c r="GO31" s="1300"/>
      <c r="GP31" s="1300"/>
      <c r="GQ31" s="1300"/>
      <c r="GR31" s="1300"/>
      <c r="GS31" s="1300"/>
      <c r="GT31" s="1300"/>
      <c r="GU31" s="1300"/>
      <c r="GV31" s="1300"/>
      <c r="GW31" s="1300"/>
      <c r="GX31" s="1300"/>
      <c r="GY31" s="1300"/>
      <c r="GZ31" s="1300"/>
      <c r="HA31" s="1300"/>
      <c r="HB31" s="1300"/>
      <c r="HC31" s="1300"/>
      <c r="HD31" s="1300"/>
      <c r="HE31" s="1300"/>
      <c r="HF31" s="1300"/>
      <c r="HG31" s="1300"/>
      <c r="HH31" s="1300"/>
      <c r="HI31" s="1300"/>
      <c r="HJ31" s="1300"/>
      <c r="HK31" s="1300"/>
      <c r="HL31" s="1300"/>
      <c r="HM31" s="1300"/>
      <c r="HN31" s="1300"/>
      <c r="HO31" s="1300"/>
      <c r="HP31" s="1300"/>
      <c r="HQ31" s="1300"/>
      <c r="HR31" s="1300"/>
      <c r="HS31" s="1300"/>
      <c r="HT31" s="1300"/>
      <c r="HU31" s="1300"/>
      <c r="HV31" s="1300"/>
      <c r="HW31" s="1300"/>
      <c r="HX31" s="1300"/>
      <c r="HY31" s="1300"/>
      <c r="HZ31" s="1300"/>
      <c r="IA31" s="1300"/>
      <c r="IB31" s="1300"/>
      <c r="IC31" s="1300"/>
      <c r="ID31" s="1300"/>
      <c r="IE31" s="1300"/>
      <c r="IF31" s="1300"/>
      <c r="IG31" s="1300"/>
      <c r="IH31" s="1300"/>
      <c r="II31" s="1300"/>
      <c r="IJ31" s="1300"/>
      <c r="IK31" s="1300"/>
      <c r="IL31" s="1300"/>
      <c r="IM31" s="1300"/>
      <c r="IN31" s="1300"/>
      <c r="IO31" s="1300"/>
      <c r="IP31" s="1300"/>
      <c r="IQ31" s="1300"/>
      <c r="IR31" s="1300"/>
      <c r="IS31" s="1300"/>
      <c r="IT31" s="1300"/>
      <c r="IU31" s="1300"/>
      <c r="IV31" s="1300"/>
    </row>
    <row r="32" spans="1:256">
      <c r="A32" s="1295">
        <f t="shared" si="0"/>
        <v>29</v>
      </c>
      <c r="B32" s="1296"/>
      <c r="C32" s="1296"/>
      <c r="D32" s="1299" t="str">
        <f t="shared" si="1"/>
        <v xml:space="preserve"> </v>
      </c>
      <c r="E32" s="1299" t="str">
        <f t="shared" si="17"/>
        <v/>
      </c>
      <c r="F32" s="1298">
        <f t="shared" si="2"/>
        <v>59</v>
      </c>
      <c r="G32" s="1296"/>
      <c r="H32" s="1296"/>
      <c r="I32" s="1299" t="str">
        <f t="shared" si="3"/>
        <v xml:space="preserve"> </v>
      </c>
      <c r="J32" s="1299" t="str">
        <f t="shared" si="13"/>
        <v/>
      </c>
      <c r="K32" s="1295">
        <f t="shared" si="4"/>
        <v>89</v>
      </c>
      <c r="L32" s="1296"/>
      <c r="M32" s="1296"/>
      <c r="N32" s="1299"/>
      <c r="O32" s="1299"/>
      <c r="P32" s="1295">
        <f t="shared" si="6"/>
        <v>119</v>
      </c>
      <c r="Q32" s="1296"/>
      <c r="R32" s="1296"/>
      <c r="S32" s="1299" t="str">
        <f t="shared" si="7"/>
        <v xml:space="preserve"> </v>
      </c>
      <c r="T32" s="1299" t="str">
        <f t="shared" si="12"/>
        <v/>
      </c>
      <c r="U32" s="1298">
        <f t="shared" si="8"/>
        <v>149</v>
      </c>
      <c r="V32" s="1296"/>
      <c r="W32" s="1296"/>
      <c r="X32" s="1299" t="str">
        <f t="shared" si="9"/>
        <v xml:space="preserve"> </v>
      </c>
      <c r="Y32" s="1299" t="str">
        <f t="shared" si="15"/>
        <v/>
      </c>
      <c r="Z32" s="1295">
        <f t="shared" si="10"/>
        <v>179</v>
      </c>
      <c r="AA32" s="1296"/>
      <c r="AB32" s="1296"/>
      <c r="AC32" s="1299" t="str">
        <f t="shared" si="11"/>
        <v xml:space="preserve"> </v>
      </c>
      <c r="AD32" s="1299" t="str">
        <f t="shared" si="18"/>
        <v/>
      </c>
      <c r="AE32" s="1300"/>
      <c r="AF32" s="1300"/>
      <c r="AG32" s="1300"/>
      <c r="AH32" s="1300"/>
      <c r="AI32" s="1300"/>
      <c r="AJ32" s="1300"/>
      <c r="AK32" s="1300"/>
      <c r="AL32" s="1300"/>
      <c r="AM32" s="1300"/>
      <c r="AN32" s="1300"/>
      <c r="AO32" s="1300"/>
      <c r="AP32" s="1300"/>
      <c r="AQ32" s="1300"/>
      <c r="AR32" s="1300"/>
      <c r="AS32" s="1300"/>
      <c r="AT32" s="1300"/>
      <c r="AU32" s="1300"/>
      <c r="AV32" s="1300"/>
      <c r="AW32" s="1300"/>
      <c r="AX32" s="1300"/>
      <c r="AY32" s="1300"/>
      <c r="AZ32" s="1300"/>
      <c r="BA32" s="1300"/>
      <c r="BB32" s="1300"/>
      <c r="BC32" s="1300"/>
      <c r="BD32" s="1300"/>
      <c r="BE32" s="1300"/>
      <c r="BF32" s="1300"/>
      <c r="BG32" s="1300"/>
      <c r="BH32" s="1300"/>
      <c r="BI32" s="1300"/>
      <c r="BJ32" s="1300"/>
      <c r="BK32" s="1300"/>
      <c r="BL32" s="1300"/>
      <c r="BM32" s="1300"/>
      <c r="BN32" s="1300"/>
      <c r="BO32" s="1300"/>
      <c r="BP32" s="1300"/>
      <c r="BQ32" s="1300"/>
      <c r="BR32" s="1300"/>
      <c r="BS32" s="1300"/>
      <c r="BT32" s="1300"/>
      <c r="BU32" s="1300"/>
      <c r="BV32" s="1300"/>
      <c r="BW32" s="1300"/>
      <c r="BX32" s="1300"/>
      <c r="BY32" s="1300"/>
      <c r="BZ32" s="1300"/>
      <c r="CA32" s="1300"/>
      <c r="CB32" s="1300"/>
      <c r="CC32" s="1300"/>
      <c r="CD32" s="1300"/>
      <c r="CE32" s="1300"/>
      <c r="CF32" s="1300"/>
      <c r="CG32" s="1300"/>
      <c r="CH32" s="1300"/>
      <c r="CI32" s="1300"/>
      <c r="CJ32" s="1300"/>
      <c r="CK32" s="1300"/>
      <c r="CL32" s="1300"/>
      <c r="CM32" s="1300"/>
      <c r="CN32" s="1300"/>
      <c r="CO32" s="1300"/>
      <c r="CP32" s="1300"/>
      <c r="CQ32" s="1300"/>
      <c r="CR32" s="1300"/>
      <c r="CS32" s="1300"/>
      <c r="CT32" s="1300"/>
      <c r="CU32" s="1300"/>
      <c r="CV32" s="1300"/>
      <c r="CW32" s="1300"/>
      <c r="CX32" s="1300"/>
      <c r="CY32" s="1300"/>
      <c r="CZ32" s="1300"/>
      <c r="DA32" s="1300"/>
      <c r="DB32" s="1300"/>
      <c r="DC32" s="1300"/>
      <c r="DD32" s="1300"/>
      <c r="DE32" s="1300"/>
      <c r="DF32" s="1300"/>
      <c r="DG32" s="1300"/>
      <c r="DH32" s="1300"/>
      <c r="DI32" s="1300"/>
      <c r="DJ32" s="1300"/>
      <c r="DK32" s="1300"/>
      <c r="DL32" s="1300"/>
      <c r="DM32" s="1300"/>
      <c r="DN32" s="1300"/>
      <c r="DO32" s="1300"/>
      <c r="DP32" s="1300"/>
      <c r="DQ32" s="1300"/>
      <c r="DR32" s="1300"/>
      <c r="DS32" s="1300"/>
      <c r="DT32" s="1300"/>
      <c r="DU32" s="1300"/>
      <c r="DV32" s="1300"/>
      <c r="DW32" s="1300"/>
      <c r="DX32" s="1300"/>
      <c r="DY32" s="1300"/>
      <c r="DZ32" s="1300"/>
      <c r="EA32" s="1300"/>
      <c r="EB32" s="1300"/>
      <c r="EC32" s="1300"/>
      <c r="ED32" s="1300"/>
      <c r="EE32" s="1300"/>
      <c r="EF32" s="1300"/>
      <c r="EG32" s="1300"/>
      <c r="EH32" s="1300"/>
      <c r="EI32" s="1300"/>
      <c r="EJ32" s="1300"/>
      <c r="EK32" s="1300"/>
      <c r="EL32" s="1300"/>
      <c r="EM32" s="1300"/>
      <c r="EN32" s="1300"/>
      <c r="EO32" s="1300"/>
      <c r="EP32" s="1300"/>
      <c r="EQ32" s="1300"/>
      <c r="ER32" s="1300"/>
      <c r="ES32" s="1300"/>
      <c r="ET32" s="1300"/>
      <c r="EU32" s="1300"/>
      <c r="EV32" s="1300"/>
      <c r="EW32" s="1300"/>
      <c r="EX32" s="1300"/>
      <c r="EY32" s="1300"/>
      <c r="EZ32" s="1300"/>
      <c r="FA32" s="1300"/>
      <c r="FB32" s="1300"/>
      <c r="FC32" s="1300"/>
      <c r="FD32" s="1300"/>
      <c r="FE32" s="1300"/>
      <c r="FF32" s="1300"/>
      <c r="FG32" s="1300"/>
      <c r="FH32" s="1300"/>
      <c r="FI32" s="1300"/>
      <c r="FJ32" s="1300"/>
      <c r="FK32" s="1300"/>
      <c r="FL32" s="1300"/>
      <c r="FM32" s="1300"/>
      <c r="FN32" s="1300"/>
      <c r="FO32" s="1300"/>
      <c r="FP32" s="1300"/>
      <c r="FQ32" s="1300"/>
      <c r="FR32" s="1300"/>
      <c r="FS32" s="1300"/>
      <c r="FT32" s="1300"/>
      <c r="FU32" s="1300"/>
      <c r="FV32" s="1300"/>
      <c r="FW32" s="1300"/>
      <c r="FX32" s="1300"/>
      <c r="FY32" s="1300"/>
      <c r="FZ32" s="1300"/>
      <c r="GA32" s="1300"/>
      <c r="GB32" s="1300"/>
      <c r="GC32" s="1300"/>
      <c r="GD32" s="1300"/>
      <c r="GE32" s="1300"/>
      <c r="GF32" s="1300"/>
      <c r="GG32" s="1300"/>
      <c r="GH32" s="1300"/>
      <c r="GI32" s="1300"/>
      <c r="GJ32" s="1300"/>
      <c r="GK32" s="1300"/>
      <c r="GL32" s="1300"/>
      <c r="GM32" s="1300"/>
      <c r="GN32" s="1300"/>
      <c r="GO32" s="1300"/>
      <c r="GP32" s="1300"/>
      <c r="GQ32" s="1300"/>
      <c r="GR32" s="1300"/>
      <c r="GS32" s="1300"/>
      <c r="GT32" s="1300"/>
      <c r="GU32" s="1300"/>
      <c r="GV32" s="1300"/>
      <c r="GW32" s="1300"/>
      <c r="GX32" s="1300"/>
      <c r="GY32" s="1300"/>
      <c r="GZ32" s="1300"/>
      <c r="HA32" s="1300"/>
      <c r="HB32" s="1300"/>
      <c r="HC32" s="1300"/>
      <c r="HD32" s="1300"/>
      <c r="HE32" s="1300"/>
      <c r="HF32" s="1300"/>
      <c r="HG32" s="1300"/>
      <c r="HH32" s="1300"/>
      <c r="HI32" s="1300"/>
      <c r="HJ32" s="1300"/>
      <c r="HK32" s="1300"/>
      <c r="HL32" s="1300"/>
      <c r="HM32" s="1300"/>
      <c r="HN32" s="1300"/>
      <c r="HO32" s="1300"/>
      <c r="HP32" s="1300"/>
      <c r="HQ32" s="1300"/>
      <c r="HR32" s="1300"/>
      <c r="HS32" s="1300"/>
      <c r="HT32" s="1300"/>
      <c r="HU32" s="1300"/>
      <c r="HV32" s="1300"/>
      <c r="HW32" s="1300"/>
      <c r="HX32" s="1300"/>
      <c r="HY32" s="1300"/>
      <c r="HZ32" s="1300"/>
      <c r="IA32" s="1300"/>
      <c r="IB32" s="1300"/>
      <c r="IC32" s="1300"/>
      <c r="ID32" s="1300"/>
      <c r="IE32" s="1300"/>
      <c r="IF32" s="1300"/>
      <c r="IG32" s="1300"/>
      <c r="IH32" s="1300"/>
      <c r="II32" s="1300"/>
      <c r="IJ32" s="1300"/>
      <c r="IK32" s="1300"/>
      <c r="IL32" s="1300"/>
      <c r="IM32" s="1300"/>
      <c r="IN32" s="1300"/>
      <c r="IO32" s="1300"/>
      <c r="IP32" s="1300"/>
      <c r="IQ32" s="1300"/>
      <c r="IR32" s="1300"/>
      <c r="IS32" s="1300"/>
      <c r="IT32" s="1300"/>
      <c r="IU32" s="1300"/>
      <c r="IV32" s="1300"/>
    </row>
    <row r="33" spans="1:256">
      <c r="A33" s="1295">
        <f t="shared" si="0"/>
        <v>30</v>
      </c>
      <c r="B33" s="1296"/>
      <c r="C33" s="1296"/>
      <c r="D33" s="1299" t="str">
        <f t="shared" si="1"/>
        <v xml:space="preserve"> </v>
      </c>
      <c r="E33" s="1299" t="str">
        <f t="shared" si="17"/>
        <v/>
      </c>
      <c r="F33" s="1298">
        <f t="shared" si="2"/>
        <v>60</v>
      </c>
      <c r="G33" s="1302"/>
      <c r="H33" s="1302"/>
      <c r="I33" s="1299" t="str">
        <f t="shared" si="3"/>
        <v xml:space="preserve"> </v>
      </c>
      <c r="J33" s="1299" t="str">
        <f t="shared" si="13"/>
        <v/>
      </c>
      <c r="K33" s="1295">
        <f t="shared" si="4"/>
        <v>90</v>
      </c>
      <c r="L33" s="1302"/>
      <c r="M33" s="1302"/>
      <c r="N33" s="1299"/>
      <c r="O33" s="1299"/>
      <c r="P33" s="1295">
        <f t="shared" si="6"/>
        <v>120</v>
      </c>
      <c r="Q33" s="1296"/>
      <c r="R33" s="1296"/>
      <c r="S33" s="1299" t="str">
        <f t="shared" si="7"/>
        <v xml:space="preserve"> </v>
      </c>
      <c r="T33" s="1299" t="str">
        <f t="shared" si="12"/>
        <v/>
      </c>
      <c r="U33" s="1298">
        <f t="shared" si="8"/>
        <v>150</v>
      </c>
      <c r="V33" s="1296"/>
      <c r="W33" s="1296"/>
      <c r="X33" s="1299" t="str">
        <f t="shared" si="9"/>
        <v xml:space="preserve"> </v>
      </c>
      <c r="Y33" s="1299" t="str">
        <f t="shared" si="15"/>
        <v/>
      </c>
      <c r="Z33" s="1295">
        <f t="shared" si="10"/>
        <v>180</v>
      </c>
      <c r="AA33" s="1296"/>
      <c r="AB33" s="1296"/>
      <c r="AC33" s="1299" t="str">
        <f t="shared" si="11"/>
        <v xml:space="preserve"> </v>
      </c>
      <c r="AD33" s="1299" t="str">
        <f t="shared" si="18"/>
        <v/>
      </c>
      <c r="AE33" s="1300"/>
      <c r="AF33" s="1300"/>
      <c r="AG33" s="1300"/>
      <c r="AH33" s="1300"/>
      <c r="AI33" s="1300"/>
      <c r="AJ33" s="1300"/>
      <c r="AK33" s="1300"/>
      <c r="AL33" s="1300"/>
      <c r="AM33" s="1300"/>
      <c r="AN33" s="1300"/>
      <c r="AO33" s="1300"/>
      <c r="AP33" s="1300"/>
      <c r="AQ33" s="1300"/>
      <c r="AR33" s="1300"/>
      <c r="AS33" s="1300"/>
      <c r="AT33" s="1300"/>
      <c r="AU33" s="1300"/>
      <c r="AV33" s="1300"/>
      <c r="AW33" s="1300"/>
      <c r="AX33" s="1300"/>
      <c r="AY33" s="1300"/>
      <c r="AZ33" s="1300"/>
      <c r="BA33" s="1300"/>
      <c r="BB33" s="1300"/>
      <c r="BC33" s="1300"/>
      <c r="BD33" s="1300"/>
      <c r="BE33" s="1300"/>
      <c r="BF33" s="1300"/>
      <c r="BG33" s="1300"/>
      <c r="BH33" s="1300"/>
      <c r="BI33" s="1300"/>
      <c r="BJ33" s="1300"/>
      <c r="BK33" s="1300"/>
      <c r="BL33" s="1300"/>
      <c r="BM33" s="1300"/>
      <c r="BN33" s="1300"/>
      <c r="BO33" s="1300"/>
      <c r="BP33" s="1300"/>
      <c r="BQ33" s="1300"/>
      <c r="BR33" s="1300"/>
      <c r="BS33" s="1300"/>
      <c r="BT33" s="1300"/>
      <c r="BU33" s="1300"/>
      <c r="BV33" s="1300"/>
      <c r="BW33" s="1300"/>
      <c r="BX33" s="1300"/>
      <c r="BY33" s="1300"/>
      <c r="BZ33" s="1300"/>
      <c r="CA33" s="1300"/>
      <c r="CB33" s="1300"/>
      <c r="CC33" s="1300"/>
      <c r="CD33" s="1300"/>
      <c r="CE33" s="1300"/>
      <c r="CF33" s="1300"/>
      <c r="CG33" s="1300"/>
      <c r="CH33" s="1300"/>
      <c r="CI33" s="1300"/>
      <c r="CJ33" s="1300"/>
      <c r="CK33" s="1300"/>
      <c r="CL33" s="1300"/>
      <c r="CM33" s="1300"/>
      <c r="CN33" s="1300"/>
      <c r="CO33" s="1300"/>
      <c r="CP33" s="1300"/>
      <c r="CQ33" s="1300"/>
      <c r="CR33" s="1300"/>
      <c r="CS33" s="1300"/>
      <c r="CT33" s="1300"/>
      <c r="CU33" s="1300"/>
      <c r="CV33" s="1300"/>
      <c r="CW33" s="1300"/>
      <c r="CX33" s="1300"/>
      <c r="CY33" s="1300"/>
      <c r="CZ33" s="1300"/>
      <c r="DA33" s="1300"/>
      <c r="DB33" s="1300"/>
      <c r="DC33" s="1300"/>
      <c r="DD33" s="1300"/>
      <c r="DE33" s="1300"/>
      <c r="DF33" s="1300"/>
      <c r="DG33" s="1300"/>
      <c r="DH33" s="1300"/>
      <c r="DI33" s="1300"/>
      <c r="DJ33" s="1300"/>
      <c r="DK33" s="1300"/>
      <c r="DL33" s="1300"/>
      <c r="DM33" s="1300"/>
      <c r="DN33" s="1300"/>
      <c r="DO33" s="1300"/>
      <c r="DP33" s="1300"/>
      <c r="DQ33" s="1300"/>
      <c r="DR33" s="1300"/>
      <c r="DS33" s="1300"/>
      <c r="DT33" s="1300"/>
      <c r="DU33" s="1300"/>
      <c r="DV33" s="1300"/>
      <c r="DW33" s="1300"/>
      <c r="DX33" s="1300"/>
      <c r="DY33" s="1300"/>
      <c r="DZ33" s="1300"/>
      <c r="EA33" s="1300"/>
      <c r="EB33" s="1300"/>
      <c r="EC33" s="1300"/>
      <c r="ED33" s="1300"/>
      <c r="EE33" s="1300"/>
      <c r="EF33" s="1300"/>
      <c r="EG33" s="1300"/>
      <c r="EH33" s="1300"/>
      <c r="EI33" s="1300"/>
      <c r="EJ33" s="1300"/>
      <c r="EK33" s="1300"/>
      <c r="EL33" s="1300"/>
      <c r="EM33" s="1300"/>
      <c r="EN33" s="1300"/>
      <c r="EO33" s="1300"/>
      <c r="EP33" s="1300"/>
      <c r="EQ33" s="1300"/>
      <c r="ER33" s="1300"/>
      <c r="ES33" s="1300"/>
      <c r="ET33" s="1300"/>
      <c r="EU33" s="1300"/>
      <c r="EV33" s="1300"/>
      <c r="EW33" s="1300"/>
      <c r="EX33" s="1300"/>
      <c r="EY33" s="1300"/>
      <c r="EZ33" s="1300"/>
      <c r="FA33" s="1300"/>
      <c r="FB33" s="1300"/>
      <c r="FC33" s="1300"/>
      <c r="FD33" s="1300"/>
      <c r="FE33" s="1300"/>
      <c r="FF33" s="1300"/>
      <c r="FG33" s="1300"/>
      <c r="FH33" s="1300"/>
      <c r="FI33" s="1300"/>
      <c r="FJ33" s="1300"/>
      <c r="FK33" s="1300"/>
      <c r="FL33" s="1300"/>
      <c r="FM33" s="1300"/>
      <c r="FN33" s="1300"/>
      <c r="FO33" s="1300"/>
      <c r="FP33" s="1300"/>
      <c r="FQ33" s="1300"/>
      <c r="FR33" s="1300"/>
      <c r="FS33" s="1300"/>
      <c r="FT33" s="1300"/>
      <c r="FU33" s="1300"/>
      <c r="FV33" s="1300"/>
      <c r="FW33" s="1300"/>
      <c r="FX33" s="1300"/>
      <c r="FY33" s="1300"/>
      <c r="FZ33" s="1300"/>
      <c r="GA33" s="1300"/>
      <c r="GB33" s="1300"/>
      <c r="GC33" s="1300"/>
      <c r="GD33" s="1300"/>
      <c r="GE33" s="1300"/>
      <c r="GF33" s="1300"/>
      <c r="GG33" s="1300"/>
      <c r="GH33" s="1300"/>
      <c r="GI33" s="1300"/>
      <c r="GJ33" s="1300"/>
      <c r="GK33" s="1300"/>
      <c r="GL33" s="1300"/>
      <c r="GM33" s="1300"/>
      <c r="GN33" s="1300"/>
      <c r="GO33" s="1300"/>
      <c r="GP33" s="1300"/>
      <c r="GQ33" s="1300"/>
      <c r="GR33" s="1300"/>
      <c r="GS33" s="1300"/>
      <c r="GT33" s="1300"/>
      <c r="GU33" s="1300"/>
      <c r="GV33" s="1300"/>
      <c r="GW33" s="1300"/>
      <c r="GX33" s="1300"/>
      <c r="GY33" s="1300"/>
      <c r="GZ33" s="1300"/>
      <c r="HA33" s="1300"/>
      <c r="HB33" s="1300"/>
      <c r="HC33" s="1300"/>
      <c r="HD33" s="1300"/>
      <c r="HE33" s="1300"/>
      <c r="HF33" s="1300"/>
      <c r="HG33" s="1300"/>
      <c r="HH33" s="1300"/>
      <c r="HI33" s="1300"/>
      <c r="HJ33" s="1300"/>
      <c r="HK33" s="1300"/>
      <c r="HL33" s="1300"/>
      <c r="HM33" s="1300"/>
      <c r="HN33" s="1300"/>
      <c r="HO33" s="1300"/>
      <c r="HP33" s="1300"/>
      <c r="HQ33" s="1300"/>
      <c r="HR33" s="1300"/>
      <c r="HS33" s="1300"/>
      <c r="HT33" s="1300"/>
      <c r="HU33" s="1300"/>
      <c r="HV33" s="1300"/>
      <c r="HW33" s="1300"/>
      <c r="HX33" s="1300"/>
      <c r="HY33" s="1300"/>
      <c r="HZ33" s="1300"/>
      <c r="IA33" s="1300"/>
      <c r="IB33" s="1300"/>
      <c r="IC33" s="1300"/>
      <c r="ID33" s="1300"/>
      <c r="IE33" s="1300"/>
      <c r="IF33" s="1300"/>
      <c r="IG33" s="1300"/>
      <c r="IH33" s="1300"/>
      <c r="II33" s="1300"/>
      <c r="IJ33" s="1300"/>
      <c r="IK33" s="1300"/>
      <c r="IL33" s="1300"/>
      <c r="IM33" s="1300"/>
      <c r="IN33" s="1300"/>
      <c r="IO33" s="1300"/>
      <c r="IP33" s="1300"/>
      <c r="IQ33" s="1300"/>
      <c r="IR33" s="1300"/>
      <c r="IS33" s="1300"/>
      <c r="IT33" s="1300"/>
      <c r="IU33" s="1300"/>
      <c r="IV33" s="1300"/>
    </row>
    <row r="34" spans="1:256" ht="9" customHeight="1">
      <c r="A34" s="1304"/>
      <c r="B34" s="1305"/>
      <c r="C34" s="1305"/>
      <c r="D34" s="1305"/>
      <c r="E34" s="1305"/>
      <c r="F34" s="1305"/>
      <c r="G34" s="1305"/>
      <c r="H34" s="1305"/>
      <c r="I34" s="1305"/>
      <c r="J34" s="1305"/>
      <c r="K34" s="1305"/>
      <c r="L34" s="1305"/>
      <c r="M34" s="1305"/>
      <c r="N34" s="1305"/>
      <c r="O34" s="1306"/>
      <c r="P34" s="1292"/>
      <c r="Q34" s="1292"/>
      <c r="R34" s="1292"/>
      <c r="S34" s="1292"/>
      <c r="T34" s="1292"/>
      <c r="U34" s="1292"/>
      <c r="V34" s="1292"/>
      <c r="W34" s="1292"/>
      <c r="X34" s="1292"/>
      <c r="Y34" s="1292"/>
      <c r="Z34" s="1292"/>
      <c r="AA34" s="1292"/>
      <c r="AB34" s="1292"/>
      <c r="AC34" s="1292"/>
      <c r="AD34" s="1292"/>
      <c r="AE34" s="1292"/>
      <c r="AF34" s="1292"/>
      <c r="AG34" s="1292"/>
      <c r="AH34" s="1292"/>
      <c r="AI34" s="1292"/>
      <c r="AJ34" s="1292"/>
      <c r="AK34" s="1292"/>
      <c r="AL34" s="1292"/>
      <c r="AM34" s="1292"/>
      <c r="AN34" s="1292"/>
      <c r="AO34" s="1292"/>
      <c r="AP34" s="1292"/>
      <c r="AQ34" s="1292"/>
      <c r="AR34" s="1292"/>
      <c r="AS34" s="1292"/>
      <c r="AT34" s="1292"/>
      <c r="AU34" s="1292"/>
      <c r="AV34" s="1292"/>
      <c r="AW34" s="1292"/>
      <c r="AX34" s="1292"/>
      <c r="AY34" s="1292"/>
      <c r="AZ34" s="1292"/>
      <c r="BA34" s="1292"/>
      <c r="BB34" s="1292"/>
      <c r="BC34" s="1292"/>
      <c r="BD34" s="1292"/>
      <c r="BE34" s="1292"/>
      <c r="BF34" s="1292"/>
      <c r="BG34" s="1292"/>
      <c r="BH34" s="1292"/>
      <c r="BI34" s="1292"/>
      <c r="BJ34" s="1292"/>
      <c r="BK34" s="1292"/>
      <c r="BL34" s="1292"/>
      <c r="BM34" s="1292"/>
      <c r="BN34" s="1292"/>
      <c r="BO34" s="1292"/>
      <c r="BP34" s="1292"/>
      <c r="BQ34" s="1292"/>
      <c r="BR34" s="1292"/>
      <c r="BS34" s="1292"/>
      <c r="BT34" s="1292"/>
      <c r="BU34" s="1292"/>
      <c r="BV34" s="1292"/>
      <c r="BW34" s="1292"/>
      <c r="BX34" s="1292"/>
      <c r="BY34" s="1292"/>
      <c r="BZ34" s="1292"/>
      <c r="CA34" s="1292"/>
      <c r="CB34" s="1292"/>
      <c r="CC34" s="1292"/>
      <c r="CD34" s="1292"/>
      <c r="CE34" s="1292"/>
      <c r="CF34" s="1292"/>
      <c r="CG34" s="1292"/>
      <c r="CH34" s="1292"/>
      <c r="CI34" s="1292"/>
      <c r="CJ34" s="1292"/>
      <c r="CK34" s="1292"/>
      <c r="CL34" s="1292"/>
      <c r="CM34" s="1292"/>
      <c r="CN34" s="1292"/>
      <c r="CO34" s="1292"/>
      <c r="CP34" s="1292"/>
      <c r="CQ34" s="1292"/>
      <c r="CR34" s="1292"/>
      <c r="CS34" s="1292"/>
      <c r="CT34" s="1292"/>
      <c r="CU34" s="1292"/>
      <c r="CV34" s="1292"/>
      <c r="CW34" s="1292"/>
      <c r="CX34" s="1292"/>
      <c r="CY34" s="1292"/>
      <c r="CZ34" s="1292"/>
      <c r="DA34" s="1292"/>
      <c r="DB34" s="1292"/>
      <c r="DC34" s="1292"/>
      <c r="DD34" s="1292"/>
      <c r="DE34" s="1292"/>
      <c r="DF34" s="1292"/>
      <c r="DG34" s="1292"/>
      <c r="DH34" s="1292"/>
      <c r="DI34" s="1292"/>
      <c r="DJ34" s="1292"/>
      <c r="DK34" s="1292"/>
      <c r="DL34" s="1292"/>
      <c r="DM34" s="1292"/>
      <c r="DN34" s="1292"/>
      <c r="DO34" s="1292"/>
      <c r="DP34" s="1292"/>
      <c r="DQ34" s="1292"/>
      <c r="DR34" s="1292"/>
      <c r="DS34" s="1292"/>
      <c r="DT34" s="1292"/>
      <c r="DU34" s="1292"/>
      <c r="DV34" s="1292"/>
      <c r="DW34" s="1292"/>
      <c r="DX34" s="1292"/>
      <c r="DY34" s="1292"/>
      <c r="DZ34" s="1292"/>
      <c r="EA34" s="1292"/>
      <c r="EB34" s="1292"/>
      <c r="EC34" s="1292"/>
      <c r="ED34" s="1292"/>
      <c r="EE34" s="1292"/>
      <c r="EF34" s="1292"/>
      <c r="EG34" s="1292"/>
      <c r="EH34" s="1292"/>
      <c r="EI34" s="1292"/>
      <c r="EJ34" s="1292"/>
      <c r="EK34" s="1292"/>
      <c r="EL34" s="1292"/>
      <c r="EM34" s="1292"/>
      <c r="EN34" s="1292"/>
      <c r="EO34" s="1292"/>
      <c r="EP34" s="1292"/>
      <c r="EQ34" s="1292"/>
      <c r="ER34" s="1292"/>
      <c r="ES34" s="1292"/>
      <c r="ET34" s="1292"/>
      <c r="EU34" s="1292"/>
      <c r="EV34" s="1292"/>
      <c r="EW34" s="1292"/>
      <c r="EX34" s="1292"/>
      <c r="EY34" s="1292"/>
      <c r="EZ34" s="1292"/>
      <c r="FA34" s="1292"/>
      <c r="FB34" s="1292"/>
      <c r="FC34" s="1292"/>
      <c r="FD34" s="1292"/>
      <c r="FE34" s="1292"/>
      <c r="FF34" s="1292"/>
      <c r="FG34" s="1292"/>
      <c r="FH34" s="1292"/>
      <c r="FI34" s="1292"/>
      <c r="FJ34" s="1292"/>
      <c r="FK34" s="1292"/>
      <c r="FL34" s="1292"/>
      <c r="FM34" s="1292"/>
      <c r="FN34" s="1292"/>
      <c r="FO34" s="1292"/>
      <c r="FP34" s="1292"/>
      <c r="FQ34" s="1292"/>
      <c r="FR34" s="1292"/>
      <c r="FS34" s="1292"/>
      <c r="FT34" s="1292"/>
      <c r="FU34" s="1292"/>
      <c r="FV34" s="1292"/>
      <c r="FW34" s="1292"/>
      <c r="FX34" s="1292"/>
      <c r="FY34" s="1292"/>
      <c r="FZ34" s="1292"/>
      <c r="GA34" s="1292"/>
      <c r="GB34" s="1292"/>
      <c r="GC34" s="1292"/>
      <c r="GD34" s="1292"/>
      <c r="GE34" s="1292"/>
      <c r="GF34" s="1292"/>
      <c r="GG34" s="1292"/>
      <c r="GH34" s="1292"/>
      <c r="GI34" s="1292"/>
      <c r="GJ34" s="1292"/>
      <c r="GK34" s="1292"/>
      <c r="GL34" s="1292"/>
      <c r="GM34" s="1292"/>
      <c r="GN34" s="1292"/>
      <c r="GO34" s="1292"/>
      <c r="GP34" s="1292"/>
      <c r="GQ34" s="1292"/>
      <c r="GR34" s="1292"/>
      <c r="GS34" s="1292"/>
      <c r="GT34" s="1292"/>
      <c r="GU34" s="1292"/>
      <c r="GV34" s="1292"/>
      <c r="GW34" s="1292"/>
      <c r="GX34" s="1292"/>
      <c r="GY34" s="1292"/>
      <c r="GZ34" s="1292"/>
      <c r="HA34" s="1292"/>
      <c r="HB34" s="1292"/>
      <c r="HC34" s="1292"/>
      <c r="HD34" s="1292"/>
      <c r="HE34" s="1292"/>
      <c r="HF34" s="1292"/>
      <c r="HG34" s="1292"/>
      <c r="HH34" s="1292"/>
      <c r="HI34" s="1292"/>
      <c r="HJ34" s="1292"/>
      <c r="HK34" s="1292"/>
      <c r="HL34" s="1292"/>
      <c r="HM34" s="1292"/>
      <c r="HN34" s="1292"/>
      <c r="HO34" s="1292"/>
      <c r="HP34" s="1292"/>
      <c r="HQ34" s="1292"/>
      <c r="HR34" s="1292"/>
      <c r="HS34" s="1292"/>
      <c r="HT34" s="1292"/>
      <c r="HU34" s="1292"/>
      <c r="HV34" s="1292"/>
      <c r="HW34" s="1292"/>
      <c r="HX34" s="1292"/>
      <c r="HY34" s="1292"/>
      <c r="HZ34" s="1292"/>
      <c r="IA34" s="1292"/>
      <c r="IB34" s="1292"/>
      <c r="IC34" s="1292"/>
      <c r="ID34" s="1292"/>
      <c r="IE34" s="1292"/>
      <c r="IF34" s="1292"/>
      <c r="IG34" s="1292"/>
      <c r="IH34" s="1292"/>
      <c r="II34" s="1292"/>
      <c r="IJ34" s="1292"/>
      <c r="IK34" s="1292"/>
      <c r="IL34" s="1292"/>
      <c r="IM34" s="1292"/>
      <c r="IN34" s="1292"/>
      <c r="IO34" s="1292"/>
      <c r="IP34" s="1292"/>
      <c r="IQ34" s="1292"/>
      <c r="IR34" s="1292"/>
      <c r="IS34" s="1292"/>
      <c r="IT34" s="1292"/>
      <c r="IU34" s="1292"/>
      <c r="IV34" s="1292"/>
    </row>
    <row r="35" spans="1:256" ht="33" customHeight="1">
      <c r="A35" s="3987" t="s">
        <v>2353</v>
      </c>
      <c r="B35" s="3988"/>
      <c r="C35" s="3988"/>
      <c r="D35" s="3988"/>
      <c r="E35" s="3988"/>
      <c r="F35" s="3988"/>
      <c r="G35" s="3988"/>
      <c r="H35" s="3988"/>
      <c r="I35" s="3988"/>
      <c r="J35" s="3988"/>
      <c r="K35" s="3988"/>
      <c r="L35" s="3988"/>
      <c r="M35" s="3988"/>
      <c r="N35" s="3988"/>
      <c r="O35" s="3989"/>
      <c r="P35" s="1292"/>
      <c r="Q35" s="1292"/>
      <c r="R35" s="1292"/>
      <c r="S35" s="1292"/>
      <c r="T35" s="1292"/>
      <c r="U35" s="1292"/>
      <c r="V35" s="1292"/>
      <c r="W35" s="1292"/>
      <c r="X35" s="1292"/>
      <c r="Y35" s="1292"/>
      <c r="Z35" s="1292"/>
      <c r="AA35" s="1292"/>
      <c r="AB35" s="1292"/>
      <c r="AC35" s="1292"/>
      <c r="AD35" s="1292"/>
      <c r="AE35" s="1292"/>
      <c r="AF35" s="1292"/>
      <c r="AG35" s="1292"/>
      <c r="AH35" s="1292"/>
      <c r="AI35" s="1292"/>
      <c r="AJ35" s="1292"/>
      <c r="AK35" s="1292"/>
      <c r="AL35" s="1292"/>
      <c r="AM35" s="1292"/>
      <c r="AN35" s="1292"/>
      <c r="AO35" s="1292"/>
      <c r="AP35" s="1292"/>
      <c r="AQ35" s="1292"/>
      <c r="AR35" s="1292"/>
      <c r="AS35" s="1292"/>
      <c r="AT35" s="1292"/>
      <c r="AU35" s="1292"/>
      <c r="AV35" s="1292"/>
      <c r="AW35" s="1292"/>
      <c r="AX35" s="1292"/>
      <c r="AY35" s="1292"/>
      <c r="AZ35" s="1292"/>
      <c r="BA35" s="1292"/>
      <c r="BB35" s="1292"/>
      <c r="BC35" s="1292"/>
      <c r="BD35" s="1292"/>
      <c r="BE35" s="1292"/>
      <c r="BF35" s="1292"/>
      <c r="BG35" s="1292"/>
      <c r="BH35" s="1292"/>
      <c r="BI35" s="1292"/>
      <c r="BJ35" s="1292"/>
      <c r="BK35" s="1292"/>
      <c r="BL35" s="1292"/>
      <c r="BM35" s="1292"/>
      <c r="BN35" s="1292"/>
      <c r="BO35" s="1292"/>
      <c r="BP35" s="1292"/>
      <c r="BQ35" s="1292"/>
      <c r="BR35" s="1292"/>
      <c r="BS35" s="1292"/>
      <c r="BT35" s="1292"/>
      <c r="BU35" s="1292"/>
      <c r="BV35" s="1292"/>
      <c r="BW35" s="1292"/>
      <c r="BX35" s="1292"/>
      <c r="BY35" s="1292"/>
      <c r="BZ35" s="1292"/>
      <c r="CA35" s="1292"/>
      <c r="CB35" s="1292"/>
      <c r="CC35" s="1292"/>
      <c r="CD35" s="1292"/>
      <c r="CE35" s="1292"/>
      <c r="CF35" s="1292"/>
      <c r="CG35" s="1292"/>
      <c r="CH35" s="1292"/>
      <c r="CI35" s="1292"/>
      <c r="CJ35" s="1292"/>
      <c r="CK35" s="1292"/>
      <c r="CL35" s="1292"/>
      <c r="CM35" s="1292"/>
      <c r="CN35" s="1292"/>
      <c r="CO35" s="1292"/>
      <c r="CP35" s="1292"/>
      <c r="CQ35" s="1292"/>
      <c r="CR35" s="1292"/>
      <c r="CS35" s="1292"/>
      <c r="CT35" s="1292"/>
      <c r="CU35" s="1292"/>
      <c r="CV35" s="1292"/>
      <c r="CW35" s="1292"/>
      <c r="CX35" s="1292"/>
      <c r="CY35" s="1292"/>
      <c r="CZ35" s="1292"/>
      <c r="DA35" s="1292"/>
      <c r="DB35" s="1292"/>
      <c r="DC35" s="1292"/>
      <c r="DD35" s="1292"/>
      <c r="DE35" s="1292"/>
      <c r="DF35" s="1292"/>
      <c r="DG35" s="1292"/>
      <c r="DH35" s="1292"/>
      <c r="DI35" s="1292"/>
      <c r="DJ35" s="1292"/>
      <c r="DK35" s="1292"/>
      <c r="DL35" s="1292"/>
      <c r="DM35" s="1292"/>
      <c r="DN35" s="1292"/>
      <c r="DO35" s="1292"/>
      <c r="DP35" s="1292"/>
      <c r="DQ35" s="1292"/>
      <c r="DR35" s="1292"/>
      <c r="DS35" s="1292"/>
      <c r="DT35" s="1292"/>
      <c r="DU35" s="1292"/>
      <c r="DV35" s="1292"/>
      <c r="DW35" s="1292"/>
      <c r="DX35" s="1292"/>
      <c r="DY35" s="1292"/>
      <c r="DZ35" s="1292"/>
      <c r="EA35" s="1292"/>
      <c r="EB35" s="1292"/>
      <c r="EC35" s="1292"/>
      <c r="ED35" s="1292"/>
      <c r="EE35" s="1292"/>
      <c r="EF35" s="1292"/>
      <c r="EG35" s="1292"/>
      <c r="EH35" s="1292"/>
      <c r="EI35" s="1292"/>
      <c r="EJ35" s="1292"/>
      <c r="EK35" s="1292"/>
      <c r="EL35" s="1292"/>
      <c r="EM35" s="1292"/>
      <c r="EN35" s="1292"/>
      <c r="EO35" s="1292"/>
      <c r="EP35" s="1292"/>
      <c r="EQ35" s="1292"/>
      <c r="ER35" s="1292"/>
      <c r="ES35" s="1292"/>
      <c r="ET35" s="1292"/>
      <c r="EU35" s="1292"/>
      <c r="EV35" s="1292"/>
      <c r="EW35" s="1292"/>
      <c r="EX35" s="1292"/>
      <c r="EY35" s="1292"/>
      <c r="EZ35" s="1292"/>
      <c r="FA35" s="1292"/>
      <c r="FB35" s="1292"/>
      <c r="FC35" s="1292"/>
      <c r="FD35" s="1292"/>
      <c r="FE35" s="1292"/>
      <c r="FF35" s="1292"/>
      <c r="FG35" s="1292"/>
      <c r="FH35" s="1292"/>
      <c r="FI35" s="1292"/>
      <c r="FJ35" s="1292"/>
      <c r="FK35" s="1292"/>
      <c r="FL35" s="1292"/>
      <c r="FM35" s="1292"/>
      <c r="FN35" s="1292"/>
      <c r="FO35" s="1292"/>
      <c r="FP35" s="1292"/>
      <c r="FQ35" s="1292"/>
      <c r="FR35" s="1292"/>
      <c r="FS35" s="1292"/>
      <c r="FT35" s="1292"/>
      <c r="FU35" s="1292"/>
      <c r="FV35" s="1292"/>
      <c r="FW35" s="1292"/>
      <c r="FX35" s="1292"/>
      <c r="FY35" s="1292"/>
      <c r="FZ35" s="1292"/>
      <c r="GA35" s="1292"/>
      <c r="GB35" s="1292"/>
      <c r="GC35" s="1292"/>
      <c r="GD35" s="1292"/>
      <c r="GE35" s="1292"/>
      <c r="GF35" s="1292"/>
      <c r="GG35" s="1292"/>
      <c r="GH35" s="1292"/>
      <c r="GI35" s="1292"/>
      <c r="GJ35" s="1292"/>
      <c r="GK35" s="1292"/>
      <c r="GL35" s="1292"/>
      <c r="GM35" s="1292"/>
      <c r="GN35" s="1292"/>
      <c r="GO35" s="1292"/>
      <c r="GP35" s="1292"/>
      <c r="GQ35" s="1292"/>
      <c r="GR35" s="1292"/>
      <c r="GS35" s="1292"/>
      <c r="GT35" s="1292"/>
      <c r="GU35" s="1292"/>
      <c r="GV35" s="1292"/>
      <c r="GW35" s="1292"/>
      <c r="GX35" s="1292"/>
      <c r="GY35" s="1292"/>
      <c r="GZ35" s="1292"/>
      <c r="HA35" s="1292"/>
      <c r="HB35" s="1292"/>
      <c r="HC35" s="1292"/>
      <c r="HD35" s="1292"/>
      <c r="HE35" s="1292"/>
      <c r="HF35" s="1292"/>
      <c r="HG35" s="1292"/>
      <c r="HH35" s="1292"/>
      <c r="HI35" s="1292"/>
      <c r="HJ35" s="1292"/>
      <c r="HK35" s="1292"/>
      <c r="HL35" s="1292"/>
      <c r="HM35" s="1292"/>
      <c r="HN35" s="1292"/>
      <c r="HO35" s="1292"/>
      <c r="HP35" s="1292"/>
      <c r="HQ35" s="1292"/>
      <c r="HR35" s="1292"/>
      <c r="HS35" s="1292"/>
      <c r="HT35" s="1292"/>
      <c r="HU35" s="1292"/>
      <c r="HV35" s="1292"/>
      <c r="HW35" s="1292"/>
      <c r="HX35" s="1292"/>
      <c r="HY35" s="1292"/>
      <c r="HZ35" s="1292"/>
      <c r="IA35" s="1292"/>
      <c r="IB35" s="1292"/>
      <c r="IC35" s="1292"/>
      <c r="ID35" s="1292"/>
      <c r="IE35" s="1292"/>
      <c r="IF35" s="1292"/>
      <c r="IG35" s="1292"/>
      <c r="IH35" s="1292"/>
      <c r="II35" s="1292"/>
      <c r="IJ35" s="1292"/>
      <c r="IK35" s="1292"/>
      <c r="IL35" s="1292"/>
      <c r="IM35" s="1292"/>
      <c r="IN35" s="1292"/>
      <c r="IO35" s="1292"/>
      <c r="IP35" s="1292"/>
      <c r="IQ35" s="1292"/>
      <c r="IR35" s="1292"/>
      <c r="IS35" s="1292"/>
      <c r="IT35" s="1292"/>
      <c r="IU35" s="1292"/>
      <c r="IV35" s="1292"/>
    </row>
    <row r="36" spans="1:256">
      <c r="A36" s="3990" t="s">
        <v>2354</v>
      </c>
      <c r="B36" s="3991"/>
      <c r="C36" s="3991"/>
      <c r="D36" s="3991"/>
      <c r="E36" s="3991"/>
      <c r="F36" s="3991"/>
      <c r="G36" s="3991"/>
      <c r="H36" s="3991"/>
      <c r="I36" s="3991"/>
      <c r="J36" s="3991"/>
      <c r="K36" s="3991"/>
      <c r="L36" s="3991"/>
      <c r="M36" s="3991"/>
      <c r="N36" s="3991"/>
      <c r="O36" s="3992"/>
      <c r="P36" s="1292"/>
      <c r="Q36" s="1292"/>
      <c r="R36" s="1292"/>
      <c r="S36" s="1292"/>
      <c r="T36" s="1292"/>
      <c r="U36" s="1292"/>
      <c r="V36" s="1292"/>
      <c r="W36" s="1292"/>
      <c r="X36" s="1292"/>
      <c r="Y36" s="1292"/>
      <c r="Z36" s="1292"/>
      <c r="AA36" s="1292"/>
      <c r="AB36" s="1292"/>
      <c r="AC36" s="1292"/>
      <c r="AD36" s="1292"/>
      <c r="AE36" s="1292"/>
      <c r="AF36" s="1292"/>
      <c r="AG36" s="1292"/>
      <c r="AH36" s="1292"/>
      <c r="AI36" s="1292"/>
      <c r="AJ36" s="1292"/>
      <c r="AK36" s="1292"/>
      <c r="AL36" s="1292"/>
      <c r="AM36" s="1292"/>
      <c r="AN36" s="1292"/>
      <c r="AO36" s="1292"/>
      <c r="AP36" s="1292"/>
      <c r="AQ36" s="1292"/>
      <c r="AR36" s="1292"/>
      <c r="AS36" s="1292"/>
      <c r="AT36" s="1292"/>
      <c r="AU36" s="1292"/>
      <c r="AV36" s="1292"/>
      <c r="AW36" s="1292"/>
      <c r="AX36" s="1292"/>
      <c r="AY36" s="1292"/>
      <c r="AZ36" s="1292"/>
      <c r="BA36" s="1292"/>
      <c r="BB36" s="1292"/>
      <c r="BC36" s="1292"/>
      <c r="BD36" s="1292"/>
      <c r="BE36" s="1292"/>
      <c r="BF36" s="1292"/>
      <c r="BG36" s="1292"/>
      <c r="BH36" s="1292"/>
      <c r="BI36" s="1292"/>
      <c r="BJ36" s="1292"/>
      <c r="BK36" s="1292"/>
      <c r="BL36" s="1292"/>
      <c r="BM36" s="1292"/>
      <c r="BN36" s="1292"/>
      <c r="BO36" s="1292"/>
      <c r="BP36" s="1292"/>
      <c r="BQ36" s="1292"/>
      <c r="BR36" s="1292"/>
      <c r="BS36" s="1292"/>
      <c r="BT36" s="1292"/>
      <c r="BU36" s="1292"/>
      <c r="BV36" s="1292"/>
      <c r="BW36" s="1292"/>
      <c r="BX36" s="1292"/>
      <c r="BY36" s="1292"/>
      <c r="BZ36" s="1292"/>
      <c r="CA36" s="1292"/>
      <c r="CB36" s="1292"/>
      <c r="CC36" s="1292"/>
      <c r="CD36" s="1292"/>
      <c r="CE36" s="1292"/>
      <c r="CF36" s="1292"/>
      <c r="CG36" s="1292"/>
      <c r="CH36" s="1292"/>
      <c r="CI36" s="1292"/>
      <c r="CJ36" s="1292"/>
      <c r="CK36" s="1292"/>
      <c r="CL36" s="1292"/>
      <c r="CM36" s="1292"/>
      <c r="CN36" s="1292"/>
      <c r="CO36" s="1292"/>
      <c r="CP36" s="1292"/>
      <c r="CQ36" s="1292"/>
      <c r="CR36" s="1292"/>
      <c r="CS36" s="1292"/>
      <c r="CT36" s="1292"/>
      <c r="CU36" s="1292"/>
      <c r="CV36" s="1292"/>
      <c r="CW36" s="1292"/>
      <c r="CX36" s="1292"/>
      <c r="CY36" s="1292"/>
      <c r="CZ36" s="1292"/>
      <c r="DA36" s="1292"/>
      <c r="DB36" s="1292"/>
      <c r="DC36" s="1292"/>
      <c r="DD36" s="1292"/>
      <c r="DE36" s="1292"/>
      <c r="DF36" s="1292"/>
      <c r="DG36" s="1292"/>
      <c r="DH36" s="1292"/>
      <c r="DI36" s="1292"/>
      <c r="DJ36" s="1292"/>
      <c r="DK36" s="1292"/>
      <c r="DL36" s="1292"/>
      <c r="DM36" s="1292"/>
      <c r="DN36" s="1292"/>
      <c r="DO36" s="1292"/>
      <c r="DP36" s="1292"/>
      <c r="DQ36" s="1292"/>
      <c r="DR36" s="1292"/>
      <c r="DS36" s="1292"/>
      <c r="DT36" s="1292"/>
      <c r="DU36" s="1292"/>
      <c r="DV36" s="1292"/>
      <c r="DW36" s="1292"/>
      <c r="DX36" s="1292"/>
      <c r="DY36" s="1292"/>
      <c r="DZ36" s="1292"/>
      <c r="EA36" s="1292"/>
      <c r="EB36" s="1292"/>
      <c r="EC36" s="1292"/>
      <c r="ED36" s="1292"/>
      <c r="EE36" s="1292"/>
      <c r="EF36" s="1292"/>
      <c r="EG36" s="1292"/>
      <c r="EH36" s="1292"/>
      <c r="EI36" s="1292"/>
      <c r="EJ36" s="1292"/>
      <c r="EK36" s="1292"/>
      <c r="EL36" s="1292"/>
      <c r="EM36" s="1292"/>
      <c r="EN36" s="1292"/>
      <c r="EO36" s="1292"/>
      <c r="EP36" s="1292"/>
      <c r="EQ36" s="1292"/>
      <c r="ER36" s="1292"/>
      <c r="ES36" s="1292"/>
      <c r="ET36" s="1292"/>
      <c r="EU36" s="1292"/>
      <c r="EV36" s="1292"/>
      <c r="EW36" s="1292"/>
      <c r="EX36" s="1292"/>
      <c r="EY36" s="1292"/>
      <c r="EZ36" s="1292"/>
      <c r="FA36" s="1292"/>
      <c r="FB36" s="1292"/>
      <c r="FC36" s="1292"/>
      <c r="FD36" s="1292"/>
      <c r="FE36" s="1292"/>
      <c r="FF36" s="1292"/>
      <c r="FG36" s="1292"/>
      <c r="FH36" s="1292"/>
      <c r="FI36" s="1292"/>
      <c r="FJ36" s="1292"/>
      <c r="FK36" s="1292"/>
      <c r="FL36" s="1292"/>
      <c r="FM36" s="1292"/>
      <c r="FN36" s="1292"/>
      <c r="FO36" s="1292"/>
      <c r="FP36" s="1292"/>
      <c r="FQ36" s="1292"/>
      <c r="FR36" s="1292"/>
      <c r="FS36" s="1292"/>
      <c r="FT36" s="1292"/>
      <c r="FU36" s="1292"/>
      <c r="FV36" s="1292"/>
      <c r="FW36" s="1292"/>
      <c r="FX36" s="1292"/>
      <c r="FY36" s="1292"/>
      <c r="FZ36" s="1292"/>
      <c r="GA36" s="1292"/>
      <c r="GB36" s="1292"/>
      <c r="GC36" s="1292"/>
      <c r="GD36" s="1292"/>
      <c r="GE36" s="1292"/>
      <c r="GF36" s="1292"/>
      <c r="GG36" s="1292"/>
      <c r="GH36" s="1292"/>
      <c r="GI36" s="1292"/>
      <c r="GJ36" s="1292"/>
      <c r="GK36" s="1292"/>
      <c r="GL36" s="1292"/>
      <c r="GM36" s="1292"/>
      <c r="GN36" s="1292"/>
      <c r="GO36" s="1292"/>
      <c r="GP36" s="1292"/>
      <c r="GQ36" s="1292"/>
      <c r="GR36" s="1292"/>
      <c r="GS36" s="1292"/>
      <c r="GT36" s="1292"/>
      <c r="GU36" s="1292"/>
      <c r="GV36" s="1292"/>
      <c r="GW36" s="1292"/>
      <c r="GX36" s="1292"/>
      <c r="GY36" s="1292"/>
      <c r="GZ36" s="1292"/>
      <c r="HA36" s="1292"/>
      <c r="HB36" s="1292"/>
      <c r="HC36" s="1292"/>
      <c r="HD36" s="1292"/>
      <c r="HE36" s="1292"/>
      <c r="HF36" s="1292"/>
      <c r="HG36" s="1292"/>
      <c r="HH36" s="1292"/>
      <c r="HI36" s="1292"/>
      <c r="HJ36" s="1292"/>
      <c r="HK36" s="1292"/>
      <c r="HL36" s="1292"/>
      <c r="HM36" s="1292"/>
      <c r="HN36" s="1292"/>
      <c r="HO36" s="1292"/>
      <c r="HP36" s="1292"/>
      <c r="HQ36" s="1292"/>
      <c r="HR36" s="1292"/>
      <c r="HS36" s="1292"/>
      <c r="HT36" s="1292"/>
      <c r="HU36" s="1292"/>
      <c r="HV36" s="1292"/>
      <c r="HW36" s="1292"/>
      <c r="HX36" s="1292"/>
      <c r="HY36" s="1292"/>
      <c r="HZ36" s="1292"/>
      <c r="IA36" s="1292"/>
      <c r="IB36" s="1292"/>
      <c r="IC36" s="1292"/>
      <c r="ID36" s="1292"/>
      <c r="IE36" s="1292"/>
      <c r="IF36" s="1292"/>
      <c r="IG36" s="1292"/>
      <c r="IH36" s="1292"/>
      <c r="II36" s="1292"/>
      <c r="IJ36" s="1292"/>
      <c r="IK36" s="1292"/>
      <c r="IL36" s="1292"/>
      <c r="IM36" s="1292"/>
      <c r="IN36" s="1292"/>
      <c r="IO36" s="1292"/>
      <c r="IP36" s="1292"/>
      <c r="IQ36" s="1292"/>
      <c r="IR36" s="1292"/>
      <c r="IS36" s="1292"/>
      <c r="IT36" s="1292"/>
      <c r="IU36" s="1292"/>
      <c r="IV36" s="1292"/>
    </row>
    <row r="37" spans="1:256" ht="2.1" customHeight="1">
      <c r="A37" s="1307"/>
      <c r="B37" s="1308"/>
      <c r="C37" s="1308"/>
      <c r="D37" s="1308"/>
      <c r="E37" s="1308"/>
      <c r="F37" s="1308"/>
      <c r="G37" s="1308"/>
      <c r="H37" s="1308"/>
      <c r="I37" s="1308"/>
      <c r="J37" s="1308"/>
      <c r="K37" s="1308"/>
      <c r="L37" s="1308"/>
      <c r="M37" s="1308"/>
      <c r="N37" s="1308"/>
      <c r="O37" s="1309"/>
      <c r="P37" s="1292"/>
      <c r="Q37" s="1292"/>
      <c r="R37" s="1292"/>
      <c r="S37" s="1292"/>
      <c r="T37" s="1292"/>
      <c r="U37" s="1292"/>
      <c r="V37" s="1292"/>
      <c r="W37" s="1292"/>
      <c r="X37" s="1292"/>
      <c r="Y37" s="1292"/>
      <c r="Z37" s="1292"/>
      <c r="AA37" s="1292"/>
      <c r="AB37" s="1292"/>
      <c r="AC37" s="1292"/>
      <c r="AD37" s="1292"/>
      <c r="AE37" s="1292"/>
      <c r="AF37" s="1292"/>
      <c r="AG37" s="1292"/>
      <c r="AH37" s="1292"/>
      <c r="AI37" s="1292"/>
      <c r="AJ37" s="1292"/>
      <c r="AK37" s="1292"/>
      <c r="AL37" s="1292"/>
      <c r="AM37" s="1292"/>
      <c r="AN37" s="1292"/>
      <c r="AO37" s="1292"/>
      <c r="AP37" s="1292"/>
      <c r="AQ37" s="1292"/>
      <c r="AR37" s="1292"/>
      <c r="AS37" s="1292"/>
      <c r="AT37" s="1292"/>
      <c r="AU37" s="1292"/>
      <c r="AV37" s="1292"/>
      <c r="AW37" s="1292"/>
      <c r="AX37" s="1292"/>
      <c r="AY37" s="1292"/>
      <c r="AZ37" s="1292"/>
      <c r="BA37" s="1292"/>
      <c r="BB37" s="1292"/>
      <c r="BC37" s="1292"/>
      <c r="BD37" s="1292"/>
      <c r="BE37" s="1292"/>
      <c r="BF37" s="1292"/>
      <c r="BG37" s="1292"/>
      <c r="BH37" s="1292"/>
      <c r="BI37" s="1292"/>
      <c r="BJ37" s="1292"/>
      <c r="BK37" s="1292"/>
      <c r="BL37" s="1292"/>
      <c r="BM37" s="1292"/>
      <c r="BN37" s="1292"/>
      <c r="BO37" s="1292"/>
      <c r="BP37" s="1292"/>
      <c r="BQ37" s="1292"/>
      <c r="BR37" s="1292"/>
      <c r="BS37" s="1292"/>
      <c r="BT37" s="1292"/>
      <c r="BU37" s="1292"/>
      <c r="BV37" s="1292"/>
      <c r="BW37" s="1292"/>
      <c r="BX37" s="1292"/>
      <c r="BY37" s="1292"/>
      <c r="BZ37" s="1292"/>
      <c r="CA37" s="1292"/>
      <c r="CB37" s="1292"/>
      <c r="CC37" s="1292"/>
      <c r="CD37" s="1292"/>
      <c r="CE37" s="1292"/>
      <c r="CF37" s="1292"/>
      <c r="CG37" s="1292"/>
      <c r="CH37" s="1292"/>
      <c r="CI37" s="1292"/>
      <c r="CJ37" s="1292"/>
      <c r="CK37" s="1292"/>
      <c r="CL37" s="1292"/>
      <c r="CM37" s="1292"/>
      <c r="CN37" s="1292"/>
      <c r="CO37" s="1292"/>
      <c r="CP37" s="1292"/>
      <c r="CQ37" s="1292"/>
      <c r="CR37" s="1292"/>
      <c r="CS37" s="1292"/>
      <c r="CT37" s="1292"/>
      <c r="CU37" s="1292"/>
      <c r="CV37" s="1292"/>
      <c r="CW37" s="1292"/>
      <c r="CX37" s="1292"/>
      <c r="CY37" s="1292"/>
      <c r="CZ37" s="1292"/>
      <c r="DA37" s="1292"/>
      <c r="DB37" s="1292"/>
      <c r="DC37" s="1292"/>
      <c r="DD37" s="1292"/>
      <c r="DE37" s="1292"/>
      <c r="DF37" s="1292"/>
      <c r="DG37" s="1292"/>
      <c r="DH37" s="1292"/>
      <c r="DI37" s="1292"/>
      <c r="DJ37" s="1292"/>
      <c r="DK37" s="1292"/>
      <c r="DL37" s="1292"/>
      <c r="DM37" s="1292"/>
      <c r="DN37" s="1292"/>
      <c r="DO37" s="1292"/>
      <c r="DP37" s="1292"/>
      <c r="DQ37" s="1292"/>
      <c r="DR37" s="1292"/>
      <c r="DS37" s="1292"/>
      <c r="DT37" s="1292"/>
      <c r="DU37" s="1292"/>
      <c r="DV37" s="1292"/>
      <c r="DW37" s="1292"/>
      <c r="DX37" s="1292"/>
      <c r="DY37" s="1292"/>
      <c r="DZ37" s="1292"/>
      <c r="EA37" s="1292"/>
      <c r="EB37" s="1292"/>
      <c r="EC37" s="1292"/>
      <c r="ED37" s="1292"/>
      <c r="EE37" s="1292"/>
      <c r="EF37" s="1292"/>
      <c r="EG37" s="1292"/>
      <c r="EH37" s="1292"/>
      <c r="EI37" s="1292"/>
      <c r="EJ37" s="1292"/>
      <c r="EK37" s="1292"/>
      <c r="EL37" s="1292"/>
      <c r="EM37" s="1292"/>
      <c r="EN37" s="1292"/>
      <c r="EO37" s="1292"/>
      <c r="EP37" s="1292"/>
      <c r="EQ37" s="1292"/>
      <c r="ER37" s="1292"/>
      <c r="ES37" s="1292"/>
      <c r="ET37" s="1292"/>
      <c r="EU37" s="1292"/>
      <c r="EV37" s="1292"/>
      <c r="EW37" s="1292"/>
      <c r="EX37" s="1292"/>
      <c r="EY37" s="1292"/>
      <c r="EZ37" s="1292"/>
      <c r="FA37" s="1292"/>
      <c r="FB37" s="1292"/>
      <c r="FC37" s="1292"/>
      <c r="FD37" s="1292"/>
      <c r="FE37" s="1292"/>
      <c r="FF37" s="1292"/>
      <c r="FG37" s="1292"/>
      <c r="FH37" s="1292"/>
      <c r="FI37" s="1292"/>
      <c r="FJ37" s="1292"/>
      <c r="FK37" s="1292"/>
      <c r="FL37" s="1292"/>
      <c r="FM37" s="1292"/>
      <c r="FN37" s="1292"/>
      <c r="FO37" s="1292"/>
      <c r="FP37" s="1292"/>
      <c r="FQ37" s="1292"/>
      <c r="FR37" s="1292"/>
      <c r="FS37" s="1292"/>
      <c r="FT37" s="1292"/>
      <c r="FU37" s="1292"/>
      <c r="FV37" s="1292"/>
      <c r="FW37" s="1292"/>
      <c r="FX37" s="1292"/>
      <c r="FY37" s="1292"/>
      <c r="FZ37" s="1292"/>
      <c r="GA37" s="1292"/>
      <c r="GB37" s="1292"/>
      <c r="GC37" s="1292"/>
      <c r="GD37" s="1292"/>
      <c r="GE37" s="1292"/>
      <c r="GF37" s="1292"/>
      <c r="GG37" s="1292"/>
      <c r="GH37" s="1292"/>
      <c r="GI37" s="1292"/>
      <c r="GJ37" s="1292"/>
      <c r="GK37" s="1292"/>
      <c r="GL37" s="1292"/>
      <c r="GM37" s="1292"/>
      <c r="GN37" s="1292"/>
      <c r="GO37" s="1292"/>
      <c r="GP37" s="1292"/>
      <c r="GQ37" s="1292"/>
      <c r="GR37" s="1292"/>
      <c r="GS37" s="1292"/>
      <c r="GT37" s="1292"/>
      <c r="GU37" s="1292"/>
      <c r="GV37" s="1292"/>
      <c r="GW37" s="1292"/>
      <c r="GX37" s="1292"/>
      <c r="GY37" s="1292"/>
      <c r="GZ37" s="1292"/>
      <c r="HA37" s="1292"/>
      <c r="HB37" s="1292"/>
      <c r="HC37" s="1292"/>
      <c r="HD37" s="1292"/>
      <c r="HE37" s="1292"/>
      <c r="HF37" s="1292"/>
      <c r="HG37" s="1292"/>
      <c r="HH37" s="1292"/>
      <c r="HI37" s="1292"/>
      <c r="HJ37" s="1292"/>
      <c r="HK37" s="1292"/>
      <c r="HL37" s="1292"/>
      <c r="HM37" s="1292"/>
      <c r="HN37" s="1292"/>
      <c r="HO37" s="1292"/>
      <c r="HP37" s="1292"/>
      <c r="HQ37" s="1292"/>
      <c r="HR37" s="1292"/>
      <c r="HS37" s="1292"/>
      <c r="HT37" s="1292"/>
      <c r="HU37" s="1292"/>
      <c r="HV37" s="1292"/>
      <c r="HW37" s="1292"/>
      <c r="HX37" s="1292"/>
      <c r="HY37" s="1292"/>
      <c r="HZ37" s="1292"/>
      <c r="IA37" s="1292"/>
      <c r="IB37" s="1292"/>
      <c r="IC37" s="1292"/>
      <c r="ID37" s="1292"/>
      <c r="IE37" s="1292"/>
      <c r="IF37" s="1292"/>
      <c r="IG37" s="1292"/>
      <c r="IH37" s="1292"/>
      <c r="II37" s="1292"/>
      <c r="IJ37" s="1292"/>
      <c r="IK37" s="1292"/>
      <c r="IL37" s="1292"/>
      <c r="IM37" s="1292"/>
      <c r="IN37" s="1292"/>
      <c r="IO37" s="1292"/>
      <c r="IP37" s="1292"/>
      <c r="IQ37" s="1292"/>
      <c r="IR37" s="1292"/>
      <c r="IS37" s="1292"/>
      <c r="IT37" s="1292"/>
      <c r="IU37" s="1292"/>
      <c r="IV37" s="1292"/>
    </row>
    <row r="38" spans="1:256">
      <c r="A38" s="1310" t="s">
        <v>2355</v>
      </c>
      <c r="B38" s="1292"/>
      <c r="C38" s="1292"/>
      <c r="D38" s="1292"/>
      <c r="E38" s="1292"/>
      <c r="F38" s="1292"/>
      <c r="G38" s="1292"/>
      <c r="H38" s="1292"/>
      <c r="I38" s="1292"/>
      <c r="J38" s="1292"/>
      <c r="K38" s="1292"/>
      <c r="L38" s="2067" t="str">
        <f>IF(ISBLANK(B5)," ", MIN(D5:D33,I4:I33,N4:N33))</f>
        <v xml:space="preserve"> </v>
      </c>
      <c r="M38" s="2071" t="s">
        <v>2319</v>
      </c>
      <c r="N38" s="1292"/>
      <c r="O38" s="1309"/>
      <c r="P38" s="1292"/>
      <c r="Q38" s="1292"/>
      <c r="R38" s="1292"/>
      <c r="S38" s="1292"/>
      <c r="T38" s="1292"/>
      <c r="U38" s="1292"/>
      <c r="V38" s="1292"/>
      <c r="W38" s="1292"/>
      <c r="X38" s="1292"/>
      <c r="Y38" s="1292"/>
      <c r="Z38" s="1292"/>
      <c r="AA38" s="1292"/>
      <c r="AB38" s="1292"/>
      <c r="AC38" s="1292"/>
      <c r="AD38" s="1292"/>
      <c r="AE38" s="1292"/>
      <c r="AF38" s="1292"/>
      <c r="AG38" s="1292"/>
      <c r="AH38" s="1292"/>
      <c r="AI38" s="1292"/>
      <c r="AJ38" s="1292"/>
      <c r="AK38" s="1292"/>
      <c r="AL38" s="1292"/>
      <c r="AM38" s="1292"/>
      <c r="AN38" s="1292"/>
      <c r="AO38" s="1292"/>
      <c r="AP38" s="1292"/>
      <c r="AQ38" s="1292"/>
      <c r="AR38" s="1292"/>
      <c r="AS38" s="1292"/>
      <c r="AT38" s="1292"/>
      <c r="AU38" s="1292"/>
      <c r="AV38" s="1292"/>
      <c r="AW38" s="1292"/>
      <c r="AX38" s="1292"/>
      <c r="AY38" s="1292"/>
      <c r="AZ38" s="1292"/>
      <c r="BA38" s="1292"/>
      <c r="BB38" s="1292"/>
      <c r="BC38" s="1292"/>
      <c r="BD38" s="1292"/>
      <c r="BE38" s="1292"/>
      <c r="BF38" s="1292"/>
      <c r="BG38" s="1292"/>
      <c r="BH38" s="1292"/>
      <c r="BI38" s="1292"/>
      <c r="BJ38" s="1292"/>
      <c r="BK38" s="1292"/>
      <c r="BL38" s="1292"/>
      <c r="BM38" s="1292"/>
      <c r="BN38" s="1292"/>
      <c r="BO38" s="1292"/>
      <c r="BP38" s="1292"/>
      <c r="BQ38" s="1292"/>
      <c r="BR38" s="1292"/>
      <c r="BS38" s="1292"/>
      <c r="BT38" s="1292"/>
      <c r="BU38" s="1292"/>
      <c r="BV38" s="1292"/>
      <c r="BW38" s="1292"/>
      <c r="BX38" s="1292"/>
      <c r="BY38" s="1292"/>
      <c r="BZ38" s="1292"/>
      <c r="CA38" s="1292"/>
      <c r="CB38" s="1292"/>
      <c r="CC38" s="1292"/>
      <c r="CD38" s="1292"/>
      <c r="CE38" s="1292"/>
      <c r="CF38" s="1292"/>
      <c r="CG38" s="1292"/>
      <c r="CH38" s="1292"/>
      <c r="CI38" s="1292"/>
      <c r="CJ38" s="1292"/>
      <c r="CK38" s="1292"/>
      <c r="CL38" s="1292"/>
      <c r="CM38" s="1292"/>
      <c r="CN38" s="1292"/>
      <c r="CO38" s="1292"/>
      <c r="CP38" s="1292"/>
      <c r="CQ38" s="1292"/>
      <c r="CR38" s="1292"/>
      <c r="CS38" s="1292"/>
      <c r="CT38" s="1292"/>
      <c r="CU38" s="1292"/>
      <c r="CV38" s="1292"/>
      <c r="CW38" s="1292"/>
      <c r="CX38" s="1292"/>
      <c r="CY38" s="1292"/>
      <c r="CZ38" s="1292"/>
      <c r="DA38" s="1292"/>
      <c r="DB38" s="1292"/>
      <c r="DC38" s="1292"/>
      <c r="DD38" s="1292"/>
      <c r="DE38" s="1292"/>
      <c r="DF38" s="1292"/>
      <c r="DG38" s="1292"/>
      <c r="DH38" s="1292"/>
      <c r="DI38" s="1292"/>
      <c r="DJ38" s="1292"/>
      <c r="DK38" s="1292"/>
      <c r="DL38" s="1292"/>
      <c r="DM38" s="1292"/>
      <c r="DN38" s="1292"/>
      <c r="DO38" s="1292"/>
      <c r="DP38" s="1292"/>
      <c r="DQ38" s="1292"/>
      <c r="DR38" s="1292"/>
      <c r="DS38" s="1292"/>
      <c r="DT38" s="1292"/>
      <c r="DU38" s="1292"/>
      <c r="DV38" s="1292"/>
      <c r="DW38" s="1292"/>
      <c r="DX38" s="1292"/>
      <c r="DY38" s="1292"/>
      <c r="DZ38" s="1292"/>
      <c r="EA38" s="1292"/>
      <c r="EB38" s="1292"/>
      <c r="EC38" s="1292"/>
      <c r="ED38" s="1292"/>
      <c r="EE38" s="1292"/>
      <c r="EF38" s="1292"/>
      <c r="EG38" s="1292"/>
      <c r="EH38" s="1292"/>
      <c r="EI38" s="1292"/>
      <c r="EJ38" s="1292"/>
      <c r="EK38" s="1292"/>
      <c r="EL38" s="1292"/>
      <c r="EM38" s="1292"/>
      <c r="EN38" s="1292"/>
      <c r="EO38" s="1292"/>
      <c r="EP38" s="1292"/>
      <c r="EQ38" s="1292"/>
      <c r="ER38" s="1292"/>
      <c r="ES38" s="1292"/>
      <c r="ET38" s="1292"/>
      <c r="EU38" s="1292"/>
      <c r="EV38" s="1292"/>
      <c r="EW38" s="1292"/>
      <c r="EX38" s="1292"/>
      <c r="EY38" s="1292"/>
      <c r="EZ38" s="1292"/>
      <c r="FA38" s="1292"/>
      <c r="FB38" s="1292"/>
      <c r="FC38" s="1292"/>
      <c r="FD38" s="1292"/>
      <c r="FE38" s="1292"/>
      <c r="FF38" s="1292"/>
      <c r="FG38" s="1292"/>
      <c r="FH38" s="1292"/>
      <c r="FI38" s="1292"/>
      <c r="FJ38" s="1292"/>
      <c r="FK38" s="1292"/>
      <c r="FL38" s="1292"/>
      <c r="FM38" s="1292"/>
      <c r="FN38" s="1292"/>
      <c r="FO38" s="1292"/>
      <c r="FP38" s="1292"/>
      <c r="FQ38" s="1292"/>
      <c r="FR38" s="1292"/>
      <c r="FS38" s="1292"/>
      <c r="FT38" s="1292"/>
      <c r="FU38" s="1292"/>
      <c r="FV38" s="1292"/>
      <c r="FW38" s="1292"/>
      <c r="FX38" s="1292"/>
      <c r="FY38" s="1292"/>
      <c r="FZ38" s="1292"/>
      <c r="GA38" s="1292"/>
      <c r="GB38" s="1292"/>
      <c r="GC38" s="1292"/>
      <c r="GD38" s="1292"/>
      <c r="GE38" s="1292"/>
      <c r="GF38" s="1292"/>
      <c r="GG38" s="1292"/>
      <c r="GH38" s="1292"/>
      <c r="GI38" s="1292"/>
      <c r="GJ38" s="1292"/>
      <c r="GK38" s="1292"/>
      <c r="GL38" s="1292"/>
      <c r="GM38" s="1292"/>
      <c r="GN38" s="1292"/>
      <c r="GO38" s="1292"/>
      <c r="GP38" s="1292"/>
      <c r="GQ38" s="1292"/>
      <c r="GR38" s="1292"/>
      <c r="GS38" s="1292"/>
      <c r="GT38" s="1292"/>
      <c r="GU38" s="1292"/>
      <c r="GV38" s="1292"/>
      <c r="GW38" s="1292"/>
      <c r="GX38" s="1292"/>
      <c r="GY38" s="1292"/>
      <c r="GZ38" s="1292"/>
      <c r="HA38" s="1292"/>
      <c r="HB38" s="1292"/>
      <c r="HC38" s="1292"/>
      <c r="HD38" s="1292"/>
      <c r="HE38" s="1292"/>
      <c r="HF38" s="1292"/>
      <c r="HG38" s="1292"/>
      <c r="HH38" s="1292"/>
      <c r="HI38" s="1292"/>
      <c r="HJ38" s="1292"/>
      <c r="HK38" s="1292"/>
      <c r="HL38" s="1292"/>
      <c r="HM38" s="1292"/>
      <c r="HN38" s="1292"/>
      <c r="HO38" s="1292"/>
      <c r="HP38" s="1292"/>
      <c r="HQ38" s="1292"/>
      <c r="HR38" s="1292"/>
      <c r="HS38" s="1292"/>
      <c r="HT38" s="1292"/>
      <c r="HU38" s="1292"/>
      <c r="HV38" s="1292"/>
      <c r="HW38" s="1292"/>
      <c r="HX38" s="1292"/>
      <c r="HY38" s="1292"/>
      <c r="HZ38" s="1292"/>
      <c r="IA38" s="1292"/>
      <c r="IB38" s="1292"/>
      <c r="IC38" s="1292"/>
      <c r="ID38" s="1292"/>
      <c r="IE38" s="1292"/>
      <c r="IF38" s="1292"/>
      <c r="IG38" s="1292"/>
      <c r="IH38" s="1292"/>
      <c r="II38" s="1292"/>
      <c r="IJ38" s="1292"/>
      <c r="IK38" s="1292"/>
      <c r="IL38" s="1292"/>
      <c r="IM38" s="1292"/>
      <c r="IN38" s="1292"/>
      <c r="IO38" s="1292"/>
      <c r="IP38" s="1292"/>
      <c r="IQ38" s="1292"/>
      <c r="IR38" s="1292"/>
      <c r="IS38" s="1292"/>
      <c r="IT38" s="1292"/>
      <c r="IU38" s="1292"/>
      <c r="IV38" s="1292"/>
    </row>
    <row r="39" spans="1:256" ht="2.1" customHeight="1">
      <c r="A39" s="3983"/>
      <c r="B39" s="3984"/>
      <c r="C39" s="3984"/>
      <c r="D39" s="3984"/>
      <c r="E39" s="3984"/>
      <c r="F39" s="3984"/>
      <c r="G39" s="3984"/>
      <c r="H39" s="3984"/>
      <c r="I39" s="3984"/>
      <c r="J39" s="3984"/>
      <c r="K39" s="3984"/>
      <c r="L39" s="3984"/>
      <c r="M39" s="3984"/>
      <c r="N39" s="3984"/>
      <c r="O39" s="1309"/>
      <c r="P39" s="1292"/>
      <c r="Q39" s="1292"/>
      <c r="R39" s="1292"/>
      <c r="S39" s="1292"/>
      <c r="T39" s="1292"/>
      <c r="U39" s="1292"/>
      <c r="V39" s="1292"/>
      <c r="W39" s="1292"/>
      <c r="X39" s="1292"/>
      <c r="Y39" s="1292"/>
      <c r="Z39" s="1292"/>
      <c r="AA39" s="1292"/>
      <c r="AB39" s="1292"/>
      <c r="AC39" s="1292"/>
      <c r="AD39" s="1292"/>
      <c r="AE39" s="1292"/>
      <c r="AF39" s="1292"/>
      <c r="AG39" s="1292"/>
      <c r="AH39" s="1292"/>
      <c r="AI39" s="1292"/>
      <c r="AJ39" s="1292"/>
      <c r="AK39" s="1292"/>
      <c r="AL39" s="1292"/>
      <c r="AM39" s="1292"/>
      <c r="AN39" s="1292"/>
      <c r="AO39" s="1292"/>
      <c r="AP39" s="1292"/>
      <c r="AQ39" s="1292"/>
      <c r="AR39" s="1292"/>
      <c r="AS39" s="1292"/>
      <c r="AT39" s="1292"/>
      <c r="AU39" s="1292"/>
      <c r="AV39" s="1292"/>
      <c r="AW39" s="1292"/>
      <c r="AX39" s="1292"/>
      <c r="AY39" s="1292"/>
      <c r="AZ39" s="1292"/>
      <c r="BA39" s="1292"/>
      <c r="BB39" s="1292"/>
      <c r="BC39" s="1292"/>
      <c r="BD39" s="1292"/>
      <c r="BE39" s="1292"/>
      <c r="BF39" s="1292"/>
      <c r="BG39" s="1292"/>
      <c r="BH39" s="1292"/>
      <c r="BI39" s="1292"/>
      <c r="BJ39" s="1292"/>
      <c r="BK39" s="1292"/>
      <c r="BL39" s="1292"/>
      <c r="BM39" s="1292"/>
      <c r="BN39" s="1292"/>
      <c r="BO39" s="1292"/>
      <c r="BP39" s="1292"/>
      <c r="BQ39" s="1292"/>
      <c r="BR39" s="1292"/>
      <c r="BS39" s="1292"/>
      <c r="BT39" s="1292"/>
      <c r="BU39" s="1292"/>
      <c r="BV39" s="1292"/>
      <c r="BW39" s="1292"/>
      <c r="BX39" s="1292"/>
      <c r="BY39" s="1292"/>
      <c r="BZ39" s="1292"/>
      <c r="CA39" s="1292"/>
      <c r="CB39" s="1292"/>
      <c r="CC39" s="1292"/>
      <c r="CD39" s="1292"/>
      <c r="CE39" s="1292"/>
      <c r="CF39" s="1292"/>
      <c r="CG39" s="1292"/>
      <c r="CH39" s="1292"/>
      <c r="CI39" s="1292"/>
      <c r="CJ39" s="1292"/>
      <c r="CK39" s="1292"/>
      <c r="CL39" s="1292"/>
      <c r="CM39" s="1292"/>
      <c r="CN39" s="1292"/>
      <c r="CO39" s="1292"/>
      <c r="CP39" s="1292"/>
      <c r="CQ39" s="1292"/>
      <c r="CR39" s="1292"/>
      <c r="CS39" s="1292"/>
      <c r="CT39" s="1292"/>
      <c r="CU39" s="1292"/>
      <c r="CV39" s="1292"/>
      <c r="CW39" s="1292"/>
      <c r="CX39" s="1292"/>
      <c r="CY39" s="1292"/>
      <c r="CZ39" s="1292"/>
      <c r="DA39" s="1292"/>
      <c r="DB39" s="1292"/>
      <c r="DC39" s="1292"/>
      <c r="DD39" s="1292"/>
      <c r="DE39" s="1292"/>
      <c r="DF39" s="1292"/>
      <c r="DG39" s="1292"/>
      <c r="DH39" s="1292"/>
      <c r="DI39" s="1292"/>
      <c r="DJ39" s="1292"/>
      <c r="DK39" s="1292"/>
      <c r="DL39" s="1292"/>
      <c r="DM39" s="1292"/>
      <c r="DN39" s="1292"/>
      <c r="DO39" s="1292"/>
      <c r="DP39" s="1292"/>
      <c r="DQ39" s="1292"/>
      <c r="DR39" s="1292"/>
      <c r="DS39" s="1292"/>
      <c r="DT39" s="1292"/>
      <c r="DU39" s="1292"/>
      <c r="DV39" s="1292"/>
      <c r="DW39" s="1292"/>
      <c r="DX39" s="1292"/>
      <c r="DY39" s="1292"/>
      <c r="DZ39" s="1292"/>
      <c r="EA39" s="1292"/>
      <c r="EB39" s="1292"/>
      <c r="EC39" s="1292"/>
      <c r="ED39" s="1292"/>
      <c r="EE39" s="1292"/>
      <c r="EF39" s="1292"/>
      <c r="EG39" s="1292"/>
      <c r="EH39" s="1292"/>
      <c r="EI39" s="1292"/>
      <c r="EJ39" s="1292"/>
      <c r="EK39" s="1292"/>
      <c r="EL39" s="1292"/>
      <c r="EM39" s="1292"/>
      <c r="EN39" s="1292"/>
      <c r="EO39" s="1292"/>
      <c r="EP39" s="1292"/>
      <c r="EQ39" s="1292"/>
      <c r="ER39" s="1292"/>
      <c r="ES39" s="1292"/>
      <c r="ET39" s="1292"/>
      <c r="EU39" s="1292"/>
      <c r="EV39" s="1292"/>
      <c r="EW39" s="1292"/>
      <c r="EX39" s="1292"/>
      <c r="EY39" s="1292"/>
      <c r="EZ39" s="1292"/>
      <c r="FA39" s="1292"/>
      <c r="FB39" s="1292"/>
      <c r="FC39" s="1292"/>
      <c r="FD39" s="1292"/>
      <c r="FE39" s="1292"/>
      <c r="FF39" s="1292"/>
      <c r="FG39" s="1292"/>
      <c r="FH39" s="1292"/>
      <c r="FI39" s="1292"/>
      <c r="FJ39" s="1292"/>
      <c r="FK39" s="1292"/>
      <c r="FL39" s="1292"/>
      <c r="FM39" s="1292"/>
      <c r="FN39" s="1292"/>
      <c r="FO39" s="1292"/>
      <c r="FP39" s="1292"/>
      <c r="FQ39" s="1292"/>
      <c r="FR39" s="1292"/>
      <c r="FS39" s="1292"/>
      <c r="FT39" s="1292"/>
      <c r="FU39" s="1292"/>
      <c r="FV39" s="1292"/>
      <c r="FW39" s="1292"/>
      <c r="FX39" s="1292"/>
      <c r="FY39" s="1292"/>
      <c r="FZ39" s="1292"/>
      <c r="GA39" s="1292"/>
      <c r="GB39" s="1292"/>
      <c r="GC39" s="1292"/>
      <c r="GD39" s="1292"/>
      <c r="GE39" s="1292"/>
      <c r="GF39" s="1292"/>
      <c r="GG39" s="1292"/>
      <c r="GH39" s="1292"/>
      <c r="GI39" s="1292"/>
      <c r="GJ39" s="1292"/>
      <c r="GK39" s="1292"/>
      <c r="GL39" s="1292"/>
      <c r="GM39" s="1292"/>
      <c r="GN39" s="1292"/>
      <c r="GO39" s="1292"/>
      <c r="GP39" s="1292"/>
      <c r="GQ39" s="1292"/>
      <c r="GR39" s="1292"/>
      <c r="GS39" s="1292"/>
      <c r="GT39" s="1292"/>
      <c r="GU39" s="1292"/>
      <c r="GV39" s="1292"/>
      <c r="GW39" s="1292"/>
      <c r="GX39" s="1292"/>
      <c r="GY39" s="1292"/>
      <c r="GZ39" s="1292"/>
      <c r="HA39" s="1292"/>
      <c r="HB39" s="1292"/>
      <c r="HC39" s="1292"/>
      <c r="HD39" s="1292"/>
      <c r="HE39" s="1292"/>
      <c r="HF39" s="1292"/>
      <c r="HG39" s="1292"/>
      <c r="HH39" s="1292"/>
      <c r="HI39" s="1292"/>
      <c r="HJ39" s="1292"/>
      <c r="HK39" s="1292"/>
      <c r="HL39" s="1292"/>
      <c r="HM39" s="1292"/>
      <c r="HN39" s="1292"/>
      <c r="HO39" s="1292"/>
      <c r="HP39" s="1292"/>
      <c r="HQ39" s="1292"/>
      <c r="HR39" s="1292"/>
      <c r="HS39" s="1292"/>
      <c r="HT39" s="1292"/>
      <c r="HU39" s="1292"/>
      <c r="HV39" s="1292"/>
      <c r="HW39" s="1292"/>
      <c r="HX39" s="1292"/>
      <c r="HY39" s="1292"/>
      <c r="HZ39" s="1292"/>
      <c r="IA39" s="1292"/>
      <c r="IB39" s="1292"/>
      <c r="IC39" s="1292"/>
      <c r="ID39" s="1292"/>
      <c r="IE39" s="1292"/>
      <c r="IF39" s="1292"/>
      <c r="IG39" s="1292"/>
      <c r="IH39" s="1292"/>
      <c r="II39" s="1292"/>
      <c r="IJ39" s="1292"/>
      <c r="IK39" s="1292"/>
      <c r="IL39" s="1292"/>
      <c r="IM39" s="1292"/>
      <c r="IN39" s="1292"/>
      <c r="IO39" s="1292"/>
      <c r="IP39" s="1292"/>
      <c r="IQ39" s="1292"/>
      <c r="IR39" s="1292"/>
      <c r="IS39" s="1292"/>
      <c r="IT39" s="1292"/>
      <c r="IU39" s="1292"/>
      <c r="IV39" s="1292"/>
    </row>
    <row r="40" spans="1:256">
      <c r="A40" s="1310" t="s">
        <v>2356</v>
      </c>
      <c r="B40" s="1292"/>
      <c r="C40" s="1292"/>
      <c r="D40" s="1292"/>
      <c r="E40" s="1292"/>
      <c r="F40" s="1292"/>
      <c r="G40" s="1292"/>
      <c r="H40" s="1292"/>
      <c r="I40" s="1292"/>
      <c r="J40" s="1292"/>
      <c r="K40" s="1292"/>
      <c r="L40" s="2068" t="str">
        <f>IF(ISBLANK(B5)," ",MAX(D5:D33,I4:I33,N4:N33))</f>
        <v xml:space="preserve"> </v>
      </c>
      <c r="M40" s="2071" t="s">
        <v>2319</v>
      </c>
      <c r="N40" s="1292"/>
      <c r="O40" s="1309"/>
      <c r="P40" s="1292"/>
      <c r="Q40" s="1292"/>
      <c r="R40" s="1292"/>
      <c r="S40" s="1292"/>
      <c r="T40" s="1292"/>
      <c r="U40" s="1292"/>
      <c r="V40" s="1292"/>
      <c r="W40" s="1292"/>
      <c r="X40" s="1292"/>
      <c r="Y40" s="1292"/>
      <c r="Z40" s="1292"/>
      <c r="AA40" s="1292"/>
      <c r="AB40" s="1292"/>
      <c r="AC40" s="1292"/>
      <c r="AD40" s="1292"/>
      <c r="AE40" s="1292"/>
      <c r="AF40" s="1292"/>
      <c r="AG40" s="1292"/>
      <c r="AH40" s="1292"/>
      <c r="AI40" s="1292"/>
      <c r="AJ40" s="1292"/>
      <c r="AK40" s="1292"/>
      <c r="AL40" s="1292"/>
      <c r="AM40" s="1292"/>
      <c r="AN40" s="1292"/>
      <c r="AO40" s="1292"/>
      <c r="AP40" s="1292"/>
      <c r="AQ40" s="1292"/>
      <c r="AR40" s="1292"/>
      <c r="AS40" s="1292"/>
      <c r="AT40" s="1292"/>
      <c r="AU40" s="1292"/>
      <c r="AV40" s="1292"/>
      <c r="AW40" s="1292"/>
      <c r="AX40" s="1292"/>
      <c r="AY40" s="1292"/>
      <c r="AZ40" s="1292"/>
      <c r="BA40" s="1292"/>
      <c r="BB40" s="1292"/>
      <c r="BC40" s="1292"/>
      <c r="BD40" s="1292"/>
      <c r="BE40" s="1292"/>
      <c r="BF40" s="1292"/>
      <c r="BG40" s="1292"/>
      <c r="BH40" s="1292"/>
      <c r="BI40" s="1292"/>
      <c r="BJ40" s="1292"/>
      <c r="BK40" s="1292"/>
      <c r="BL40" s="1292"/>
      <c r="BM40" s="1292"/>
      <c r="BN40" s="1292"/>
      <c r="BO40" s="1292"/>
      <c r="BP40" s="1292"/>
      <c r="BQ40" s="1292"/>
      <c r="BR40" s="1292"/>
      <c r="BS40" s="1292"/>
      <c r="BT40" s="1292"/>
      <c r="BU40" s="1292"/>
      <c r="BV40" s="1292"/>
      <c r="BW40" s="1292"/>
      <c r="BX40" s="1292"/>
      <c r="BY40" s="1292"/>
      <c r="BZ40" s="1292"/>
      <c r="CA40" s="1292"/>
      <c r="CB40" s="1292"/>
      <c r="CC40" s="1292"/>
      <c r="CD40" s="1292"/>
      <c r="CE40" s="1292"/>
      <c r="CF40" s="1292"/>
      <c r="CG40" s="1292"/>
      <c r="CH40" s="1292"/>
      <c r="CI40" s="1292"/>
      <c r="CJ40" s="1292"/>
      <c r="CK40" s="1292"/>
      <c r="CL40" s="1292"/>
      <c r="CM40" s="1292"/>
      <c r="CN40" s="1292"/>
      <c r="CO40" s="1292"/>
      <c r="CP40" s="1292"/>
      <c r="CQ40" s="1292"/>
      <c r="CR40" s="1292"/>
      <c r="CS40" s="1292"/>
      <c r="CT40" s="1292"/>
      <c r="CU40" s="1292"/>
      <c r="CV40" s="1292"/>
      <c r="CW40" s="1292"/>
      <c r="CX40" s="1292"/>
      <c r="CY40" s="1292"/>
      <c r="CZ40" s="1292"/>
      <c r="DA40" s="1292"/>
      <c r="DB40" s="1292"/>
      <c r="DC40" s="1292"/>
      <c r="DD40" s="1292"/>
      <c r="DE40" s="1292"/>
      <c r="DF40" s="1292"/>
      <c r="DG40" s="1292"/>
      <c r="DH40" s="1292"/>
      <c r="DI40" s="1292"/>
      <c r="DJ40" s="1292"/>
      <c r="DK40" s="1292"/>
      <c r="DL40" s="1292"/>
      <c r="DM40" s="1292"/>
      <c r="DN40" s="1292"/>
      <c r="DO40" s="1292"/>
      <c r="DP40" s="1292"/>
      <c r="DQ40" s="1292"/>
      <c r="DR40" s="1292"/>
      <c r="DS40" s="1292"/>
      <c r="DT40" s="1292"/>
      <c r="DU40" s="1292"/>
      <c r="DV40" s="1292"/>
      <c r="DW40" s="1292"/>
      <c r="DX40" s="1292"/>
      <c r="DY40" s="1292"/>
      <c r="DZ40" s="1292"/>
      <c r="EA40" s="1292"/>
      <c r="EB40" s="1292"/>
      <c r="EC40" s="1292"/>
      <c r="ED40" s="1292"/>
      <c r="EE40" s="1292"/>
      <c r="EF40" s="1292"/>
      <c r="EG40" s="1292"/>
      <c r="EH40" s="1292"/>
      <c r="EI40" s="1292"/>
      <c r="EJ40" s="1292"/>
      <c r="EK40" s="1292"/>
      <c r="EL40" s="1292"/>
      <c r="EM40" s="1292"/>
      <c r="EN40" s="1292"/>
      <c r="EO40" s="1292"/>
      <c r="EP40" s="1292"/>
      <c r="EQ40" s="1292"/>
      <c r="ER40" s="1292"/>
      <c r="ES40" s="1292"/>
      <c r="ET40" s="1292"/>
      <c r="EU40" s="1292"/>
      <c r="EV40" s="1292"/>
      <c r="EW40" s="1292"/>
      <c r="EX40" s="1292"/>
      <c r="EY40" s="1292"/>
      <c r="EZ40" s="1292"/>
      <c r="FA40" s="1292"/>
      <c r="FB40" s="1292"/>
      <c r="FC40" s="1292"/>
      <c r="FD40" s="1292"/>
      <c r="FE40" s="1292"/>
      <c r="FF40" s="1292"/>
      <c r="FG40" s="1292"/>
      <c r="FH40" s="1292"/>
      <c r="FI40" s="1292"/>
      <c r="FJ40" s="1292"/>
      <c r="FK40" s="1292"/>
      <c r="FL40" s="1292"/>
      <c r="FM40" s="1292"/>
      <c r="FN40" s="1292"/>
      <c r="FO40" s="1292"/>
      <c r="FP40" s="1292"/>
      <c r="FQ40" s="1292"/>
      <c r="FR40" s="1292"/>
      <c r="FS40" s="1292"/>
      <c r="FT40" s="1292"/>
      <c r="FU40" s="1292"/>
      <c r="FV40" s="1292"/>
      <c r="FW40" s="1292"/>
      <c r="FX40" s="1292"/>
      <c r="FY40" s="1292"/>
      <c r="FZ40" s="1292"/>
      <c r="GA40" s="1292"/>
      <c r="GB40" s="1292"/>
      <c r="GC40" s="1292"/>
      <c r="GD40" s="1292"/>
      <c r="GE40" s="1292"/>
      <c r="GF40" s="1292"/>
      <c r="GG40" s="1292"/>
      <c r="GH40" s="1292"/>
      <c r="GI40" s="1292"/>
      <c r="GJ40" s="1292"/>
      <c r="GK40" s="1292"/>
      <c r="GL40" s="1292"/>
      <c r="GM40" s="1292"/>
      <c r="GN40" s="1292"/>
      <c r="GO40" s="1292"/>
      <c r="GP40" s="1292"/>
      <c r="GQ40" s="1292"/>
      <c r="GR40" s="1292"/>
      <c r="GS40" s="1292"/>
      <c r="GT40" s="1292"/>
      <c r="GU40" s="1292"/>
      <c r="GV40" s="1292"/>
      <c r="GW40" s="1292"/>
      <c r="GX40" s="1292"/>
      <c r="GY40" s="1292"/>
      <c r="GZ40" s="1292"/>
      <c r="HA40" s="1292"/>
      <c r="HB40" s="1292"/>
      <c r="HC40" s="1292"/>
      <c r="HD40" s="1292"/>
      <c r="HE40" s="1292"/>
      <c r="HF40" s="1292"/>
      <c r="HG40" s="1292"/>
      <c r="HH40" s="1292"/>
      <c r="HI40" s="1292"/>
      <c r="HJ40" s="1292"/>
      <c r="HK40" s="1292"/>
      <c r="HL40" s="1292"/>
      <c r="HM40" s="1292"/>
      <c r="HN40" s="1292"/>
      <c r="HO40" s="1292"/>
      <c r="HP40" s="1292"/>
      <c r="HQ40" s="1292"/>
      <c r="HR40" s="1292"/>
      <c r="HS40" s="1292"/>
      <c r="HT40" s="1292"/>
      <c r="HU40" s="1292"/>
      <c r="HV40" s="1292"/>
      <c r="HW40" s="1292"/>
      <c r="HX40" s="1292"/>
      <c r="HY40" s="1292"/>
      <c r="HZ40" s="1292"/>
      <c r="IA40" s="1292"/>
      <c r="IB40" s="1292"/>
      <c r="IC40" s="1292"/>
      <c r="ID40" s="1292"/>
      <c r="IE40" s="1292"/>
      <c r="IF40" s="1292"/>
      <c r="IG40" s="1292"/>
      <c r="IH40" s="1292"/>
      <c r="II40" s="1292"/>
      <c r="IJ40" s="1292"/>
      <c r="IK40" s="1292"/>
      <c r="IL40" s="1292"/>
      <c r="IM40" s="1292"/>
      <c r="IN40" s="1292"/>
      <c r="IO40" s="1292"/>
      <c r="IP40" s="1292"/>
      <c r="IQ40" s="1292"/>
      <c r="IR40" s="1292"/>
      <c r="IS40" s="1292"/>
      <c r="IT40" s="1292"/>
      <c r="IU40" s="1292"/>
      <c r="IV40" s="1292"/>
    </row>
    <row r="41" spans="1:256" ht="2.1" customHeight="1">
      <c r="A41" s="3983"/>
      <c r="B41" s="3984"/>
      <c r="C41" s="3984"/>
      <c r="D41" s="3984"/>
      <c r="E41" s="3984"/>
      <c r="F41" s="3984"/>
      <c r="G41" s="3984"/>
      <c r="H41" s="3984"/>
      <c r="I41" s="3984"/>
      <c r="J41" s="3984"/>
      <c r="K41" s="3984"/>
      <c r="L41" s="3984"/>
      <c r="M41" s="3984"/>
      <c r="N41" s="3984"/>
      <c r="O41" s="1309"/>
      <c r="P41" s="1292"/>
      <c r="Q41" s="1292"/>
      <c r="R41" s="1292"/>
      <c r="S41" s="1292"/>
      <c r="T41" s="1292"/>
      <c r="U41" s="1292"/>
      <c r="V41" s="1292"/>
      <c r="W41" s="1292"/>
      <c r="X41" s="1292"/>
      <c r="Y41" s="1292"/>
      <c r="Z41" s="1292"/>
      <c r="AA41" s="1292"/>
      <c r="AB41" s="1292"/>
      <c r="AC41" s="1292"/>
      <c r="AD41" s="1292"/>
      <c r="AE41" s="1292"/>
      <c r="AF41" s="1292"/>
      <c r="AG41" s="1292"/>
      <c r="AH41" s="1292"/>
      <c r="AI41" s="1292"/>
      <c r="AJ41" s="1292"/>
      <c r="AK41" s="1292"/>
      <c r="AL41" s="1292"/>
      <c r="AM41" s="1292"/>
      <c r="AN41" s="1292"/>
      <c r="AO41" s="1292"/>
      <c r="AP41" s="1292"/>
      <c r="AQ41" s="1292"/>
      <c r="AR41" s="1292"/>
      <c r="AS41" s="1292"/>
      <c r="AT41" s="1292"/>
      <c r="AU41" s="1292"/>
      <c r="AV41" s="1292"/>
      <c r="AW41" s="1292"/>
      <c r="AX41" s="1292"/>
      <c r="AY41" s="1292"/>
      <c r="AZ41" s="1292"/>
      <c r="BA41" s="1292"/>
      <c r="BB41" s="1292"/>
      <c r="BC41" s="1292"/>
      <c r="BD41" s="1292"/>
      <c r="BE41" s="1292"/>
      <c r="BF41" s="1292"/>
      <c r="BG41" s="1292"/>
      <c r="BH41" s="1292"/>
      <c r="BI41" s="1292"/>
      <c r="BJ41" s="1292"/>
      <c r="BK41" s="1292"/>
      <c r="BL41" s="1292"/>
      <c r="BM41" s="1292"/>
      <c r="BN41" s="1292"/>
      <c r="BO41" s="1292"/>
      <c r="BP41" s="1292"/>
      <c r="BQ41" s="1292"/>
      <c r="BR41" s="1292"/>
      <c r="BS41" s="1292"/>
      <c r="BT41" s="1292"/>
      <c r="BU41" s="1292"/>
      <c r="BV41" s="1292"/>
      <c r="BW41" s="1292"/>
      <c r="BX41" s="1292"/>
      <c r="BY41" s="1292"/>
      <c r="BZ41" s="1292"/>
      <c r="CA41" s="1292"/>
      <c r="CB41" s="1292"/>
      <c r="CC41" s="1292"/>
      <c r="CD41" s="1292"/>
      <c r="CE41" s="1292"/>
      <c r="CF41" s="1292"/>
      <c r="CG41" s="1292"/>
      <c r="CH41" s="1292"/>
      <c r="CI41" s="1292"/>
      <c r="CJ41" s="1292"/>
      <c r="CK41" s="1292"/>
      <c r="CL41" s="1292"/>
      <c r="CM41" s="1292"/>
      <c r="CN41" s="1292"/>
      <c r="CO41" s="1292"/>
      <c r="CP41" s="1292"/>
      <c r="CQ41" s="1292"/>
      <c r="CR41" s="1292"/>
      <c r="CS41" s="1292"/>
      <c r="CT41" s="1292"/>
      <c r="CU41" s="1292"/>
      <c r="CV41" s="1292"/>
      <c r="CW41" s="1292"/>
      <c r="CX41" s="1292"/>
      <c r="CY41" s="1292"/>
      <c r="CZ41" s="1292"/>
      <c r="DA41" s="1292"/>
      <c r="DB41" s="1292"/>
      <c r="DC41" s="1292"/>
      <c r="DD41" s="1292"/>
      <c r="DE41" s="1292"/>
      <c r="DF41" s="1292"/>
      <c r="DG41" s="1292"/>
      <c r="DH41" s="1292"/>
      <c r="DI41" s="1292"/>
      <c r="DJ41" s="1292"/>
      <c r="DK41" s="1292"/>
      <c r="DL41" s="1292"/>
      <c r="DM41" s="1292"/>
      <c r="DN41" s="1292"/>
      <c r="DO41" s="1292"/>
      <c r="DP41" s="1292"/>
      <c r="DQ41" s="1292"/>
      <c r="DR41" s="1292"/>
      <c r="DS41" s="1292"/>
      <c r="DT41" s="1292"/>
      <c r="DU41" s="1292"/>
      <c r="DV41" s="1292"/>
      <c r="DW41" s="1292"/>
      <c r="DX41" s="1292"/>
      <c r="DY41" s="1292"/>
      <c r="DZ41" s="1292"/>
      <c r="EA41" s="1292"/>
      <c r="EB41" s="1292"/>
      <c r="EC41" s="1292"/>
      <c r="ED41" s="1292"/>
      <c r="EE41" s="1292"/>
      <c r="EF41" s="1292"/>
      <c r="EG41" s="1292"/>
      <c r="EH41" s="1292"/>
      <c r="EI41" s="1292"/>
      <c r="EJ41" s="1292"/>
      <c r="EK41" s="1292"/>
      <c r="EL41" s="1292"/>
      <c r="EM41" s="1292"/>
      <c r="EN41" s="1292"/>
      <c r="EO41" s="1292"/>
      <c r="EP41" s="1292"/>
      <c r="EQ41" s="1292"/>
      <c r="ER41" s="1292"/>
      <c r="ES41" s="1292"/>
      <c r="ET41" s="1292"/>
      <c r="EU41" s="1292"/>
      <c r="EV41" s="1292"/>
      <c r="EW41" s="1292"/>
      <c r="EX41" s="1292"/>
      <c r="EY41" s="1292"/>
      <c r="EZ41" s="1292"/>
      <c r="FA41" s="1292"/>
      <c r="FB41" s="1292"/>
      <c r="FC41" s="1292"/>
      <c r="FD41" s="1292"/>
      <c r="FE41" s="1292"/>
      <c r="FF41" s="1292"/>
      <c r="FG41" s="1292"/>
      <c r="FH41" s="1292"/>
      <c r="FI41" s="1292"/>
      <c r="FJ41" s="1292"/>
      <c r="FK41" s="1292"/>
      <c r="FL41" s="1292"/>
      <c r="FM41" s="1292"/>
      <c r="FN41" s="1292"/>
      <c r="FO41" s="1292"/>
      <c r="FP41" s="1292"/>
      <c r="FQ41" s="1292"/>
      <c r="FR41" s="1292"/>
      <c r="FS41" s="1292"/>
      <c r="FT41" s="1292"/>
      <c r="FU41" s="1292"/>
      <c r="FV41" s="1292"/>
      <c r="FW41" s="1292"/>
      <c r="FX41" s="1292"/>
      <c r="FY41" s="1292"/>
      <c r="FZ41" s="1292"/>
      <c r="GA41" s="1292"/>
      <c r="GB41" s="1292"/>
      <c r="GC41" s="1292"/>
      <c r="GD41" s="1292"/>
      <c r="GE41" s="1292"/>
      <c r="GF41" s="1292"/>
      <c r="GG41" s="1292"/>
      <c r="GH41" s="1292"/>
      <c r="GI41" s="1292"/>
      <c r="GJ41" s="1292"/>
      <c r="GK41" s="1292"/>
      <c r="GL41" s="1292"/>
      <c r="GM41" s="1292"/>
      <c r="GN41" s="1292"/>
      <c r="GO41" s="1292"/>
      <c r="GP41" s="1292"/>
      <c r="GQ41" s="1292"/>
      <c r="GR41" s="1292"/>
      <c r="GS41" s="1292"/>
      <c r="GT41" s="1292"/>
      <c r="GU41" s="1292"/>
      <c r="GV41" s="1292"/>
      <c r="GW41" s="1292"/>
      <c r="GX41" s="1292"/>
      <c r="GY41" s="1292"/>
      <c r="GZ41" s="1292"/>
      <c r="HA41" s="1292"/>
      <c r="HB41" s="1292"/>
      <c r="HC41" s="1292"/>
      <c r="HD41" s="1292"/>
      <c r="HE41" s="1292"/>
      <c r="HF41" s="1292"/>
      <c r="HG41" s="1292"/>
      <c r="HH41" s="1292"/>
      <c r="HI41" s="1292"/>
      <c r="HJ41" s="1292"/>
      <c r="HK41" s="1292"/>
      <c r="HL41" s="1292"/>
      <c r="HM41" s="1292"/>
      <c r="HN41" s="1292"/>
      <c r="HO41" s="1292"/>
      <c r="HP41" s="1292"/>
      <c r="HQ41" s="1292"/>
      <c r="HR41" s="1292"/>
      <c r="HS41" s="1292"/>
      <c r="HT41" s="1292"/>
      <c r="HU41" s="1292"/>
      <c r="HV41" s="1292"/>
      <c r="HW41" s="1292"/>
      <c r="HX41" s="1292"/>
      <c r="HY41" s="1292"/>
      <c r="HZ41" s="1292"/>
      <c r="IA41" s="1292"/>
      <c r="IB41" s="1292"/>
      <c r="IC41" s="1292"/>
      <c r="ID41" s="1292"/>
      <c r="IE41" s="1292"/>
      <c r="IF41" s="1292"/>
      <c r="IG41" s="1292"/>
      <c r="IH41" s="1292"/>
      <c r="II41" s="1292"/>
      <c r="IJ41" s="1292"/>
      <c r="IK41" s="1292"/>
      <c r="IL41" s="1292"/>
      <c r="IM41" s="1292"/>
      <c r="IN41" s="1292"/>
      <c r="IO41" s="1292"/>
      <c r="IP41" s="1292"/>
      <c r="IQ41" s="1292"/>
      <c r="IR41" s="1292"/>
      <c r="IS41" s="1292"/>
      <c r="IT41" s="1292"/>
      <c r="IU41" s="1292"/>
      <c r="IV41" s="1292"/>
    </row>
    <row r="42" spans="1:256">
      <c r="A42" s="1310" t="s">
        <v>2357</v>
      </c>
      <c r="B42" s="1292"/>
      <c r="C42" s="1292"/>
      <c r="D42" s="1292"/>
      <c r="E42" s="1292"/>
      <c r="F42" s="1292"/>
      <c r="G42" s="1292"/>
      <c r="H42" s="1292"/>
      <c r="I42" s="1292"/>
      <c r="J42" s="1292"/>
      <c r="K42" s="1292"/>
      <c r="L42" s="2069" t="str">
        <f>IF(ISBLANK(B4), "", MAX(E11:E33,J4:J33,O4:O33,T4:T33,Y4:Y33,AD4:AD33))</f>
        <v/>
      </c>
      <c r="M42" s="2071" t="s">
        <v>2319</v>
      </c>
      <c r="N42" s="1292"/>
      <c r="O42" s="1309"/>
      <c r="P42" s="1292"/>
      <c r="Q42" s="1292"/>
      <c r="R42" s="1292"/>
      <c r="S42" s="1292"/>
      <c r="T42" s="1292"/>
      <c r="U42" s="1292"/>
      <c r="V42" s="1292"/>
      <c r="W42" s="1292"/>
      <c r="X42" s="1292"/>
      <c r="Y42" s="1292"/>
      <c r="Z42" s="1292"/>
      <c r="AA42" s="1292"/>
      <c r="AB42" s="1292"/>
      <c r="AC42" s="1292"/>
      <c r="AD42" s="1292"/>
      <c r="AE42" s="1292"/>
      <c r="AF42" s="1292"/>
      <c r="AG42" s="1292"/>
      <c r="AH42" s="1292"/>
      <c r="AI42" s="1292"/>
      <c r="AJ42" s="1292"/>
      <c r="AK42" s="1292"/>
      <c r="AL42" s="1292"/>
      <c r="AM42" s="1292"/>
      <c r="AN42" s="1292"/>
      <c r="AO42" s="1292"/>
      <c r="AP42" s="1292"/>
      <c r="AQ42" s="1292"/>
      <c r="AR42" s="1292"/>
      <c r="AS42" s="1292"/>
      <c r="AT42" s="1292"/>
      <c r="AU42" s="1292"/>
      <c r="AV42" s="1292"/>
      <c r="AW42" s="1292"/>
      <c r="AX42" s="1292"/>
      <c r="AY42" s="1292"/>
      <c r="AZ42" s="1292"/>
      <c r="BA42" s="1292"/>
      <c r="BB42" s="1292"/>
      <c r="BC42" s="1292"/>
      <c r="BD42" s="1292"/>
      <c r="BE42" s="1292"/>
      <c r="BF42" s="1292"/>
      <c r="BG42" s="1292"/>
      <c r="BH42" s="1292"/>
      <c r="BI42" s="1292"/>
      <c r="BJ42" s="1292"/>
      <c r="BK42" s="1292"/>
      <c r="BL42" s="1292"/>
      <c r="BM42" s="1292"/>
      <c r="BN42" s="1292"/>
      <c r="BO42" s="1292"/>
      <c r="BP42" s="1292"/>
      <c r="BQ42" s="1292"/>
      <c r="BR42" s="1292"/>
      <c r="BS42" s="1292"/>
      <c r="BT42" s="1292"/>
      <c r="BU42" s="1292"/>
      <c r="BV42" s="1292"/>
      <c r="BW42" s="1292"/>
      <c r="BX42" s="1292"/>
      <c r="BY42" s="1292"/>
      <c r="BZ42" s="1292"/>
      <c r="CA42" s="1292"/>
      <c r="CB42" s="1292"/>
      <c r="CC42" s="1292"/>
      <c r="CD42" s="1292"/>
      <c r="CE42" s="1292"/>
      <c r="CF42" s="1292"/>
      <c r="CG42" s="1292"/>
      <c r="CH42" s="1292"/>
      <c r="CI42" s="1292"/>
      <c r="CJ42" s="1292"/>
      <c r="CK42" s="1292"/>
      <c r="CL42" s="1292"/>
      <c r="CM42" s="1292"/>
      <c r="CN42" s="1292"/>
      <c r="CO42" s="1292"/>
      <c r="CP42" s="1292"/>
      <c r="CQ42" s="1292"/>
      <c r="CR42" s="1292"/>
      <c r="CS42" s="1292"/>
      <c r="CT42" s="1292"/>
      <c r="CU42" s="1292"/>
      <c r="CV42" s="1292"/>
      <c r="CW42" s="1292"/>
      <c r="CX42" s="1292"/>
      <c r="CY42" s="1292"/>
      <c r="CZ42" s="1292"/>
      <c r="DA42" s="1292"/>
      <c r="DB42" s="1292"/>
      <c r="DC42" s="1292"/>
      <c r="DD42" s="1292"/>
      <c r="DE42" s="1292"/>
      <c r="DF42" s="1292"/>
      <c r="DG42" s="1292"/>
      <c r="DH42" s="1292"/>
      <c r="DI42" s="1292"/>
      <c r="DJ42" s="1292"/>
      <c r="DK42" s="1292"/>
      <c r="DL42" s="1292"/>
      <c r="DM42" s="1292"/>
      <c r="DN42" s="1292"/>
      <c r="DO42" s="1292"/>
      <c r="DP42" s="1292"/>
      <c r="DQ42" s="1292"/>
      <c r="DR42" s="1292"/>
      <c r="DS42" s="1292"/>
      <c r="DT42" s="1292"/>
      <c r="DU42" s="1292"/>
      <c r="DV42" s="1292"/>
      <c r="DW42" s="1292"/>
      <c r="DX42" s="1292"/>
      <c r="DY42" s="1292"/>
      <c r="DZ42" s="1292"/>
      <c r="EA42" s="1292"/>
      <c r="EB42" s="1292"/>
      <c r="EC42" s="1292"/>
      <c r="ED42" s="1292"/>
      <c r="EE42" s="1292"/>
      <c r="EF42" s="1292"/>
      <c r="EG42" s="1292"/>
      <c r="EH42" s="1292"/>
      <c r="EI42" s="1292"/>
      <c r="EJ42" s="1292"/>
      <c r="EK42" s="1292"/>
      <c r="EL42" s="1292"/>
      <c r="EM42" s="1292"/>
      <c r="EN42" s="1292"/>
      <c r="EO42" s="1292"/>
      <c r="EP42" s="1292"/>
      <c r="EQ42" s="1292"/>
      <c r="ER42" s="1292"/>
      <c r="ES42" s="1292"/>
      <c r="ET42" s="1292"/>
      <c r="EU42" s="1292"/>
      <c r="EV42" s="1292"/>
      <c r="EW42" s="1292"/>
      <c r="EX42" s="1292"/>
      <c r="EY42" s="1292"/>
      <c r="EZ42" s="1292"/>
      <c r="FA42" s="1292"/>
      <c r="FB42" s="1292"/>
      <c r="FC42" s="1292"/>
      <c r="FD42" s="1292"/>
      <c r="FE42" s="1292"/>
      <c r="FF42" s="1292"/>
      <c r="FG42" s="1292"/>
      <c r="FH42" s="1292"/>
      <c r="FI42" s="1292"/>
      <c r="FJ42" s="1292"/>
      <c r="FK42" s="1292"/>
      <c r="FL42" s="1292"/>
      <c r="FM42" s="1292"/>
      <c r="FN42" s="1292"/>
      <c r="FO42" s="1292"/>
      <c r="FP42" s="1292"/>
      <c r="FQ42" s="1292"/>
      <c r="FR42" s="1292"/>
      <c r="FS42" s="1292"/>
      <c r="FT42" s="1292"/>
      <c r="FU42" s="1292"/>
      <c r="FV42" s="1292"/>
      <c r="FW42" s="1292"/>
      <c r="FX42" s="1292"/>
      <c r="FY42" s="1292"/>
      <c r="FZ42" s="1292"/>
      <c r="GA42" s="1292"/>
      <c r="GB42" s="1292"/>
      <c r="GC42" s="1292"/>
      <c r="GD42" s="1292"/>
      <c r="GE42" s="1292"/>
      <c r="GF42" s="1292"/>
      <c r="GG42" s="1292"/>
      <c r="GH42" s="1292"/>
      <c r="GI42" s="1292"/>
      <c r="GJ42" s="1292"/>
      <c r="GK42" s="1292"/>
      <c r="GL42" s="1292"/>
      <c r="GM42" s="1292"/>
      <c r="GN42" s="1292"/>
      <c r="GO42" s="1292"/>
      <c r="GP42" s="1292"/>
      <c r="GQ42" s="1292"/>
      <c r="GR42" s="1292"/>
      <c r="GS42" s="1292"/>
      <c r="GT42" s="1292"/>
      <c r="GU42" s="1292"/>
      <c r="GV42" s="1292"/>
      <c r="GW42" s="1292"/>
      <c r="GX42" s="1292"/>
      <c r="GY42" s="1292"/>
      <c r="GZ42" s="1292"/>
      <c r="HA42" s="1292"/>
      <c r="HB42" s="1292"/>
      <c r="HC42" s="1292"/>
      <c r="HD42" s="1292"/>
      <c r="HE42" s="1292"/>
      <c r="HF42" s="1292"/>
      <c r="HG42" s="1292"/>
      <c r="HH42" s="1292"/>
      <c r="HI42" s="1292"/>
      <c r="HJ42" s="1292"/>
      <c r="HK42" s="1292"/>
      <c r="HL42" s="1292"/>
      <c r="HM42" s="1292"/>
      <c r="HN42" s="1292"/>
      <c r="HO42" s="1292"/>
      <c r="HP42" s="1292"/>
      <c r="HQ42" s="1292"/>
      <c r="HR42" s="1292"/>
      <c r="HS42" s="1292"/>
      <c r="HT42" s="1292"/>
      <c r="HU42" s="1292"/>
      <c r="HV42" s="1292"/>
      <c r="HW42" s="1292"/>
      <c r="HX42" s="1292"/>
      <c r="HY42" s="1292"/>
      <c r="HZ42" s="1292"/>
      <c r="IA42" s="1292"/>
      <c r="IB42" s="1292"/>
      <c r="IC42" s="1292"/>
      <c r="ID42" s="1292"/>
      <c r="IE42" s="1292"/>
      <c r="IF42" s="1292"/>
      <c r="IG42" s="1292"/>
      <c r="IH42" s="1292"/>
      <c r="II42" s="1292"/>
      <c r="IJ42" s="1292"/>
      <c r="IK42" s="1292"/>
      <c r="IL42" s="1292"/>
      <c r="IM42" s="1292"/>
      <c r="IN42" s="1292"/>
      <c r="IO42" s="1292"/>
      <c r="IP42" s="1292"/>
      <c r="IQ42" s="1292"/>
      <c r="IR42" s="1292"/>
      <c r="IS42" s="1292"/>
      <c r="IT42" s="1292"/>
      <c r="IU42" s="1292"/>
      <c r="IV42" s="1292"/>
    </row>
    <row r="43" spans="1:256" ht="2.1" customHeight="1">
      <c r="A43" s="3983"/>
      <c r="B43" s="3984"/>
      <c r="C43" s="3984"/>
      <c r="D43" s="3984"/>
      <c r="E43" s="3984"/>
      <c r="F43" s="3984"/>
      <c r="G43" s="3984"/>
      <c r="H43" s="3984"/>
      <c r="I43" s="3984"/>
      <c r="J43" s="3984"/>
      <c r="K43" s="3984"/>
      <c r="L43" s="3984"/>
      <c r="M43" s="3984"/>
      <c r="N43" s="3984"/>
      <c r="O43" s="1309"/>
      <c r="P43" s="1292"/>
      <c r="Q43" s="1292"/>
      <c r="R43" s="1292"/>
      <c r="S43" s="1292"/>
      <c r="T43" s="1292"/>
      <c r="U43" s="1292"/>
      <c r="V43" s="1292"/>
      <c r="W43" s="1292"/>
      <c r="X43" s="1292"/>
      <c r="Y43" s="1292"/>
      <c r="Z43" s="1292"/>
      <c r="AA43" s="1292"/>
      <c r="AB43" s="1292"/>
      <c r="AC43" s="1292"/>
      <c r="AD43" s="1292"/>
      <c r="AE43" s="1292"/>
      <c r="AF43" s="1292"/>
      <c r="AG43" s="1292"/>
      <c r="AH43" s="1292"/>
      <c r="AI43" s="1292"/>
      <c r="AJ43" s="1292"/>
      <c r="AK43" s="1292"/>
      <c r="AL43" s="1292"/>
      <c r="AM43" s="1292"/>
      <c r="AN43" s="1292"/>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2"/>
      <c r="DD43" s="1292"/>
      <c r="DE43" s="1292"/>
      <c r="DF43" s="1292"/>
      <c r="DG43" s="1292"/>
      <c r="DH43" s="1292"/>
      <c r="DI43" s="1292"/>
      <c r="DJ43" s="1292"/>
      <c r="DK43" s="1292"/>
      <c r="DL43" s="1292"/>
      <c r="DM43" s="1292"/>
      <c r="DN43" s="1292"/>
      <c r="DO43" s="1292"/>
      <c r="DP43" s="1292"/>
      <c r="DQ43" s="1292"/>
      <c r="DR43" s="1292"/>
      <c r="DS43" s="1292"/>
      <c r="DT43" s="1292"/>
      <c r="DU43" s="1292"/>
      <c r="DV43" s="1292"/>
      <c r="DW43" s="1292"/>
      <c r="DX43" s="1292"/>
      <c r="DY43" s="1292"/>
      <c r="DZ43" s="1292"/>
      <c r="EA43" s="1292"/>
      <c r="EB43" s="1292"/>
      <c r="EC43" s="1292"/>
      <c r="ED43" s="1292"/>
      <c r="EE43" s="1292"/>
      <c r="EF43" s="1292"/>
      <c r="EG43" s="1292"/>
      <c r="EH43" s="1292"/>
      <c r="EI43" s="1292"/>
      <c r="EJ43" s="1292"/>
      <c r="EK43" s="1292"/>
      <c r="EL43" s="1292"/>
      <c r="EM43" s="1292"/>
      <c r="EN43" s="1292"/>
      <c r="EO43" s="1292"/>
      <c r="EP43" s="1292"/>
      <c r="EQ43" s="1292"/>
      <c r="ER43" s="1292"/>
      <c r="ES43" s="1292"/>
      <c r="ET43" s="1292"/>
      <c r="EU43" s="1292"/>
      <c r="EV43" s="1292"/>
      <c r="EW43" s="1292"/>
      <c r="EX43" s="1292"/>
      <c r="EY43" s="1292"/>
      <c r="EZ43" s="1292"/>
      <c r="FA43" s="1292"/>
      <c r="FB43" s="1292"/>
      <c r="FC43" s="1292"/>
      <c r="FD43" s="1292"/>
      <c r="FE43" s="1292"/>
      <c r="FF43" s="1292"/>
      <c r="FG43" s="1292"/>
      <c r="FH43" s="1292"/>
      <c r="FI43" s="1292"/>
      <c r="FJ43" s="1292"/>
      <c r="FK43" s="1292"/>
      <c r="FL43" s="1292"/>
      <c r="FM43" s="1292"/>
      <c r="FN43" s="1292"/>
      <c r="FO43" s="1292"/>
      <c r="FP43" s="1292"/>
      <c r="FQ43" s="1292"/>
      <c r="FR43" s="1292"/>
      <c r="FS43" s="1292"/>
      <c r="FT43" s="1292"/>
      <c r="FU43" s="1292"/>
      <c r="FV43" s="1292"/>
      <c r="FW43" s="1292"/>
      <c r="FX43" s="1292"/>
      <c r="FY43" s="1292"/>
      <c r="FZ43" s="1292"/>
      <c r="GA43" s="1292"/>
      <c r="GB43" s="1292"/>
      <c r="GC43" s="1292"/>
      <c r="GD43" s="1292"/>
      <c r="GE43" s="1292"/>
      <c r="GF43" s="1292"/>
      <c r="GG43" s="1292"/>
      <c r="GH43" s="1292"/>
      <c r="GI43" s="1292"/>
      <c r="GJ43" s="1292"/>
      <c r="GK43" s="1292"/>
      <c r="GL43" s="1292"/>
      <c r="GM43" s="1292"/>
      <c r="GN43" s="1292"/>
      <c r="GO43" s="1292"/>
      <c r="GP43" s="1292"/>
      <c r="GQ43" s="1292"/>
      <c r="GR43" s="1292"/>
      <c r="GS43" s="1292"/>
      <c r="GT43" s="1292"/>
      <c r="GU43" s="1292"/>
      <c r="GV43" s="1292"/>
      <c r="GW43" s="1292"/>
      <c r="GX43" s="1292"/>
      <c r="GY43" s="1292"/>
      <c r="GZ43" s="1292"/>
      <c r="HA43" s="1292"/>
      <c r="HB43" s="1292"/>
      <c r="HC43" s="1292"/>
      <c r="HD43" s="1292"/>
      <c r="HE43" s="1292"/>
      <c r="HF43" s="1292"/>
      <c r="HG43" s="1292"/>
      <c r="HH43" s="1292"/>
      <c r="HI43" s="1292"/>
      <c r="HJ43" s="1292"/>
      <c r="HK43" s="1292"/>
      <c r="HL43" s="1292"/>
      <c r="HM43" s="1292"/>
      <c r="HN43" s="1292"/>
      <c r="HO43" s="1292"/>
      <c r="HP43" s="1292"/>
      <c r="HQ43" s="1292"/>
      <c r="HR43" s="1292"/>
      <c r="HS43" s="1292"/>
      <c r="HT43" s="1292"/>
      <c r="HU43" s="1292"/>
      <c r="HV43" s="1292"/>
      <c r="HW43" s="1292"/>
      <c r="HX43" s="1292"/>
      <c r="HY43" s="1292"/>
      <c r="HZ43" s="1292"/>
      <c r="IA43" s="1292"/>
      <c r="IB43" s="1292"/>
      <c r="IC43" s="1292"/>
      <c r="ID43" s="1292"/>
      <c r="IE43" s="1292"/>
      <c r="IF43" s="1292"/>
      <c r="IG43" s="1292"/>
      <c r="IH43" s="1292"/>
      <c r="II43" s="1292"/>
      <c r="IJ43" s="1292"/>
      <c r="IK43" s="1292"/>
      <c r="IL43" s="1292"/>
      <c r="IM43" s="1292"/>
      <c r="IN43" s="1292"/>
      <c r="IO43" s="1292"/>
      <c r="IP43" s="1292"/>
      <c r="IQ43" s="1292"/>
      <c r="IR43" s="1292"/>
      <c r="IS43" s="1292"/>
      <c r="IT43" s="1292"/>
      <c r="IU43" s="1292"/>
      <c r="IV43" s="1292"/>
    </row>
    <row r="44" spans="1:256">
      <c r="A44" s="1310" t="s">
        <v>2358</v>
      </c>
      <c r="B44" s="1292"/>
      <c r="C44" s="1292"/>
      <c r="D44" s="1292"/>
      <c r="E44" s="1292"/>
      <c r="F44" s="1292"/>
      <c r="G44" s="1292"/>
      <c r="H44" s="1292"/>
      <c r="I44" s="1292"/>
      <c r="J44" s="1292"/>
      <c r="K44" s="1292"/>
      <c r="L44" s="2070" t="str">
        <f>IF(ISBLANK(B5)," ", AVERAGE(D5:D33,I4:I33,N4:N33,S4:S33,AC4:AC33))</f>
        <v xml:space="preserve"> </v>
      </c>
      <c r="M44" s="2071" t="s">
        <v>2319</v>
      </c>
      <c r="N44" s="1292"/>
      <c r="O44" s="1309"/>
      <c r="P44" s="1292"/>
      <c r="Q44" s="1292"/>
      <c r="R44" s="1292"/>
      <c r="S44" s="1292"/>
      <c r="T44" s="1292"/>
      <c r="U44" s="1292"/>
      <c r="V44" s="1292"/>
      <c r="W44" s="1292"/>
      <c r="X44" s="1292"/>
      <c r="Y44" s="1292"/>
      <c r="Z44" s="1292"/>
      <c r="AA44" s="1292"/>
      <c r="AB44" s="1292"/>
      <c r="AC44" s="1292"/>
      <c r="AD44" s="1292"/>
      <c r="AE44" s="1292"/>
      <c r="AF44" s="1292"/>
      <c r="AG44" s="1292"/>
      <c r="AH44" s="1292"/>
      <c r="AI44" s="1292"/>
      <c r="AJ44" s="1292"/>
      <c r="AK44" s="1292"/>
      <c r="AL44" s="1292"/>
      <c r="AM44" s="1292"/>
      <c r="AN44" s="1292"/>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2"/>
      <c r="DD44" s="1292"/>
      <c r="DE44" s="1292"/>
      <c r="DF44" s="1292"/>
      <c r="DG44" s="1292"/>
      <c r="DH44" s="1292"/>
      <c r="DI44" s="1292"/>
      <c r="DJ44" s="1292"/>
      <c r="DK44" s="1292"/>
      <c r="DL44" s="1292"/>
      <c r="DM44" s="1292"/>
      <c r="DN44" s="1292"/>
      <c r="DO44" s="1292"/>
      <c r="DP44" s="1292"/>
      <c r="DQ44" s="1292"/>
      <c r="DR44" s="1292"/>
      <c r="DS44" s="1292"/>
      <c r="DT44" s="1292"/>
      <c r="DU44" s="1292"/>
      <c r="DV44" s="1292"/>
      <c r="DW44" s="1292"/>
      <c r="DX44" s="1292"/>
      <c r="DY44" s="1292"/>
      <c r="DZ44" s="1292"/>
      <c r="EA44" s="1292"/>
      <c r="EB44" s="1292"/>
      <c r="EC44" s="1292"/>
      <c r="ED44" s="1292"/>
      <c r="EE44" s="1292"/>
      <c r="EF44" s="1292"/>
      <c r="EG44" s="1292"/>
      <c r="EH44" s="1292"/>
      <c r="EI44" s="1292"/>
      <c r="EJ44" s="1292"/>
      <c r="EK44" s="1292"/>
      <c r="EL44" s="1292"/>
      <c r="EM44" s="1292"/>
      <c r="EN44" s="1292"/>
      <c r="EO44" s="1292"/>
      <c r="EP44" s="1292"/>
      <c r="EQ44" s="1292"/>
      <c r="ER44" s="1292"/>
      <c r="ES44" s="1292"/>
      <c r="ET44" s="1292"/>
      <c r="EU44" s="1292"/>
      <c r="EV44" s="1292"/>
      <c r="EW44" s="1292"/>
      <c r="EX44" s="1292"/>
      <c r="EY44" s="1292"/>
      <c r="EZ44" s="1292"/>
      <c r="FA44" s="1292"/>
      <c r="FB44" s="1292"/>
      <c r="FC44" s="1292"/>
      <c r="FD44" s="1292"/>
      <c r="FE44" s="1292"/>
      <c r="FF44" s="1292"/>
      <c r="FG44" s="1292"/>
      <c r="FH44" s="1292"/>
      <c r="FI44" s="1292"/>
      <c r="FJ44" s="1292"/>
      <c r="FK44" s="1292"/>
      <c r="FL44" s="1292"/>
      <c r="FM44" s="1292"/>
      <c r="FN44" s="1292"/>
      <c r="FO44" s="1292"/>
      <c r="FP44" s="1292"/>
      <c r="FQ44" s="1292"/>
      <c r="FR44" s="1292"/>
      <c r="FS44" s="1292"/>
      <c r="FT44" s="1292"/>
      <c r="FU44" s="1292"/>
      <c r="FV44" s="1292"/>
      <c r="FW44" s="1292"/>
      <c r="FX44" s="1292"/>
      <c r="FY44" s="1292"/>
      <c r="FZ44" s="1292"/>
      <c r="GA44" s="1292"/>
      <c r="GB44" s="1292"/>
      <c r="GC44" s="1292"/>
      <c r="GD44" s="1292"/>
      <c r="GE44" s="1292"/>
      <c r="GF44" s="1292"/>
      <c r="GG44" s="1292"/>
      <c r="GH44" s="1292"/>
      <c r="GI44" s="1292"/>
      <c r="GJ44" s="1292"/>
      <c r="GK44" s="1292"/>
      <c r="GL44" s="1292"/>
      <c r="GM44" s="1292"/>
      <c r="GN44" s="1292"/>
      <c r="GO44" s="1292"/>
      <c r="GP44" s="1292"/>
      <c r="GQ44" s="1292"/>
      <c r="GR44" s="1292"/>
      <c r="GS44" s="1292"/>
      <c r="GT44" s="1292"/>
      <c r="GU44" s="1292"/>
      <c r="GV44" s="1292"/>
      <c r="GW44" s="1292"/>
      <c r="GX44" s="1292"/>
      <c r="GY44" s="1292"/>
      <c r="GZ44" s="1292"/>
      <c r="HA44" s="1292"/>
      <c r="HB44" s="1292"/>
      <c r="HC44" s="1292"/>
      <c r="HD44" s="1292"/>
      <c r="HE44" s="1292"/>
      <c r="HF44" s="1292"/>
      <c r="HG44" s="1292"/>
      <c r="HH44" s="1292"/>
      <c r="HI44" s="1292"/>
      <c r="HJ44" s="1292"/>
      <c r="HK44" s="1292"/>
      <c r="HL44" s="1292"/>
      <c r="HM44" s="1292"/>
      <c r="HN44" s="1292"/>
      <c r="HO44" s="1292"/>
      <c r="HP44" s="1292"/>
      <c r="HQ44" s="1292"/>
      <c r="HR44" s="1292"/>
      <c r="HS44" s="1292"/>
      <c r="HT44" s="1292"/>
      <c r="HU44" s="1292"/>
      <c r="HV44" s="1292"/>
      <c r="HW44" s="1292"/>
      <c r="HX44" s="1292"/>
      <c r="HY44" s="1292"/>
      <c r="HZ44" s="1292"/>
      <c r="IA44" s="1292"/>
      <c r="IB44" s="1292"/>
      <c r="IC44" s="1292"/>
      <c r="ID44" s="1292"/>
      <c r="IE44" s="1292"/>
      <c r="IF44" s="1292"/>
      <c r="IG44" s="1292"/>
      <c r="IH44" s="1292"/>
      <c r="II44" s="1292"/>
      <c r="IJ44" s="1292"/>
      <c r="IK44" s="1292"/>
      <c r="IL44" s="1292"/>
      <c r="IM44" s="1292"/>
      <c r="IN44" s="1292"/>
      <c r="IO44" s="1292"/>
      <c r="IP44" s="1292"/>
      <c r="IQ44" s="1292"/>
      <c r="IR44" s="1292"/>
      <c r="IS44" s="1292"/>
      <c r="IT44" s="1292"/>
      <c r="IU44" s="1292"/>
      <c r="IV44" s="1292"/>
    </row>
    <row r="45" spans="1:256" ht="3" customHeight="1">
      <c r="A45" s="1311"/>
      <c r="B45" s="1312"/>
      <c r="C45" s="1313"/>
      <c r="D45" s="1313"/>
      <c r="E45" s="1313"/>
      <c r="F45" s="1313"/>
      <c r="G45" s="1313"/>
      <c r="H45" s="1313"/>
      <c r="I45" s="1313"/>
      <c r="J45" s="1313"/>
      <c r="K45" s="1313"/>
      <c r="L45" s="1313"/>
      <c r="M45" s="1313"/>
      <c r="N45" s="1313"/>
      <c r="O45" s="1314"/>
      <c r="P45" s="1292"/>
      <c r="Q45" s="1292"/>
      <c r="R45" s="1292"/>
      <c r="S45" s="1292"/>
      <c r="T45" s="1292"/>
      <c r="U45" s="1292"/>
      <c r="V45" s="1292"/>
      <c r="W45" s="1292"/>
      <c r="X45" s="1292"/>
      <c r="Y45" s="1292"/>
      <c r="Z45" s="1292"/>
      <c r="AA45" s="1292"/>
      <c r="AB45" s="1292"/>
      <c r="AC45" s="1292"/>
      <c r="AD45" s="1292"/>
      <c r="AE45" s="1292"/>
      <c r="AF45" s="1292"/>
      <c r="AG45" s="1292"/>
      <c r="AH45" s="1292"/>
      <c r="AI45" s="1292"/>
      <c r="AJ45" s="1292"/>
      <c r="AK45" s="1292"/>
      <c r="AL45" s="1292"/>
      <c r="AM45" s="1292"/>
      <c r="AN45" s="1292"/>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2"/>
      <c r="DD45" s="1292"/>
      <c r="DE45" s="1292"/>
      <c r="DF45" s="1292"/>
      <c r="DG45" s="1292"/>
      <c r="DH45" s="1292"/>
      <c r="DI45" s="1292"/>
      <c r="DJ45" s="1292"/>
      <c r="DK45" s="1292"/>
      <c r="DL45" s="1292"/>
      <c r="DM45" s="1292"/>
      <c r="DN45" s="1292"/>
      <c r="DO45" s="1292"/>
      <c r="DP45" s="1292"/>
      <c r="DQ45" s="1292"/>
      <c r="DR45" s="1292"/>
      <c r="DS45" s="1292"/>
      <c r="DT45" s="1292"/>
      <c r="DU45" s="1292"/>
      <c r="DV45" s="1292"/>
      <c r="DW45" s="1292"/>
      <c r="DX45" s="1292"/>
      <c r="DY45" s="1292"/>
      <c r="DZ45" s="1292"/>
      <c r="EA45" s="1292"/>
      <c r="EB45" s="1292"/>
      <c r="EC45" s="1292"/>
      <c r="ED45" s="1292"/>
      <c r="EE45" s="1292"/>
      <c r="EF45" s="1292"/>
      <c r="EG45" s="1292"/>
      <c r="EH45" s="1292"/>
      <c r="EI45" s="1292"/>
      <c r="EJ45" s="1292"/>
      <c r="EK45" s="1292"/>
      <c r="EL45" s="1292"/>
      <c r="EM45" s="1292"/>
      <c r="EN45" s="1292"/>
      <c r="EO45" s="1292"/>
      <c r="EP45" s="1292"/>
      <c r="EQ45" s="1292"/>
      <c r="ER45" s="1292"/>
      <c r="ES45" s="1292"/>
      <c r="ET45" s="1292"/>
      <c r="EU45" s="1292"/>
      <c r="EV45" s="1292"/>
      <c r="EW45" s="1292"/>
      <c r="EX45" s="1292"/>
      <c r="EY45" s="1292"/>
      <c r="EZ45" s="1292"/>
      <c r="FA45" s="1292"/>
      <c r="FB45" s="1292"/>
      <c r="FC45" s="1292"/>
      <c r="FD45" s="1292"/>
      <c r="FE45" s="1292"/>
      <c r="FF45" s="1292"/>
      <c r="FG45" s="1292"/>
      <c r="FH45" s="1292"/>
      <c r="FI45" s="1292"/>
      <c r="FJ45" s="1292"/>
      <c r="FK45" s="1292"/>
      <c r="FL45" s="1292"/>
      <c r="FM45" s="1292"/>
      <c r="FN45" s="1292"/>
      <c r="FO45" s="1292"/>
      <c r="FP45" s="1292"/>
      <c r="FQ45" s="1292"/>
      <c r="FR45" s="1292"/>
      <c r="FS45" s="1292"/>
      <c r="FT45" s="1292"/>
      <c r="FU45" s="1292"/>
      <c r="FV45" s="1292"/>
      <c r="FW45" s="1292"/>
      <c r="FX45" s="1292"/>
      <c r="FY45" s="1292"/>
      <c r="FZ45" s="1292"/>
      <c r="GA45" s="1292"/>
      <c r="GB45" s="1292"/>
      <c r="GC45" s="1292"/>
      <c r="GD45" s="1292"/>
      <c r="GE45" s="1292"/>
      <c r="GF45" s="1292"/>
      <c r="GG45" s="1292"/>
      <c r="GH45" s="1292"/>
      <c r="GI45" s="1292"/>
      <c r="GJ45" s="1292"/>
      <c r="GK45" s="1292"/>
      <c r="GL45" s="1292"/>
      <c r="GM45" s="1292"/>
      <c r="GN45" s="1292"/>
      <c r="GO45" s="1292"/>
      <c r="GP45" s="1292"/>
      <c r="GQ45" s="1292"/>
      <c r="GR45" s="1292"/>
      <c r="GS45" s="1292"/>
      <c r="GT45" s="1292"/>
      <c r="GU45" s="1292"/>
      <c r="GV45" s="1292"/>
      <c r="GW45" s="1292"/>
      <c r="GX45" s="1292"/>
      <c r="GY45" s="1292"/>
      <c r="GZ45" s="1292"/>
      <c r="HA45" s="1292"/>
      <c r="HB45" s="1292"/>
      <c r="HC45" s="1292"/>
      <c r="HD45" s="1292"/>
      <c r="HE45" s="1292"/>
      <c r="HF45" s="1292"/>
      <c r="HG45" s="1292"/>
      <c r="HH45" s="1292"/>
      <c r="HI45" s="1292"/>
      <c r="HJ45" s="1292"/>
      <c r="HK45" s="1292"/>
      <c r="HL45" s="1292"/>
      <c r="HM45" s="1292"/>
      <c r="HN45" s="1292"/>
      <c r="HO45" s="1292"/>
      <c r="HP45" s="1292"/>
      <c r="HQ45" s="1292"/>
      <c r="HR45" s="1292"/>
      <c r="HS45" s="1292"/>
      <c r="HT45" s="1292"/>
      <c r="HU45" s="1292"/>
      <c r="HV45" s="1292"/>
      <c r="HW45" s="1292"/>
      <c r="HX45" s="1292"/>
      <c r="HY45" s="1292"/>
      <c r="HZ45" s="1292"/>
      <c r="IA45" s="1292"/>
      <c r="IB45" s="1292"/>
      <c r="IC45" s="1292"/>
      <c r="ID45" s="1292"/>
      <c r="IE45" s="1292"/>
      <c r="IF45" s="1292"/>
      <c r="IG45" s="1292"/>
      <c r="IH45" s="1292"/>
      <c r="II45" s="1292"/>
      <c r="IJ45" s="1292"/>
      <c r="IK45" s="1292"/>
      <c r="IL45" s="1292"/>
      <c r="IM45" s="1292"/>
      <c r="IN45" s="1292"/>
      <c r="IO45" s="1292"/>
      <c r="IP45" s="1292"/>
      <c r="IQ45" s="1292"/>
      <c r="IR45" s="1292"/>
      <c r="IS45" s="1292"/>
      <c r="IT45" s="1292"/>
      <c r="IU45" s="1292"/>
      <c r="IV45" s="1292"/>
    </row>
    <row r="46" spans="1:256">
      <c r="A46" s="1292"/>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2"/>
      <c r="DD46" s="1292"/>
      <c r="DE46" s="1292"/>
      <c r="DF46" s="1292"/>
      <c r="DG46" s="1292"/>
      <c r="DH46" s="1292"/>
      <c r="DI46" s="1292"/>
      <c r="DJ46" s="1292"/>
      <c r="DK46" s="1292"/>
      <c r="DL46" s="1292"/>
      <c r="DM46" s="1292"/>
      <c r="DN46" s="1292"/>
      <c r="DO46" s="1292"/>
      <c r="DP46" s="1292"/>
      <c r="DQ46" s="1292"/>
      <c r="DR46" s="1292"/>
      <c r="DS46" s="1292"/>
      <c r="DT46" s="1292"/>
      <c r="DU46" s="1292"/>
      <c r="DV46" s="1292"/>
      <c r="DW46" s="1292"/>
      <c r="DX46" s="1292"/>
      <c r="DY46" s="1292"/>
      <c r="DZ46" s="1292"/>
      <c r="EA46" s="1292"/>
      <c r="EB46" s="1292"/>
      <c r="EC46" s="1292"/>
      <c r="ED46" s="1292"/>
      <c r="EE46" s="1292"/>
      <c r="EF46" s="1292"/>
      <c r="EG46" s="1292"/>
      <c r="EH46" s="1292"/>
      <c r="EI46" s="1292"/>
      <c r="EJ46" s="1292"/>
      <c r="EK46" s="1292"/>
      <c r="EL46" s="1292"/>
      <c r="EM46" s="1292"/>
      <c r="EN46" s="1292"/>
      <c r="EO46" s="1292"/>
      <c r="EP46" s="1292"/>
      <c r="EQ46" s="1292"/>
      <c r="ER46" s="1292"/>
      <c r="ES46" s="1292"/>
      <c r="ET46" s="1292"/>
      <c r="EU46" s="1292"/>
      <c r="EV46" s="1292"/>
      <c r="EW46" s="1292"/>
      <c r="EX46" s="1292"/>
      <c r="EY46" s="1292"/>
      <c r="EZ46" s="1292"/>
      <c r="FA46" s="1292"/>
      <c r="FB46" s="1292"/>
      <c r="FC46" s="1292"/>
      <c r="FD46" s="1292"/>
      <c r="FE46" s="1292"/>
      <c r="FF46" s="1292"/>
      <c r="FG46" s="1292"/>
      <c r="FH46" s="1292"/>
      <c r="FI46" s="1292"/>
      <c r="FJ46" s="1292"/>
      <c r="FK46" s="1292"/>
      <c r="FL46" s="1292"/>
      <c r="FM46" s="1292"/>
      <c r="FN46" s="1292"/>
      <c r="FO46" s="1292"/>
      <c r="FP46" s="1292"/>
      <c r="FQ46" s="1292"/>
      <c r="FR46" s="1292"/>
      <c r="FS46" s="1292"/>
      <c r="FT46" s="1292"/>
      <c r="FU46" s="1292"/>
      <c r="FV46" s="1292"/>
      <c r="FW46" s="1292"/>
      <c r="FX46" s="1292"/>
      <c r="FY46" s="1292"/>
      <c r="FZ46" s="1292"/>
      <c r="GA46" s="1292"/>
      <c r="GB46" s="1292"/>
      <c r="GC46" s="1292"/>
      <c r="GD46" s="1292"/>
      <c r="GE46" s="1292"/>
      <c r="GF46" s="1292"/>
      <c r="GG46" s="1292"/>
      <c r="GH46" s="1292"/>
      <c r="GI46" s="1292"/>
      <c r="GJ46" s="1292"/>
      <c r="GK46" s="1292"/>
      <c r="GL46" s="1292"/>
      <c r="GM46" s="1292"/>
      <c r="GN46" s="1292"/>
      <c r="GO46" s="1292"/>
      <c r="GP46" s="1292"/>
      <c r="GQ46" s="1292"/>
      <c r="GR46" s="1292"/>
      <c r="GS46" s="1292"/>
      <c r="GT46" s="1292"/>
      <c r="GU46" s="1292"/>
      <c r="GV46" s="1292"/>
      <c r="GW46" s="1292"/>
      <c r="GX46" s="1292"/>
      <c r="GY46" s="1292"/>
      <c r="GZ46" s="1292"/>
      <c r="HA46" s="1292"/>
      <c r="HB46" s="1292"/>
      <c r="HC46" s="1292"/>
      <c r="HD46" s="1292"/>
      <c r="HE46" s="1292"/>
      <c r="HF46" s="1292"/>
      <c r="HG46" s="1292"/>
      <c r="HH46" s="1292"/>
      <c r="HI46" s="1292"/>
      <c r="HJ46" s="1292"/>
      <c r="HK46" s="1292"/>
      <c r="HL46" s="1292"/>
      <c r="HM46" s="1292"/>
      <c r="HN46" s="1292"/>
      <c r="HO46" s="1292"/>
      <c r="HP46" s="1292"/>
      <c r="HQ46" s="1292"/>
      <c r="HR46" s="1292"/>
      <c r="HS46" s="1292"/>
      <c r="HT46" s="1292"/>
      <c r="HU46" s="1292"/>
      <c r="HV46" s="1292"/>
      <c r="HW46" s="1292"/>
      <c r="HX46" s="1292"/>
      <c r="HY46" s="1292"/>
      <c r="HZ46" s="1292"/>
      <c r="IA46" s="1292"/>
      <c r="IB46" s="1292"/>
      <c r="IC46" s="1292"/>
      <c r="ID46" s="1292"/>
      <c r="IE46" s="1292"/>
      <c r="IF46" s="1292"/>
      <c r="IG46" s="1292"/>
      <c r="IH46" s="1292"/>
      <c r="II46" s="1292"/>
      <c r="IJ46" s="1292"/>
      <c r="IK46" s="1292"/>
      <c r="IL46" s="1292"/>
      <c r="IM46" s="1292"/>
      <c r="IN46" s="1292"/>
      <c r="IO46" s="1292"/>
      <c r="IP46" s="1292"/>
      <c r="IQ46" s="1292"/>
      <c r="IR46" s="1292"/>
      <c r="IS46" s="1292"/>
      <c r="IT46" s="1292"/>
      <c r="IU46" s="1292"/>
      <c r="IV46" s="1292"/>
    </row>
    <row r="47" spans="1:256" ht="9"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1292"/>
      <c r="AV47" s="1292"/>
      <c r="AW47" s="1292"/>
      <c r="AX47" s="1292"/>
      <c r="AY47" s="1292"/>
      <c r="AZ47" s="1292"/>
      <c r="BA47" s="1292"/>
      <c r="BB47" s="1292"/>
      <c r="BC47" s="1292"/>
      <c r="BD47" s="1292"/>
      <c r="BE47" s="1292"/>
      <c r="BF47" s="1292"/>
      <c r="BG47" s="1292"/>
      <c r="BH47" s="1292"/>
      <c r="BI47" s="1292"/>
      <c r="BJ47" s="1292"/>
      <c r="BK47" s="1292"/>
      <c r="BL47" s="1292"/>
      <c r="BM47" s="1292"/>
      <c r="BN47" s="1292"/>
      <c r="BO47" s="1292"/>
      <c r="BP47" s="1292"/>
      <c r="BQ47" s="1292"/>
      <c r="BR47" s="1292"/>
      <c r="BS47" s="1292"/>
      <c r="BT47" s="1292"/>
      <c r="BU47" s="1292"/>
      <c r="BV47" s="1292"/>
      <c r="BW47" s="1292"/>
      <c r="BX47" s="1292"/>
      <c r="BY47" s="1292"/>
      <c r="BZ47" s="1292"/>
      <c r="CA47" s="1292"/>
      <c r="CB47" s="1292"/>
      <c r="CC47" s="1292"/>
      <c r="CD47" s="1292"/>
      <c r="CE47" s="1292"/>
      <c r="CF47" s="1292"/>
      <c r="CG47" s="1292"/>
      <c r="CH47" s="1292"/>
      <c r="CI47" s="1292"/>
      <c r="CJ47" s="1292"/>
      <c r="CK47" s="1292"/>
      <c r="CL47" s="1292"/>
      <c r="CM47" s="1292"/>
      <c r="CN47" s="1292"/>
      <c r="CO47" s="1292"/>
      <c r="CP47" s="1292"/>
      <c r="CQ47" s="1292"/>
      <c r="CR47" s="1292"/>
      <c r="CS47" s="1292"/>
      <c r="CT47" s="1292"/>
      <c r="CU47" s="1292"/>
      <c r="CV47" s="1292"/>
      <c r="CW47" s="1292"/>
      <c r="CX47" s="1292"/>
      <c r="CY47" s="1292"/>
      <c r="CZ47" s="1292"/>
      <c r="DA47" s="1292"/>
      <c r="DB47" s="1292"/>
      <c r="DC47" s="1292"/>
      <c r="DD47" s="1292"/>
      <c r="DE47" s="1292"/>
      <c r="DF47" s="1292"/>
      <c r="DG47" s="1292"/>
      <c r="DH47" s="1292"/>
      <c r="DI47" s="1292"/>
      <c r="DJ47" s="1292"/>
      <c r="DK47" s="1292"/>
      <c r="DL47" s="1292"/>
      <c r="DM47" s="1292"/>
      <c r="DN47" s="1292"/>
      <c r="DO47" s="1292"/>
      <c r="DP47" s="1292"/>
      <c r="DQ47" s="1292"/>
      <c r="DR47" s="1292"/>
      <c r="DS47" s="1292"/>
      <c r="DT47" s="1292"/>
      <c r="DU47" s="1292"/>
      <c r="DV47" s="1292"/>
      <c r="DW47" s="1292"/>
      <c r="DX47" s="1292"/>
      <c r="DY47" s="1292"/>
      <c r="DZ47" s="1292"/>
      <c r="EA47" s="1292"/>
      <c r="EB47" s="1292"/>
      <c r="EC47" s="1292"/>
      <c r="ED47" s="1292"/>
      <c r="EE47" s="1292"/>
      <c r="EF47" s="1292"/>
      <c r="EG47" s="1292"/>
      <c r="EH47" s="1292"/>
      <c r="EI47" s="1292"/>
      <c r="EJ47" s="1292"/>
      <c r="EK47" s="1292"/>
      <c r="EL47" s="1292"/>
      <c r="EM47" s="1292"/>
      <c r="EN47" s="1292"/>
      <c r="EO47" s="1292"/>
      <c r="EP47" s="1292"/>
      <c r="EQ47" s="1292"/>
      <c r="ER47" s="1292"/>
      <c r="ES47" s="1292"/>
      <c r="ET47" s="1292"/>
      <c r="EU47" s="1292"/>
      <c r="EV47" s="1292"/>
      <c r="EW47" s="1292"/>
      <c r="EX47" s="1292"/>
      <c r="EY47" s="1292"/>
      <c r="EZ47" s="1292"/>
      <c r="FA47" s="1292"/>
      <c r="FB47" s="1292"/>
      <c r="FC47" s="1292"/>
      <c r="FD47" s="1292"/>
      <c r="FE47" s="1292"/>
      <c r="FF47" s="1292"/>
      <c r="FG47" s="1292"/>
      <c r="FH47" s="1292"/>
      <c r="FI47" s="1292"/>
      <c r="FJ47" s="1292"/>
      <c r="FK47" s="1292"/>
      <c r="FL47" s="1292"/>
      <c r="FM47" s="1292"/>
      <c r="FN47" s="1292"/>
      <c r="FO47" s="1292"/>
      <c r="FP47" s="1292"/>
      <c r="FQ47" s="1292"/>
      <c r="FR47" s="1292"/>
      <c r="FS47" s="1292"/>
      <c r="FT47" s="1292"/>
      <c r="FU47" s="1292"/>
      <c r="FV47" s="1292"/>
      <c r="FW47" s="1292"/>
      <c r="FX47" s="1292"/>
      <c r="FY47" s="1292"/>
      <c r="FZ47" s="1292"/>
      <c r="GA47" s="1292"/>
      <c r="GB47" s="1292"/>
      <c r="GC47" s="1292"/>
      <c r="GD47" s="1292"/>
      <c r="GE47" s="1292"/>
      <c r="GF47" s="1292"/>
      <c r="GG47" s="1292"/>
      <c r="GH47" s="1292"/>
      <c r="GI47" s="1292"/>
      <c r="GJ47" s="1292"/>
      <c r="GK47" s="1292"/>
      <c r="GL47" s="1292"/>
      <c r="GM47" s="1292"/>
      <c r="GN47" s="1292"/>
      <c r="GO47" s="1292"/>
      <c r="GP47" s="1292"/>
      <c r="GQ47" s="1292"/>
      <c r="GR47" s="1292"/>
      <c r="GS47" s="1292"/>
      <c r="GT47" s="1292"/>
      <c r="GU47" s="1292"/>
      <c r="GV47" s="1292"/>
      <c r="GW47" s="1292"/>
      <c r="GX47" s="1292"/>
      <c r="GY47" s="1292"/>
      <c r="GZ47" s="1292"/>
      <c r="HA47" s="1292"/>
      <c r="HB47" s="1292"/>
      <c r="HC47" s="1292"/>
      <c r="HD47" s="1292"/>
      <c r="HE47" s="1292"/>
      <c r="HF47" s="1292"/>
      <c r="HG47" s="1292"/>
      <c r="HH47" s="1292"/>
      <c r="HI47" s="1292"/>
      <c r="HJ47" s="1292"/>
      <c r="HK47" s="1292"/>
      <c r="HL47" s="1292"/>
      <c r="HM47" s="1292"/>
      <c r="HN47" s="1292"/>
      <c r="HO47" s="1292"/>
      <c r="HP47" s="1292"/>
      <c r="HQ47" s="1292"/>
      <c r="HR47" s="1292"/>
      <c r="HS47" s="1292"/>
      <c r="HT47" s="1292"/>
      <c r="HU47" s="1292"/>
      <c r="HV47" s="1292"/>
      <c r="HW47" s="1292"/>
      <c r="HX47" s="1292"/>
      <c r="HY47" s="1292"/>
      <c r="HZ47" s="1292"/>
      <c r="IA47" s="1292"/>
      <c r="IB47" s="1292"/>
      <c r="IC47" s="1292"/>
      <c r="ID47" s="1292"/>
      <c r="IE47" s="1292"/>
      <c r="IF47" s="1292"/>
      <c r="IG47" s="1292"/>
      <c r="IH47" s="1292"/>
      <c r="II47" s="1292"/>
      <c r="IJ47" s="1292"/>
      <c r="IK47" s="1292"/>
      <c r="IL47" s="1292"/>
      <c r="IM47" s="1292"/>
      <c r="IN47" s="1292"/>
      <c r="IO47" s="1292"/>
      <c r="IP47" s="1292"/>
      <c r="IQ47" s="1292"/>
      <c r="IR47" s="1292"/>
      <c r="IS47" s="1292"/>
      <c r="IT47" s="1292"/>
      <c r="IU47" s="1292"/>
      <c r="IV47" s="1292"/>
    </row>
    <row r="48" spans="1:256">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1292"/>
      <c r="AV48" s="1292"/>
      <c r="AW48" s="1292"/>
      <c r="AX48" s="1292"/>
      <c r="AY48" s="1292"/>
      <c r="AZ48" s="1292"/>
      <c r="BA48" s="1292"/>
      <c r="BB48" s="1292"/>
      <c r="BC48" s="1292"/>
      <c r="BD48" s="1292"/>
      <c r="BE48" s="1292"/>
      <c r="BF48" s="1292"/>
      <c r="BG48" s="1292"/>
      <c r="BH48" s="1292"/>
      <c r="BI48" s="1292"/>
      <c r="BJ48" s="1292"/>
      <c r="BK48" s="1292"/>
      <c r="BL48" s="1292"/>
      <c r="BM48" s="1292"/>
      <c r="BN48" s="1292"/>
      <c r="BO48" s="1292"/>
      <c r="BP48" s="1292"/>
      <c r="BQ48" s="1292"/>
      <c r="BR48" s="1292"/>
      <c r="BS48" s="1292"/>
      <c r="BT48" s="1292"/>
      <c r="BU48" s="1292"/>
      <c r="BV48" s="1292"/>
      <c r="BW48" s="1292"/>
      <c r="BX48" s="1292"/>
      <c r="BY48" s="1292"/>
      <c r="BZ48" s="1292"/>
      <c r="CA48" s="1292"/>
      <c r="CB48" s="1292"/>
      <c r="CC48" s="1292"/>
      <c r="CD48" s="1292"/>
      <c r="CE48" s="1292"/>
      <c r="CF48" s="1292"/>
      <c r="CG48" s="1292"/>
      <c r="CH48" s="1292"/>
      <c r="CI48" s="1292"/>
      <c r="CJ48" s="1292"/>
      <c r="CK48" s="1292"/>
      <c r="CL48" s="1292"/>
      <c r="CM48" s="1292"/>
      <c r="CN48" s="1292"/>
      <c r="CO48" s="1292"/>
      <c r="CP48" s="1292"/>
      <c r="CQ48" s="1292"/>
      <c r="CR48" s="1292"/>
      <c r="CS48" s="1292"/>
      <c r="CT48" s="1292"/>
      <c r="CU48" s="1292"/>
      <c r="CV48" s="1292"/>
      <c r="CW48" s="1292"/>
      <c r="CX48" s="1292"/>
      <c r="CY48" s="1292"/>
      <c r="CZ48" s="1292"/>
      <c r="DA48" s="1292"/>
      <c r="DB48" s="1292"/>
      <c r="DC48" s="1292"/>
      <c r="DD48" s="1292"/>
      <c r="DE48" s="1292"/>
      <c r="DF48" s="1292"/>
      <c r="DG48" s="1292"/>
      <c r="DH48" s="1292"/>
      <c r="DI48" s="1292"/>
      <c r="DJ48" s="1292"/>
      <c r="DK48" s="1292"/>
      <c r="DL48" s="1292"/>
      <c r="DM48" s="1292"/>
      <c r="DN48" s="1292"/>
      <c r="DO48" s="1292"/>
      <c r="DP48" s="1292"/>
      <c r="DQ48" s="1292"/>
      <c r="DR48" s="1292"/>
      <c r="DS48" s="1292"/>
      <c r="DT48" s="1292"/>
      <c r="DU48" s="1292"/>
      <c r="DV48" s="1292"/>
      <c r="DW48" s="1292"/>
      <c r="DX48" s="1292"/>
      <c r="DY48" s="1292"/>
      <c r="DZ48" s="1292"/>
      <c r="EA48" s="1292"/>
      <c r="EB48" s="1292"/>
      <c r="EC48" s="1292"/>
      <c r="ED48" s="1292"/>
      <c r="EE48" s="1292"/>
      <c r="EF48" s="1292"/>
      <c r="EG48" s="1292"/>
      <c r="EH48" s="1292"/>
      <c r="EI48" s="1292"/>
      <c r="EJ48" s="1292"/>
      <c r="EK48" s="1292"/>
      <c r="EL48" s="1292"/>
      <c r="EM48" s="1292"/>
      <c r="EN48" s="1292"/>
      <c r="EO48" s="1292"/>
      <c r="EP48" s="1292"/>
      <c r="EQ48" s="1292"/>
      <c r="ER48" s="1292"/>
      <c r="ES48" s="1292"/>
      <c r="ET48" s="1292"/>
      <c r="EU48" s="1292"/>
      <c r="EV48" s="1292"/>
      <c r="EW48" s="1292"/>
      <c r="EX48" s="1292"/>
      <c r="EY48" s="1292"/>
      <c r="EZ48" s="1292"/>
      <c r="FA48" s="1292"/>
      <c r="FB48" s="1292"/>
      <c r="FC48" s="1292"/>
      <c r="FD48" s="1292"/>
      <c r="FE48" s="1292"/>
      <c r="FF48" s="1292"/>
      <c r="FG48" s="1292"/>
      <c r="FH48" s="1292"/>
      <c r="FI48" s="1292"/>
      <c r="FJ48" s="1292"/>
      <c r="FK48" s="1292"/>
      <c r="FL48" s="1292"/>
      <c r="FM48" s="1292"/>
      <c r="FN48" s="1292"/>
      <c r="FO48" s="1292"/>
      <c r="FP48" s="1292"/>
      <c r="FQ48" s="1292"/>
      <c r="FR48" s="1292"/>
      <c r="FS48" s="1292"/>
      <c r="FT48" s="1292"/>
      <c r="FU48" s="1292"/>
      <c r="FV48" s="1292"/>
      <c r="FW48" s="1292"/>
      <c r="FX48" s="1292"/>
      <c r="FY48" s="1292"/>
      <c r="FZ48" s="1292"/>
      <c r="GA48" s="1292"/>
      <c r="GB48" s="1292"/>
      <c r="GC48" s="1292"/>
      <c r="GD48" s="1292"/>
      <c r="GE48" s="1292"/>
      <c r="GF48" s="1292"/>
      <c r="GG48" s="1292"/>
      <c r="GH48" s="1292"/>
      <c r="GI48" s="1292"/>
      <c r="GJ48" s="1292"/>
      <c r="GK48" s="1292"/>
      <c r="GL48" s="1292"/>
      <c r="GM48" s="1292"/>
      <c r="GN48" s="1292"/>
      <c r="GO48" s="1292"/>
      <c r="GP48" s="1292"/>
      <c r="GQ48" s="1292"/>
      <c r="GR48" s="1292"/>
      <c r="GS48" s="1292"/>
      <c r="GT48" s="1292"/>
      <c r="GU48" s="1292"/>
      <c r="GV48" s="1292"/>
      <c r="GW48" s="1292"/>
      <c r="GX48" s="1292"/>
      <c r="GY48" s="1292"/>
      <c r="GZ48" s="1292"/>
      <c r="HA48" s="1292"/>
      <c r="HB48" s="1292"/>
      <c r="HC48" s="1292"/>
      <c r="HD48" s="1292"/>
      <c r="HE48" s="1292"/>
      <c r="HF48" s="1292"/>
      <c r="HG48" s="1292"/>
      <c r="HH48" s="1292"/>
      <c r="HI48" s="1292"/>
      <c r="HJ48" s="1292"/>
      <c r="HK48" s="1292"/>
      <c r="HL48" s="1292"/>
      <c r="HM48" s="1292"/>
      <c r="HN48" s="1292"/>
      <c r="HO48" s="1292"/>
      <c r="HP48" s="1292"/>
      <c r="HQ48" s="1292"/>
      <c r="HR48" s="1292"/>
      <c r="HS48" s="1292"/>
      <c r="HT48" s="1292"/>
      <c r="HU48" s="1292"/>
      <c r="HV48" s="1292"/>
      <c r="HW48" s="1292"/>
      <c r="HX48" s="1292"/>
      <c r="HY48" s="1292"/>
      <c r="HZ48" s="1292"/>
      <c r="IA48" s="1292"/>
      <c r="IB48" s="1292"/>
      <c r="IC48" s="1292"/>
      <c r="ID48" s="1292"/>
      <c r="IE48" s="1292"/>
      <c r="IF48" s="1292"/>
      <c r="IG48" s="1292"/>
      <c r="IH48" s="1292"/>
      <c r="II48" s="1292"/>
      <c r="IJ48" s="1292"/>
      <c r="IK48" s="1292"/>
      <c r="IL48" s="1292"/>
      <c r="IM48" s="1292"/>
      <c r="IN48" s="1292"/>
      <c r="IO48" s="1292"/>
      <c r="IP48" s="1292"/>
      <c r="IQ48" s="1292"/>
      <c r="IR48" s="1292"/>
      <c r="IS48" s="1292"/>
      <c r="IT48" s="1292"/>
      <c r="IU48" s="1292"/>
      <c r="IV48" s="1292"/>
    </row>
    <row r="49" spans="1:256">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1292"/>
      <c r="AV49" s="1292"/>
      <c r="AW49" s="1292"/>
      <c r="AX49" s="1292"/>
      <c r="AY49" s="1292"/>
      <c r="AZ49" s="1292"/>
      <c r="BA49" s="1292"/>
      <c r="BB49" s="1292"/>
      <c r="BC49" s="1292"/>
      <c r="BD49" s="1292"/>
      <c r="BE49" s="1292"/>
      <c r="BF49" s="1292"/>
      <c r="BG49" s="1292"/>
      <c r="BH49" s="1292"/>
      <c r="BI49" s="1292"/>
      <c r="BJ49" s="1292"/>
      <c r="BK49" s="1292"/>
      <c r="BL49" s="1292"/>
      <c r="BM49" s="1292"/>
      <c r="BN49" s="1292"/>
      <c r="BO49" s="1292"/>
      <c r="BP49" s="1292"/>
      <c r="BQ49" s="1292"/>
      <c r="BR49" s="1292"/>
      <c r="BS49" s="1292"/>
      <c r="BT49" s="1292"/>
      <c r="BU49" s="1292"/>
      <c r="BV49" s="1292"/>
      <c r="BW49" s="1292"/>
      <c r="BX49" s="1292"/>
      <c r="BY49" s="1292"/>
      <c r="BZ49" s="1292"/>
      <c r="CA49" s="1292"/>
      <c r="CB49" s="1292"/>
      <c r="CC49" s="1292"/>
      <c r="CD49" s="1292"/>
      <c r="CE49" s="1292"/>
      <c r="CF49" s="1292"/>
      <c r="CG49" s="1292"/>
      <c r="CH49" s="1292"/>
      <c r="CI49" s="1292"/>
      <c r="CJ49" s="1292"/>
      <c r="CK49" s="1292"/>
      <c r="CL49" s="1292"/>
      <c r="CM49" s="1292"/>
      <c r="CN49" s="1292"/>
      <c r="CO49" s="1292"/>
      <c r="CP49" s="1292"/>
      <c r="CQ49" s="1292"/>
      <c r="CR49" s="1292"/>
      <c r="CS49" s="1292"/>
      <c r="CT49" s="1292"/>
      <c r="CU49" s="1292"/>
      <c r="CV49" s="1292"/>
      <c r="CW49" s="1292"/>
      <c r="CX49" s="1292"/>
      <c r="CY49" s="1292"/>
      <c r="CZ49" s="1292"/>
      <c r="DA49" s="1292"/>
      <c r="DB49" s="1292"/>
      <c r="DC49" s="1292"/>
      <c r="DD49" s="1292"/>
      <c r="DE49" s="1292"/>
      <c r="DF49" s="1292"/>
      <c r="DG49" s="1292"/>
      <c r="DH49" s="1292"/>
      <c r="DI49" s="1292"/>
      <c r="DJ49" s="1292"/>
      <c r="DK49" s="1292"/>
      <c r="DL49" s="1292"/>
      <c r="DM49" s="1292"/>
      <c r="DN49" s="1292"/>
      <c r="DO49" s="1292"/>
      <c r="DP49" s="1292"/>
      <c r="DQ49" s="1292"/>
      <c r="DR49" s="1292"/>
      <c r="DS49" s="1292"/>
      <c r="DT49" s="1292"/>
      <c r="DU49" s="1292"/>
      <c r="DV49" s="1292"/>
      <c r="DW49" s="1292"/>
      <c r="DX49" s="1292"/>
      <c r="DY49" s="1292"/>
      <c r="DZ49" s="1292"/>
      <c r="EA49" s="1292"/>
      <c r="EB49" s="1292"/>
      <c r="EC49" s="1292"/>
      <c r="ED49" s="1292"/>
      <c r="EE49" s="1292"/>
      <c r="EF49" s="1292"/>
      <c r="EG49" s="1292"/>
      <c r="EH49" s="1292"/>
      <c r="EI49" s="1292"/>
      <c r="EJ49" s="1292"/>
      <c r="EK49" s="1292"/>
      <c r="EL49" s="1292"/>
      <c r="EM49" s="1292"/>
      <c r="EN49" s="1292"/>
      <c r="EO49" s="1292"/>
      <c r="EP49" s="1292"/>
      <c r="EQ49" s="1292"/>
      <c r="ER49" s="1292"/>
      <c r="ES49" s="1292"/>
      <c r="ET49" s="1292"/>
      <c r="EU49" s="1292"/>
      <c r="EV49" s="1292"/>
      <c r="EW49" s="1292"/>
      <c r="EX49" s="1292"/>
      <c r="EY49" s="1292"/>
      <c r="EZ49" s="1292"/>
      <c r="FA49" s="1292"/>
      <c r="FB49" s="1292"/>
      <c r="FC49" s="1292"/>
      <c r="FD49" s="1292"/>
      <c r="FE49" s="1292"/>
      <c r="FF49" s="1292"/>
      <c r="FG49" s="1292"/>
      <c r="FH49" s="1292"/>
      <c r="FI49" s="1292"/>
      <c r="FJ49" s="1292"/>
      <c r="FK49" s="1292"/>
      <c r="FL49" s="1292"/>
      <c r="FM49" s="1292"/>
      <c r="FN49" s="1292"/>
      <c r="FO49" s="1292"/>
      <c r="FP49" s="1292"/>
      <c r="FQ49" s="1292"/>
      <c r="FR49" s="1292"/>
      <c r="FS49" s="1292"/>
      <c r="FT49" s="1292"/>
      <c r="FU49" s="1292"/>
      <c r="FV49" s="1292"/>
      <c r="FW49" s="1292"/>
      <c r="FX49" s="1292"/>
      <c r="FY49" s="1292"/>
      <c r="FZ49" s="1292"/>
      <c r="GA49" s="1292"/>
      <c r="GB49" s="1292"/>
      <c r="GC49" s="1292"/>
      <c r="GD49" s="1292"/>
      <c r="GE49" s="1292"/>
      <c r="GF49" s="1292"/>
      <c r="GG49" s="1292"/>
      <c r="GH49" s="1292"/>
      <c r="GI49" s="1292"/>
      <c r="GJ49" s="1292"/>
      <c r="GK49" s="1292"/>
      <c r="GL49" s="1292"/>
      <c r="GM49" s="1292"/>
      <c r="GN49" s="1292"/>
      <c r="GO49" s="1292"/>
      <c r="GP49" s="1292"/>
      <c r="GQ49" s="1292"/>
      <c r="GR49" s="1292"/>
      <c r="GS49" s="1292"/>
      <c r="GT49" s="1292"/>
      <c r="GU49" s="1292"/>
      <c r="GV49" s="1292"/>
      <c r="GW49" s="1292"/>
      <c r="GX49" s="1292"/>
      <c r="GY49" s="1292"/>
      <c r="GZ49" s="1292"/>
      <c r="HA49" s="1292"/>
      <c r="HB49" s="1292"/>
      <c r="HC49" s="1292"/>
      <c r="HD49" s="1292"/>
      <c r="HE49" s="1292"/>
      <c r="HF49" s="1292"/>
      <c r="HG49" s="1292"/>
      <c r="HH49" s="1292"/>
      <c r="HI49" s="1292"/>
      <c r="HJ49" s="1292"/>
      <c r="HK49" s="1292"/>
      <c r="HL49" s="1292"/>
      <c r="HM49" s="1292"/>
      <c r="HN49" s="1292"/>
      <c r="HO49" s="1292"/>
      <c r="HP49" s="1292"/>
      <c r="HQ49" s="1292"/>
      <c r="HR49" s="1292"/>
      <c r="HS49" s="1292"/>
      <c r="HT49" s="1292"/>
      <c r="HU49" s="1292"/>
      <c r="HV49" s="1292"/>
      <c r="HW49" s="1292"/>
      <c r="HX49" s="1292"/>
      <c r="HY49" s="1292"/>
      <c r="HZ49" s="1292"/>
      <c r="IA49" s="1292"/>
      <c r="IB49" s="1292"/>
      <c r="IC49" s="1292"/>
      <c r="ID49" s="1292"/>
      <c r="IE49" s="1292"/>
      <c r="IF49" s="1292"/>
      <c r="IG49" s="1292"/>
      <c r="IH49" s="1292"/>
      <c r="II49" s="1292"/>
      <c r="IJ49" s="1292"/>
      <c r="IK49" s="1292"/>
      <c r="IL49" s="1292"/>
      <c r="IM49" s="1292"/>
      <c r="IN49" s="1292"/>
      <c r="IO49" s="1292"/>
      <c r="IP49" s="1292"/>
      <c r="IQ49" s="1292"/>
      <c r="IR49" s="1292"/>
      <c r="IS49" s="1292"/>
      <c r="IT49" s="1292"/>
      <c r="IU49" s="1292"/>
      <c r="IV49" s="1292"/>
    </row>
    <row r="50" spans="1:256">
      <c r="A50" s="1292"/>
      <c r="B50" s="1292"/>
      <c r="C50" s="1292"/>
      <c r="D50" s="1292"/>
      <c r="E50" s="1292"/>
      <c r="F50" s="1292"/>
      <c r="G50" s="1292"/>
      <c r="H50" s="1292"/>
      <c r="I50" s="1292"/>
      <c r="J50" s="1292"/>
      <c r="K50" s="1292"/>
      <c r="L50" s="1292"/>
      <c r="M50" s="1292"/>
      <c r="N50" s="1292"/>
      <c r="O50" s="1292"/>
      <c r="P50" s="1292"/>
      <c r="Q50" s="1292"/>
      <c r="R50" s="1292"/>
      <c r="S50" s="1292"/>
      <c r="T50" s="1292"/>
      <c r="U50" s="1292"/>
      <c r="V50" s="1292"/>
      <c r="W50" s="1292"/>
      <c r="X50" s="1292"/>
      <c r="Y50" s="1292"/>
      <c r="Z50" s="1292"/>
      <c r="AA50" s="1292"/>
      <c r="AB50" s="1292"/>
      <c r="AC50" s="1292"/>
      <c r="AD50" s="1292"/>
      <c r="AE50" s="1292"/>
      <c r="AF50" s="1292"/>
      <c r="AG50" s="1292"/>
      <c r="AH50" s="1292"/>
      <c r="AI50" s="1292"/>
      <c r="AJ50" s="1292"/>
      <c r="AK50" s="1292"/>
      <c r="AL50" s="1292"/>
      <c r="AM50" s="1292"/>
      <c r="AN50" s="1292"/>
      <c r="AO50" s="1292"/>
      <c r="AP50" s="1292"/>
      <c r="AQ50" s="1292"/>
      <c r="AR50" s="1292"/>
      <c r="AS50" s="1292"/>
      <c r="AT50" s="1292"/>
      <c r="AU50" s="1292"/>
      <c r="AV50" s="1292"/>
      <c r="AW50" s="1292"/>
      <c r="AX50" s="1292"/>
      <c r="AY50" s="1292"/>
      <c r="AZ50" s="1292"/>
      <c r="BA50" s="1292"/>
      <c r="BB50" s="1292"/>
      <c r="BC50" s="1292"/>
      <c r="BD50" s="1292"/>
      <c r="BE50" s="1292"/>
      <c r="BF50" s="1292"/>
      <c r="BG50" s="1292"/>
      <c r="BH50" s="1292"/>
      <c r="BI50" s="1292"/>
      <c r="BJ50" s="1292"/>
      <c r="BK50" s="1292"/>
      <c r="BL50" s="1292"/>
      <c r="BM50" s="1292"/>
      <c r="BN50" s="1292"/>
      <c r="BO50" s="1292"/>
      <c r="BP50" s="1292"/>
      <c r="BQ50" s="1292"/>
      <c r="BR50" s="1292"/>
      <c r="BS50" s="1292"/>
      <c r="BT50" s="1292"/>
      <c r="BU50" s="1292"/>
      <c r="BV50" s="1292"/>
      <c r="BW50" s="1292"/>
      <c r="BX50" s="1292"/>
      <c r="BY50" s="1292"/>
      <c r="BZ50" s="1292"/>
      <c r="CA50" s="1292"/>
      <c r="CB50" s="1292"/>
      <c r="CC50" s="1292"/>
      <c r="CD50" s="1292"/>
      <c r="CE50" s="1292"/>
      <c r="CF50" s="1292"/>
      <c r="CG50" s="1292"/>
      <c r="CH50" s="1292"/>
      <c r="CI50" s="1292"/>
      <c r="CJ50" s="1292"/>
      <c r="CK50" s="1292"/>
      <c r="CL50" s="1292"/>
      <c r="CM50" s="1292"/>
      <c r="CN50" s="1292"/>
      <c r="CO50" s="1292"/>
      <c r="CP50" s="1292"/>
      <c r="CQ50" s="1292"/>
      <c r="CR50" s="1292"/>
      <c r="CS50" s="1292"/>
      <c r="CT50" s="1292"/>
      <c r="CU50" s="1292"/>
      <c r="CV50" s="1292"/>
      <c r="CW50" s="1292"/>
      <c r="CX50" s="1292"/>
      <c r="CY50" s="1292"/>
      <c r="CZ50" s="1292"/>
      <c r="DA50" s="1292"/>
      <c r="DB50" s="1292"/>
      <c r="DC50" s="1292"/>
      <c r="DD50" s="1292"/>
      <c r="DE50" s="1292"/>
      <c r="DF50" s="1292"/>
      <c r="DG50" s="1292"/>
      <c r="DH50" s="1292"/>
      <c r="DI50" s="1292"/>
      <c r="DJ50" s="1292"/>
      <c r="DK50" s="1292"/>
      <c r="DL50" s="1292"/>
      <c r="DM50" s="1292"/>
      <c r="DN50" s="1292"/>
      <c r="DO50" s="1292"/>
      <c r="DP50" s="1292"/>
      <c r="DQ50" s="1292"/>
      <c r="DR50" s="1292"/>
      <c r="DS50" s="1292"/>
      <c r="DT50" s="1292"/>
      <c r="DU50" s="1292"/>
      <c r="DV50" s="1292"/>
      <c r="DW50" s="1292"/>
      <c r="DX50" s="1292"/>
      <c r="DY50" s="1292"/>
      <c r="DZ50" s="1292"/>
      <c r="EA50" s="1292"/>
      <c r="EB50" s="1292"/>
      <c r="EC50" s="1292"/>
      <c r="ED50" s="1292"/>
      <c r="EE50" s="1292"/>
      <c r="EF50" s="1292"/>
      <c r="EG50" s="1292"/>
      <c r="EH50" s="1292"/>
      <c r="EI50" s="1292"/>
      <c r="EJ50" s="1292"/>
      <c r="EK50" s="1292"/>
      <c r="EL50" s="1292"/>
      <c r="EM50" s="1292"/>
      <c r="EN50" s="1292"/>
      <c r="EO50" s="1292"/>
      <c r="EP50" s="1292"/>
      <c r="EQ50" s="1292"/>
      <c r="ER50" s="1292"/>
      <c r="ES50" s="1292"/>
      <c r="ET50" s="1292"/>
      <c r="EU50" s="1292"/>
      <c r="EV50" s="1292"/>
      <c r="EW50" s="1292"/>
      <c r="EX50" s="1292"/>
      <c r="EY50" s="1292"/>
      <c r="EZ50" s="1292"/>
      <c r="FA50" s="1292"/>
      <c r="FB50" s="1292"/>
      <c r="FC50" s="1292"/>
      <c r="FD50" s="1292"/>
      <c r="FE50" s="1292"/>
      <c r="FF50" s="1292"/>
      <c r="FG50" s="1292"/>
      <c r="FH50" s="1292"/>
      <c r="FI50" s="1292"/>
      <c r="FJ50" s="1292"/>
      <c r="FK50" s="1292"/>
      <c r="FL50" s="1292"/>
      <c r="FM50" s="1292"/>
      <c r="FN50" s="1292"/>
      <c r="FO50" s="1292"/>
      <c r="FP50" s="1292"/>
      <c r="FQ50" s="1292"/>
      <c r="FR50" s="1292"/>
      <c r="FS50" s="1292"/>
      <c r="FT50" s="1292"/>
      <c r="FU50" s="1292"/>
      <c r="FV50" s="1292"/>
      <c r="FW50" s="1292"/>
      <c r="FX50" s="1292"/>
      <c r="FY50" s="1292"/>
      <c r="FZ50" s="1292"/>
      <c r="GA50" s="1292"/>
      <c r="GB50" s="1292"/>
      <c r="GC50" s="1292"/>
      <c r="GD50" s="1292"/>
      <c r="GE50" s="1292"/>
      <c r="GF50" s="1292"/>
      <c r="GG50" s="1292"/>
      <c r="GH50" s="1292"/>
      <c r="GI50" s="1292"/>
      <c r="GJ50" s="1292"/>
      <c r="GK50" s="1292"/>
      <c r="GL50" s="1292"/>
      <c r="GM50" s="1292"/>
      <c r="GN50" s="1292"/>
      <c r="GO50" s="1292"/>
      <c r="GP50" s="1292"/>
      <c r="GQ50" s="1292"/>
      <c r="GR50" s="1292"/>
      <c r="GS50" s="1292"/>
      <c r="GT50" s="1292"/>
      <c r="GU50" s="1292"/>
      <c r="GV50" s="1292"/>
      <c r="GW50" s="1292"/>
      <c r="GX50" s="1292"/>
      <c r="GY50" s="1292"/>
      <c r="GZ50" s="1292"/>
      <c r="HA50" s="1292"/>
      <c r="HB50" s="1292"/>
      <c r="HC50" s="1292"/>
      <c r="HD50" s="1292"/>
      <c r="HE50" s="1292"/>
      <c r="HF50" s="1292"/>
      <c r="HG50" s="1292"/>
      <c r="HH50" s="1292"/>
      <c r="HI50" s="1292"/>
      <c r="HJ50" s="1292"/>
      <c r="HK50" s="1292"/>
      <c r="HL50" s="1292"/>
      <c r="HM50" s="1292"/>
      <c r="HN50" s="1292"/>
      <c r="HO50" s="1292"/>
      <c r="HP50" s="1292"/>
      <c r="HQ50" s="1292"/>
      <c r="HR50" s="1292"/>
      <c r="HS50" s="1292"/>
      <c r="HT50" s="1292"/>
      <c r="HU50" s="1292"/>
      <c r="HV50" s="1292"/>
      <c r="HW50" s="1292"/>
      <c r="HX50" s="1292"/>
      <c r="HY50" s="1292"/>
      <c r="HZ50" s="1292"/>
      <c r="IA50" s="1292"/>
      <c r="IB50" s="1292"/>
      <c r="IC50" s="1292"/>
      <c r="ID50" s="1292"/>
      <c r="IE50" s="1292"/>
      <c r="IF50" s="1292"/>
      <c r="IG50" s="1292"/>
      <c r="IH50" s="1292"/>
      <c r="II50" s="1292"/>
      <c r="IJ50" s="1292"/>
      <c r="IK50" s="1292"/>
      <c r="IL50" s="1292"/>
      <c r="IM50" s="1292"/>
      <c r="IN50" s="1292"/>
      <c r="IO50" s="1292"/>
      <c r="IP50" s="1292"/>
      <c r="IQ50" s="1292"/>
      <c r="IR50" s="1292"/>
      <c r="IS50" s="1292"/>
      <c r="IT50" s="1292"/>
      <c r="IU50" s="1292"/>
      <c r="IV50" s="1292"/>
    </row>
    <row r="51" spans="1:256">
      <c r="A51" s="1292"/>
      <c r="B51" s="1292"/>
      <c r="C51" s="1292"/>
      <c r="D51" s="1292"/>
      <c r="E51" s="1292"/>
      <c r="F51" s="1292"/>
      <c r="G51" s="1292"/>
      <c r="H51" s="1292"/>
      <c r="I51" s="1292"/>
      <c r="J51" s="1292"/>
      <c r="K51" s="1292"/>
      <c r="L51" s="1292"/>
      <c r="M51" s="1292"/>
      <c r="N51" s="1292"/>
      <c r="O51" s="1292"/>
      <c r="P51" s="1292"/>
      <c r="Q51" s="1292"/>
      <c r="R51" s="1292"/>
      <c r="S51" s="1292"/>
      <c r="T51" s="1292"/>
      <c r="U51" s="1292"/>
      <c r="V51" s="1292"/>
      <c r="W51" s="1292"/>
      <c r="X51" s="1292"/>
      <c r="Y51" s="1292"/>
      <c r="Z51" s="1292"/>
      <c r="AA51" s="1292"/>
      <c r="AB51" s="1292"/>
      <c r="AC51" s="1292"/>
      <c r="AD51" s="1292"/>
      <c r="AE51" s="1292"/>
      <c r="AF51" s="1292"/>
      <c r="AG51" s="1292"/>
      <c r="AH51" s="1292"/>
      <c r="AI51" s="1292"/>
      <c r="AJ51" s="1292"/>
      <c r="AK51" s="1292"/>
      <c r="AL51" s="1292"/>
      <c r="AM51" s="1292"/>
      <c r="AN51" s="1292"/>
      <c r="AO51" s="1292"/>
      <c r="AP51" s="1292"/>
      <c r="AQ51" s="1292"/>
      <c r="AR51" s="1292"/>
      <c r="AS51" s="1292"/>
      <c r="AT51" s="1292"/>
      <c r="AU51" s="1292"/>
      <c r="AV51" s="1292"/>
      <c r="AW51" s="1292"/>
      <c r="AX51" s="1292"/>
      <c r="AY51" s="1292"/>
      <c r="AZ51" s="1292"/>
      <c r="BA51" s="1292"/>
      <c r="BB51" s="1292"/>
      <c r="BC51" s="1292"/>
      <c r="BD51" s="1292"/>
      <c r="BE51" s="1292"/>
      <c r="BF51" s="1292"/>
      <c r="BG51" s="1292"/>
      <c r="BH51" s="1292"/>
      <c r="BI51" s="1292"/>
      <c r="BJ51" s="1292"/>
      <c r="BK51" s="1292"/>
      <c r="BL51" s="1292"/>
      <c r="BM51" s="1292"/>
      <c r="BN51" s="1292"/>
      <c r="BO51" s="1292"/>
      <c r="BP51" s="1292"/>
      <c r="BQ51" s="1292"/>
      <c r="BR51" s="1292"/>
      <c r="BS51" s="1292"/>
      <c r="BT51" s="1292"/>
      <c r="BU51" s="1292"/>
      <c r="BV51" s="1292"/>
      <c r="BW51" s="1292"/>
      <c r="BX51" s="1292"/>
      <c r="BY51" s="1292"/>
      <c r="BZ51" s="1292"/>
      <c r="CA51" s="1292"/>
      <c r="CB51" s="1292"/>
      <c r="CC51" s="1292"/>
      <c r="CD51" s="1292"/>
      <c r="CE51" s="1292"/>
      <c r="CF51" s="1292"/>
      <c r="CG51" s="1292"/>
      <c r="CH51" s="1292"/>
      <c r="CI51" s="1292"/>
      <c r="CJ51" s="1292"/>
      <c r="CK51" s="1292"/>
      <c r="CL51" s="1292"/>
      <c r="CM51" s="1292"/>
      <c r="CN51" s="1292"/>
      <c r="CO51" s="1292"/>
      <c r="CP51" s="1292"/>
      <c r="CQ51" s="1292"/>
      <c r="CR51" s="1292"/>
      <c r="CS51" s="1292"/>
      <c r="CT51" s="1292"/>
      <c r="CU51" s="1292"/>
      <c r="CV51" s="1292"/>
      <c r="CW51" s="1292"/>
      <c r="CX51" s="1292"/>
      <c r="CY51" s="1292"/>
      <c r="CZ51" s="1292"/>
      <c r="DA51" s="1292"/>
      <c r="DB51" s="1292"/>
      <c r="DC51" s="1292"/>
      <c r="DD51" s="1292"/>
      <c r="DE51" s="1292"/>
      <c r="DF51" s="1292"/>
      <c r="DG51" s="1292"/>
      <c r="DH51" s="1292"/>
      <c r="DI51" s="1292"/>
      <c r="DJ51" s="1292"/>
      <c r="DK51" s="1292"/>
      <c r="DL51" s="1292"/>
      <c r="DM51" s="1292"/>
      <c r="DN51" s="1292"/>
      <c r="DO51" s="1292"/>
      <c r="DP51" s="1292"/>
      <c r="DQ51" s="1292"/>
      <c r="DR51" s="1292"/>
      <c r="DS51" s="1292"/>
      <c r="DT51" s="1292"/>
      <c r="DU51" s="1292"/>
      <c r="DV51" s="1292"/>
      <c r="DW51" s="1292"/>
      <c r="DX51" s="1292"/>
      <c r="DY51" s="1292"/>
      <c r="DZ51" s="1292"/>
      <c r="EA51" s="1292"/>
      <c r="EB51" s="1292"/>
      <c r="EC51" s="1292"/>
      <c r="ED51" s="1292"/>
      <c r="EE51" s="1292"/>
      <c r="EF51" s="1292"/>
      <c r="EG51" s="1292"/>
      <c r="EH51" s="1292"/>
      <c r="EI51" s="1292"/>
      <c r="EJ51" s="1292"/>
      <c r="EK51" s="1292"/>
      <c r="EL51" s="1292"/>
      <c r="EM51" s="1292"/>
      <c r="EN51" s="1292"/>
      <c r="EO51" s="1292"/>
      <c r="EP51" s="1292"/>
      <c r="EQ51" s="1292"/>
      <c r="ER51" s="1292"/>
      <c r="ES51" s="1292"/>
      <c r="ET51" s="1292"/>
      <c r="EU51" s="1292"/>
      <c r="EV51" s="1292"/>
      <c r="EW51" s="1292"/>
      <c r="EX51" s="1292"/>
      <c r="EY51" s="1292"/>
      <c r="EZ51" s="1292"/>
      <c r="FA51" s="1292"/>
      <c r="FB51" s="1292"/>
      <c r="FC51" s="1292"/>
      <c r="FD51" s="1292"/>
      <c r="FE51" s="1292"/>
      <c r="FF51" s="1292"/>
      <c r="FG51" s="1292"/>
      <c r="FH51" s="1292"/>
      <c r="FI51" s="1292"/>
      <c r="FJ51" s="1292"/>
      <c r="FK51" s="1292"/>
      <c r="FL51" s="1292"/>
      <c r="FM51" s="1292"/>
      <c r="FN51" s="1292"/>
      <c r="FO51" s="1292"/>
      <c r="FP51" s="1292"/>
      <c r="FQ51" s="1292"/>
      <c r="FR51" s="1292"/>
      <c r="FS51" s="1292"/>
      <c r="FT51" s="1292"/>
      <c r="FU51" s="1292"/>
      <c r="FV51" s="1292"/>
      <c r="FW51" s="1292"/>
      <c r="FX51" s="1292"/>
      <c r="FY51" s="1292"/>
      <c r="FZ51" s="1292"/>
      <c r="GA51" s="1292"/>
      <c r="GB51" s="1292"/>
      <c r="GC51" s="1292"/>
      <c r="GD51" s="1292"/>
      <c r="GE51" s="1292"/>
      <c r="GF51" s="1292"/>
      <c r="GG51" s="1292"/>
      <c r="GH51" s="1292"/>
      <c r="GI51" s="1292"/>
      <c r="GJ51" s="1292"/>
      <c r="GK51" s="1292"/>
      <c r="GL51" s="1292"/>
      <c r="GM51" s="1292"/>
      <c r="GN51" s="1292"/>
      <c r="GO51" s="1292"/>
      <c r="GP51" s="1292"/>
      <c r="GQ51" s="1292"/>
      <c r="GR51" s="1292"/>
      <c r="GS51" s="1292"/>
      <c r="GT51" s="1292"/>
      <c r="GU51" s="1292"/>
      <c r="GV51" s="1292"/>
      <c r="GW51" s="1292"/>
      <c r="GX51" s="1292"/>
      <c r="GY51" s="1292"/>
      <c r="GZ51" s="1292"/>
      <c r="HA51" s="1292"/>
      <c r="HB51" s="1292"/>
      <c r="HC51" s="1292"/>
      <c r="HD51" s="1292"/>
      <c r="HE51" s="1292"/>
      <c r="HF51" s="1292"/>
      <c r="HG51" s="1292"/>
      <c r="HH51" s="1292"/>
      <c r="HI51" s="1292"/>
      <c r="HJ51" s="1292"/>
      <c r="HK51" s="1292"/>
      <c r="HL51" s="1292"/>
      <c r="HM51" s="1292"/>
      <c r="HN51" s="1292"/>
      <c r="HO51" s="1292"/>
      <c r="HP51" s="1292"/>
      <c r="HQ51" s="1292"/>
      <c r="HR51" s="1292"/>
      <c r="HS51" s="1292"/>
      <c r="HT51" s="1292"/>
      <c r="HU51" s="1292"/>
      <c r="HV51" s="1292"/>
      <c r="HW51" s="1292"/>
      <c r="HX51" s="1292"/>
      <c r="HY51" s="1292"/>
      <c r="HZ51" s="1292"/>
      <c r="IA51" s="1292"/>
      <c r="IB51" s="1292"/>
      <c r="IC51" s="1292"/>
      <c r="ID51" s="1292"/>
      <c r="IE51" s="1292"/>
      <c r="IF51" s="1292"/>
      <c r="IG51" s="1292"/>
      <c r="IH51" s="1292"/>
      <c r="II51" s="1292"/>
      <c r="IJ51" s="1292"/>
      <c r="IK51" s="1292"/>
      <c r="IL51" s="1292"/>
      <c r="IM51" s="1292"/>
      <c r="IN51" s="1292"/>
      <c r="IO51" s="1292"/>
      <c r="IP51" s="1292"/>
      <c r="IQ51" s="1292"/>
      <c r="IR51" s="1292"/>
      <c r="IS51" s="1292"/>
      <c r="IT51" s="1292"/>
      <c r="IU51" s="1292"/>
      <c r="IV51" s="1292"/>
    </row>
    <row r="52" spans="1:256">
      <c r="A52" s="1292"/>
      <c r="B52" s="1292"/>
      <c r="C52" s="1292"/>
      <c r="D52" s="1292"/>
      <c r="E52" s="1292"/>
      <c r="F52" s="1292"/>
      <c r="G52" s="1292"/>
      <c r="H52" s="1292"/>
      <c r="I52" s="1292"/>
      <c r="J52" s="1292"/>
      <c r="K52" s="1292"/>
      <c r="L52" s="1292"/>
      <c r="M52" s="1292"/>
      <c r="N52" s="1292"/>
      <c r="O52" s="1292"/>
      <c r="P52" s="1292"/>
      <c r="Q52" s="1292"/>
      <c r="R52" s="1292"/>
      <c r="S52" s="1292"/>
      <c r="T52" s="1292"/>
      <c r="U52" s="1292"/>
      <c r="V52" s="1292"/>
      <c r="W52" s="1292"/>
      <c r="X52" s="1292"/>
      <c r="Y52" s="1292"/>
      <c r="Z52" s="1292"/>
      <c r="AA52" s="1292"/>
      <c r="AB52" s="1292"/>
      <c r="AC52" s="1292"/>
      <c r="AD52" s="1292"/>
      <c r="AE52" s="1292"/>
      <c r="AF52" s="1292"/>
      <c r="AG52" s="1292"/>
      <c r="AH52" s="1292"/>
      <c r="AI52" s="1292"/>
      <c r="AJ52" s="1292"/>
      <c r="AK52" s="1292"/>
      <c r="AL52" s="1292"/>
      <c r="AM52" s="1292"/>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2"/>
      <c r="BQ52" s="1292"/>
      <c r="BR52" s="1292"/>
      <c r="BS52" s="1292"/>
      <c r="BT52" s="1292"/>
      <c r="BU52" s="1292"/>
      <c r="BV52" s="1292"/>
      <c r="BW52" s="1292"/>
      <c r="BX52" s="1292"/>
      <c r="BY52" s="1292"/>
      <c r="BZ52" s="1292"/>
      <c r="CA52" s="1292"/>
      <c r="CB52" s="1292"/>
      <c r="CC52" s="1292"/>
      <c r="CD52" s="1292"/>
      <c r="CE52" s="1292"/>
      <c r="CF52" s="1292"/>
      <c r="CG52" s="1292"/>
      <c r="CH52" s="1292"/>
      <c r="CI52" s="1292"/>
      <c r="CJ52" s="1292"/>
      <c r="CK52" s="1292"/>
      <c r="CL52" s="1292"/>
      <c r="CM52" s="1292"/>
      <c r="CN52" s="1292"/>
      <c r="CO52" s="1292"/>
      <c r="CP52" s="1292"/>
      <c r="CQ52" s="1292"/>
      <c r="CR52" s="1292"/>
      <c r="CS52" s="1292"/>
      <c r="CT52" s="1292"/>
      <c r="CU52" s="1292"/>
      <c r="CV52" s="1292"/>
      <c r="CW52" s="1292"/>
      <c r="CX52" s="1292"/>
      <c r="CY52" s="1292"/>
      <c r="CZ52" s="1292"/>
      <c r="DA52" s="1292"/>
      <c r="DB52" s="1292"/>
      <c r="DC52" s="1292"/>
      <c r="DD52" s="1292"/>
      <c r="DE52" s="1292"/>
      <c r="DF52" s="1292"/>
      <c r="DG52" s="1292"/>
      <c r="DH52" s="1292"/>
      <c r="DI52" s="1292"/>
      <c r="DJ52" s="1292"/>
      <c r="DK52" s="1292"/>
      <c r="DL52" s="1292"/>
      <c r="DM52" s="1292"/>
      <c r="DN52" s="1292"/>
      <c r="DO52" s="1292"/>
      <c r="DP52" s="1292"/>
      <c r="DQ52" s="1292"/>
      <c r="DR52" s="1292"/>
      <c r="DS52" s="1292"/>
      <c r="DT52" s="1292"/>
      <c r="DU52" s="1292"/>
      <c r="DV52" s="1292"/>
      <c r="DW52" s="1292"/>
      <c r="DX52" s="1292"/>
      <c r="DY52" s="1292"/>
      <c r="DZ52" s="1292"/>
      <c r="EA52" s="1292"/>
      <c r="EB52" s="1292"/>
      <c r="EC52" s="1292"/>
      <c r="ED52" s="1292"/>
      <c r="EE52" s="1292"/>
      <c r="EF52" s="1292"/>
      <c r="EG52" s="1292"/>
      <c r="EH52" s="1292"/>
      <c r="EI52" s="1292"/>
      <c r="EJ52" s="1292"/>
      <c r="EK52" s="1292"/>
      <c r="EL52" s="1292"/>
      <c r="EM52" s="1292"/>
      <c r="EN52" s="1292"/>
      <c r="EO52" s="1292"/>
      <c r="EP52" s="1292"/>
      <c r="EQ52" s="1292"/>
      <c r="ER52" s="1292"/>
      <c r="ES52" s="1292"/>
      <c r="ET52" s="1292"/>
      <c r="EU52" s="1292"/>
      <c r="EV52" s="1292"/>
      <c r="EW52" s="1292"/>
      <c r="EX52" s="1292"/>
      <c r="EY52" s="1292"/>
      <c r="EZ52" s="1292"/>
      <c r="FA52" s="1292"/>
      <c r="FB52" s="1292"/>
      <c r="FC52" s="1292"/>
      <c r="FD52" s="1292"/>
      <c r="FE52" s="1292"/>
      <c r="FF52" s="1292"/>
      <c r="FG52" s="1292"/>
      <c r="FH52" s="1292"/>
      <c r="FI52" s="1292"/>
      <c r="FJ52" s="1292"/>
      <c r="FK52" s="1292"/>
      <c r="FL52" s="1292"/>
      <c r="FM52" s="1292"/>
      <c r="FN52" s="1292"/>
      <c r="FO52" s="1292"/>
      <c r="FP52" s="1292"/>
      <c r="FQ52" s="1292"/>
      <c r="FR52" s="1292"/>
      <c r="FS52" s="1292"/>
      <c r="FT52" s="1292"/>
      <c r="FU52" s="1292"/>
      <c r="FV52" s="1292"/>
      <c r="FW52" s="1292"/>
      <c r="FX52" s="1292"/>
      <c r="FY52" s="1292"/>
      <c r="FZ52" s="1292"/>
      <c r="GA52" s="1292"/>
      <c r="GB52" s="1292"/>
      <c r="GC52" s="1292"/>
      <c r="GD52" s="1292"/>
      <c r="GE52" s="1292"/>
      <c r="GF52" s="1292"/>
      <c r="GG52" s="1292"/>
      <c r="GH52" s="1292"/>
      <c r="GI52" s="1292"/>
      <c r="GJ52" s="1292"/>
      <c r="GK52" s="1292"/>
      <c r="GL52" s="1292"/>
      <c r="GM52" s="1292"/>
      <c r="GN52" s="1292"/>
      <c r="GO52" s="1292"/>
      <c r="GP52" s="1292"/>
      <c r="GQ52" s="1292"/>
      <c r="GR52" s="1292"/>
      <c r="GS52" s="1292"/>
      <c r="GT52" s="1292"/>
      <c r="GU52" s="1292"/>
      <c r="GV52" s="1292"/>
      <c r="GW52" s="1292"/>
      <c r="GX52" s="1292"/>
      <c r="GY52" s="1292"/>
      <c r="GZ52" s="1292"/>
      <c r="HA52" s="1292"/>
      <c r="HB52" s="1292"/>
      <c r="HC52" s="1292"/>
      <c r="HD52" s="1292"/>
      <c r="HE52" s="1292"/>
      <c r="HF52" s="1292"/>
      <c r="HG52" s="1292"/>
      <c r="HH52" s="1292"/>
      <c r="HI52" s="1292"/>
      <c r="HJ52" s="1292"/>
      <c r="HK52" s="1292"/>
      <c r="HL52" s="1292"/>
      <c r="HM52" s="1292"/>
      <c r="HN52" s="1292"/>
      <c r="HO52" s="1292"/>
      <c r="HP52" s="1292"/>
      <c r="HQ52" s="1292"/>
      <c r="HR52" s="1292"/>
      <c r="HS52" s="1292"/>
      <c r="HT52" s="1292"/>
      <c r="HU52" s="1292"/>
      <c r="HV52" s="1292"/>
      <c r="HW52" s="1292"/>
      <c r="HX52" s="1292"/>
      <c r="HY52" s="1292"/>
      <c r="HZ52" s="1292"/>
      <c r="IA52" s="1292"/>
      <c r="IB52" s="1292"/>
      <c r="IC52" s="1292"/>
      <c r="ID52" s="1292"/>
      <c r="IE52" s="1292"/>
      <c r="IF52" s="1292"/>
      <c r="IG52" s="1292"/>
      <c r="IH52" s="1292"/>
      <c r="II52" s="1292"/>
      <c r="IJ52" s="1292"/>
      <c r="IK52" s="1292"/>
      <c r="IL52" s="1292"/>
      <c r="IM52" s="1292"/>
      <c r="IN52" s="1292"/>
      <c r="IO52" s="1292"/>
      <c r="IP52" s="1292"/>
      <c r="IQ52" s="1292"/>
      <c r="IR52" s="1292"/>
      <c r="IS52" s="1292"/>
      <c r="IT52" s="1292"/>
      <c r="IU52" s="1292"/>
      <c r="IV52" s="1292"/>
    </row>
    <row r="53" spans="1:256">
      <c r="A53" s="1292"/>
      <c r="B53" s="1292"/>
      <c r="C53" s="1292"/>
      <c r="D53" s="1292"/>
      <c r="E53" s="1292"/>
      <c r="F53" s="1292"/>
      <c r="G53" s="1292"/>
      <c r="H53" s="1292"/>
      <c r="I53" s="1292"/>
      <c r="J53" s="1292"/>
      <c r="K53" s="1292"/>
      <c r="L53" s="1292"/>
      <c r="M53" s="1292"/>
      <c r="N53" s="1292"/>
      <c r="O53" s="1292"/>
      <c r="P53" s="1292"/>
      <c r="Q53" s="1292"/>
      <c r="R53" s="1292"/>
      <c r="S53" s="1292"/>
      <c r="T53" s="1292"/>
      <c r="U53" s="1292"/>
      <c r="V53" s="1292"/>
      <c r="W53" s="1292"/>
      <c r="X53" s="1292"/>
      <c r="Y53" s="1292"/>
      <c r="Z53" s="1292"/>
      <c r="AA53" s="1292"/>
      <c r="AB53" s="1292"/>
      <c r="AC53" s="1292"/>
      <c r="AD53" s="1292"/>
      <c r="AE53" s="1292"/>
      <c r="AF53" s="1292"/>
      <c r="AG53" s="1292"/>
      <c r="AH53" s="1292"/>
      <c r="AI53" s="1292"/>
      <c r="AJ53" s="1292"/>
      <c r="AK53" s="1292"/>
      <c r="AL53" s="1292"/>
      <c r="AM53" s="1292"/>
      <c r="AN53" s="1292"/>
      <c r="AO53" s="1292"/>
      <c r="AP53" s="1292"/>
      <c r="AQ53" s="1292"/>
      <c r="AR53" s="1292"/>
      <c r="AS53" s="1292"/>
      <c r="AT53" s="1292"/>
      <c r="AU53" s="1292"/>
      <c r="AV53" s="1292"/>
      <c r="AW53" s="1292"/>
      <c r="AX53" s="1292"/>
      <c r="AY53" s="1292"/>
      <c r="AZ53" s="1292"/>
      <c r="BA53" s="1292"/>
      <c r="BB53" s="1292"/>
      <c r="BC53" s="1292"/>
      <c r="BD53" s="1292"/>
      <c r="BE53" s="1292"/>
      <c r="BF53" s="1292"/>
      <c r="BG53" s="1292"/>
      <c r="BH53" s="1292"/>
      <c r="BI53" s="1292"/>
      <c r="BJ53" s="1292"/>
      <c r="BK53" s="1292"/>
      <c r="BL53" s="1292"/>
      <c r="BM53" s="1292"/>
      <c r="BN53" s="1292"/>
      <c r="BO53" s="1292"/>
      <c r="BP53" s="1292"/>
      <c r="BQ53" s="1292"/>
      <c r="BR53" s="1292"/>
      <c r="BS53" s="1292"/>
      <c r="BT53" s="1292"/>
      <c r="BU53" s="1292"/>
      <c r="BV53" s="1292"/>
      <c r="BW53" s="1292"/>
      <c r="BX53" s="1292"/>
      <c r="BY53" s="1292"/>
      <c r="BZ53" s="1292"/>
      <c r="CA53" s="1292"/>
      <c r="CB53" s="1292"/>
      <c r="CC53" s="1292"/>
      <c r="CD53" s="1292"/>
      <c r="CE53" s="1292"/>
      <c r="CF53" s="1292"/>
      <c r="CG53" s="1292"/>
      <c r="CH53" s="1292"/>
      <c r="CI53" s="1292"/>
      <c r="CJ53" s="1292"/>
      <c r="CK53" s="1292"/>
      <c r="CL53" s="1292"/>
      <c r="CM53" s="1292"/>
      <c r="CN53" s="1292"/>
      <c r="CO53" s="1292"/>
      <c r="CP53" s="1292"/>
      <c r="CQ53" s="1292"/>
      <c r="CR53" s="1292"/>
      <c r="CS53" s="1292"/>
      <c r="CT53" s="1292"/>
      <c r="CU53" s="1292"/>
      <c r="CV53" s="1292"/>
      <c r="CW53" s="1292"/>
      <c r="CX53" s="1292"/>
      <c r="CY53" s="1292"/>
      <c r="CZ53" s="1292"/>
      <c r="DA53" s="1292"/>
      <c r="DB53" s="1292"/>
      <c r="DC53" s="1292"/>
      <c r="DD53" s="1292"/>
      <c r="DE53" s="1292"/>
      <c r="DF53" s="1292"/>
      <c r="DG53" s="1292"/>
      <c r="DH53" s="1292"/>
      <c r="DI53" s="1292"/>
      <c r="DJ53" s="1292"/>
      <c r="DK53" s="1292"/>
      <c r="DL53" s="1292"/>
      <c r="DM53" s="1292"/>
      <c r="DN53" s="1292"/>
      <c r="DO53" s="1292"/>
      <c r="DP53" s="1292"/>
      <c r="DQ53" s="1292"/>
      <c r="DR53" s="1292"/>
      <c r="DS53" s="1292"/>
      <c r="DT53" s="1292"/>
      <c r="DU53" s="1292"/>
      <c r="DV53" s="1292"/>
      <c r="DW53" s="1292"/>
      <c r="DX53" s="1292"/>
      <c r="DY53" s="1292"/>
      <c r="DZ53" s="1292"/>
      <c r="EA53" s="1292"/>
      <c r="EB53" s="1292"/>
      <c r="EC53" s="1292"/>
      <c r="ED53" s="1292"/>
      <c r="EE53" s="1292"/>
      <c r="EF53" s="1292"/>
      <c r="EG53" s="1292"/>
      <c r="EH53" s="1292"/>
      <c r="EI53" s="1292"/>
      <c r="EJ53" s="1292"/>
      <c r="EK53" s="1292"/>
      <c r="EL53" s="1292"/>
      <c r="EM53" s="1292"/>
      <c r="EN53" s="1292"/>
      <c r="EO53" s="1292"/>
      <c r="EP53" s="1292"/>
      <c r="EQ53" s="1292"/>
      <c r="ER53" s="1292"/>
      <c r="ES53" s="1292"/>
      <c r="ET53" s="1292"/>
      <c r="EU53" s="1292"/>
      <c r="EV53" s="1292"/>
      <c r="EW53" s="1292"/>
      <c r="EX53" s="1292"/>
      <c r="EY53" s="1292"/>
      <c r="EZ53" s="1292"/>
      <c r="FA53" s="1292"/>
      <c r="FB53" s="1292"/>
      <c r="FC53" s="1292"/>
      <c r="FD53" s="1292"/>
      <c r="FE53" s="1292"/>
      <c r="FF53" s="1292"/>
      <c r="FG53" s="1292"/>
      <c r="FH53" s="1292"/>
      <c r="FI53" s="1292"/>
      <c r="FJ53" s="1292"/>
      <c r="FK53" s="1292"/>
      <c r="FL53" s="1292"/>
      <c r="FM53" s="1292"/>
      <c r="FN53" s="1292"/>
      <c r="FO53" s="1292"/>
      <c r="FP53" s="1292"/>
      <c r="FQ53" s="1292"/>
      <c r="FR53" s="1292"/>
      <c r="FS53" s="1292"/>
      <c r="FT53" s="1292"/>
      <c r="FU53" s="1292"/>
      <c r="FV53" s="1292"/>
      <c r="FW53" s="1292"/>
      <c r="FX53" s="1292"/>
      <c r="FY53" s="1292"/>
      <c r="FZ53" s="1292"/>
      <c r="GA53" s="1292"/>
      <c r="GB53" s="1292"/>
      <c r="GC53" s="1292"/>
      <c r="GD53" s="1292"/>
      <c r="GE53" s="1292"/>
      <c r="GF53" s="1292"/>
      <c r="GG53" s="1292"/>
      <c r="GH53" s="1292"/>
      <c r="GI53" s="1292"/>
      <c r="GJ53" s="1292"/>
      <c r="GK53" s="1292"/>
      <c r="GL53" s="1292"/>
      <c r="GM53" s="1292"/>
      <c r="GN53" s="1292"/>
      <c r="GO53" s="1292"/>
      <c r="GP53" s="1292"/>
      <c r="GQ53" s="1292"/>
      <c r="GR53" s="1292"/>
      <c r="GS53" s="1292"/>
      <c r="GT53" s="1292"/>
      <c r="GU53" s="1292"/>
      <c r="GV53" s="1292"/>
      <c r="GW53" s="1292"/>
      <c r="GX53" s="1292"/>
      <c r="GY53" s="1292"/>
      <c r="GZ53" s="1292"/>
      <c r="HA53" s="1292"/>
      <c r="HB53" s="1292"/>
      <c r="HC53" s="1292"/>
      <c r="HD53" s="1292"/>
      <c r="HE53" s="1292"/>
      <c r="HF53" s="1292"/>
      <c r="HG53" s="1292"/>
      <c r="HH53" s="1292"/>
      <c r="HI53" s="1292"/>
      <c r="HJ53" s="1292"/>
      <c r="HK53" s="1292"/>
      <c r="HL53" s="1292"/>
      <c r="HM53" s="1292"/>
      <c r="HN53" s="1292"/>
      <c r="HO53" s="1292"/>
      <c r="HP53" s="1292"/>
      <c r="HQ53" s="1292"/>
      <c r="HR53" s="1292"/>
      <c r="HS53" s="1292"/>
      <c r="HT53" s="1292"/>
      <c r="HU53" s="1292"/>
      <c r="HV53" s="1292"/>
      <c r="HW53" s="1292"/>
      <c r="HX53" s="1292"/>
      <c r="HY53" s="1292"/>
      <c r="HZ53" s="1292"/>
      <c r="IA53" s="1292"/>
      <c r="IB53" s="1292"/>
      <c r="IC53" s="1292"/>
      <c r="ID53" s="1292"/>
      <c r="IE53" s="1292"/>
      <c r="IF53" s="1292"/>
      <c r="IG53" s="1292"/>
      <c r="IH53" s="1292"/>
      <c r="II53" s="1292"/>
      <c r="IJ53" s="1292"/>
      <c r="IK53" s="1292"/>
      <c r="IL53" s="1292"/>
      <c r="IM53" s="1292"/>
      <c r="IN53" s="1292"/>
      <c r="IO53" s="1292"/>
      <c r="IP53" s="1292"/>
      <c r="IQ53" s="1292"/>
      <c r="IR53" s="1292"/>
      <c r="IS53" s="1292"/>
      <c r="IT53" s="1292"/>
      <c r="IU53" s="1292"/>
      <c r="IV53" s="1292"/>
    </row>
    <row r="54" spans="1:256">
      <c r="A54" s="1292"/>
      <c r="B54" s="1292"/>
      <c r="C54" s="1292"/>
      <c r="D54" s="1292"/>
      <c r="E54" s="1292"/>
      <c r="F54" s="1292"/>
      <c r="G54" s="1292"/>
      <c r="H54" s="1292"/>
      <c r="I54" s="1292"/>
      <c r="J54" s="1292"/>
      <c r="K54" s="1292"/>
      <c r="L54" s="1292"/>
      <c r="M54" s="1292"/>
      <c r="N54" s="1292"/>
      <c r="O54" s="1292"/>
      <c r="P54" s="1292"/>
      <c r="Q54" s="1292"/>
      <c r="R54" s="1292"/>
      <c r="S54" s="1292"/>
      <c r="T54" s="1292"/>
      <c r="U54" s="1292"/>
      <c r="V54" s="1292"/>
      <c r="W54" s="1292"/>
      <c r="X54" s="1292"/>
      <c r="Y54" s="1292"/>
      <c r="Z54" s="1292"/>
      <c r="AA54" s="1292"/>
      <c r="AB54" s="1292"/>
      <c r="AC54" s="1292"/>
      <c r="AD54" s="1292"/>
      <c r="AE54" s="1292"/>
      <c r="AF54" s="1292"/>
      <c r="AG54" s="1292"/>
      <c r="AH54" s="1292"/>
      <c r="AI54" s="1292"/>
      <c r="AJ54" s="1292"/>
      <c r="AK54" s="1292"/>
      <c r="AL54" s="1292"/>
      <c r="AM54" s="1292"/>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2"/>
      <c r="BQ54" s="1292"/>
      <c r="BR54" s="1292"/>
      <c r="BS54" s="1292"/>
      <c r="BT54" s="1292"/>
      <c r="BU54" s="1292"/>
      <c r="BV54" s="1292"/>
      <c r="BW54" s="1292"/>
      <c r="BX54" s="1292"/>
      <c r="BY54" s="1292"/>
      <c r="BZ54" s="1292"/>
      <c r="CA54" s="1292"/>
      <c r="CB54" s="1292"/>
      <c r="CC54" s="1292"/>
      <c r="CD54" s="1292"/>
      <c r="CE54" s="1292"/>
      <c r="CF54" s="1292"/>
      <c r="CG54" s="1292"/>
      <c r="CH54" s="1292"/>
      <c r="CI54" s="1292"/>
      <c r="CJ54" s="1292"/>
      <c r="CK54" s="1292"/>
      <c r="CL54" s="1292"/>
      <c r="CM54" s="1292"/>
      <c r="CN54" s="1292"/>
      <c r="CO54" s="1292"/>
      <c r="CP54" s="1292"/>
      <c r="CQ54" s="1292"/>
      <c r="CR54" s="1292"/>
      <c r="CS54" s="1292"/>
      <c r="CT54" s="1292"/>
      <c r="CU54" s="1292"/>
      <c r="CV54" s="1292"/>
      <c r="CW54" s="1292"/>
      <c r="CX54" s="1292"/>
      <c r="CY54" s="1292"/>
      <c r="CZ54" s="1292"/>
      <c r="DA54" s="1292"/>
      <c r="DB54" s="1292"/>
      <c r="DC54" s="1292"/>
      <c r="DD54" s="1292"/>
      <c r="DE54" s="1292"/>
      <c r="DF54" s="1292"/>
      <c r="DG54" s="1292"/>
      <c r="DH54" s="1292"/>
      <c r="DI54" s="1292"/>
      <c r="DJ54" s="1292"/>
      <c r="DK54" s="1292"/>
      <c r="DL54" s="1292"/>
      <c r="DM54" s="1292"/>
      <c r="DN54" s="1292"/>
      <c r="DO54" s="1292"/>
      <c r="DP54" s="1292"/>
      <c r="DQ54" s="1292"/>
      <c r="DR54" s="1292"/>
      <c r="DS54" s="1292"/>
      <c r="DT54" s="1292"/>
      <c r="DU54" s="1292"/>
      <c r="DV54" s="1292"/>
      <c r="DW54" s="1292"/>
      <c r="DX54" s="1292"/>
      <c r="DY54" s="1292"/>
      <c r="DZ54" s="1292"/>
      <c r="EA54" s="1292"/>
      <c r="EB54" s="1292"/>
      <c r="EC54" s="1292"/>
      <c r="ED54" s="1292"/>
      <c r="EE54" s="1292"/>
      <c r="EF54" s="1292"/>
      <c r="EG54" s="1292"/>
      <c r="EH54" s="1292"/>
      <c r="EI54" s="1292"/>
      <c r="EJ54" s="1292"/>
      <c r="EK54" s="1292"/>
      <c r="EL54" s="1292"/>
      <c r="EM54" s="1292"/>
      <c r="EN54" s="1292"/>
      <c r="EO54" s="1292"/>
      <c r="EP54" s="1292"/>
      <c r="EQ54" s="1292"/>
      <c r="ER54" s="1292"/>
      <c r="ES54" s="1292"/>
      <c r="ET54" s="1292"/>
      <c r="EU54" s="1292"/>
      <c r="EV54" s="1292"/>
      <c r="EW54" s="1292"/>
      <c r="EX54" s="1292"/>
      <c r="EY54" s="1292"/>
      <c r="EZ54" s="1292"/>
      <c r="FA54" s="1292"/>
      <c r="FB54" s="1292"/>
      <c r="FC54" s="1292"/>
      <c r="FD54" s="1292"/>
      <c r="FE54" s="1292"/>
      <c r="FF54" s="1292"/>
      <c r="FG54" s="1292"/>
      <c r="FH54" s="1292"/>
      <c r="FI54" s="1292"/>
      <c r="FJ54" s="1292"/>
      <c r="FK54" s="1292"/>
      <c r="FL54" s="1292"/>
      <c r="FM54" s="1292"/>
      <c r="FN54" s="1292"/>
      <c r="FO54" s="1292"/>
      <c r="FP54" s="1292"/>
      <c r="FQ54" s="1292"/>
      <c r="FR54" s="1292"/>
      <c r="FS54" s="1292"/>
      <c r="FT54" s="1292"/>
      <c r="FU54" s="1292"/>
      <c r="FV54" s="1292"/>
      <c r="FW54" s="1292"/>
      <c r="FX54" s="1292"/>
      <c r="FY54" s="1292"/>
      <c r="FZ54" s="1292"/>
      <c r="GA54" s="1292"/>
      <c r="GB54" s="1292"/>
      <c r="GC54" s="1292"/>
      <c r="GD54" s="1292"/>
      <c r="GE54" s="1292"/>
      <c r="GF54" s="1292"/>
      <c r="GG54" s="1292"/>
      <c r="GH54" s="1292"/>
      <c r="GI54" s="1292"/>
      <c r="GJ54" s="1292"/>
      <c r="GK54" s="1292"/>
      <c r="GL54" s="1292"/>
      <c r="GM54" s="1292"/>
      <c r="GN54" s="1292"/>
      <c r="GO54" s="1292"/>
      <c r="GP54" s="1292"/>
      <c r="GQ54" s="1292"/>
      <c r="GR54" s="1292"/>
      <c r="GS54" s="1292"/>
      <c r="GT54" s="1292"/>
      <c r="GU54" s="1292"/>
      <c r="GV54" s="1292"/>
      <c r="GW54" s="1292"/>
      <c r="GX54" s="1292"/>
      <c r="GY54" s="1292"/>
      <c r="GZ54" s="1292"/>
      <c r="HA54" s="1292"/>
      <c r="HB54" s="1292"/>
      <c r="HC54" s="1292"/>
      <c r="HD54" s="1292"/>
      <c r="HE54" s="1292"/>
      <c r="HF54" s="1292"/>
      <c r="HG54" s="1292"/>
      <c r="HH54" s="1292"/>
      <c r="HI54" s="1292"/>
      <c r="HJ54" s="1292"/>
      <c r="HK54" s="1292"/>
      <c r="HL54" s="1292"/>
      <c r="HM54" s="1292"/>
      <c r="HN54" s="1292"/>
      <c r="HO54" s="1292"/>
      <c r="HP54" s="1292"/>
      <c r="HQ54" s="1292"/>
      <c r="HR54" s="1292"/>
      <c r="HS54" s="1292"/>
      <c r="HT54" s="1292"/>
      <c r="HU54" s="1292"/>
      <c r="HV54" s="1292"/>
      <c r="HW54" s="1292"/>
      <c r="HX54" s="1292"/>
      <c r="HY54" s="1292"/>
      <c r="HZ54" s="1292"/>
      <c r="IA54" s="1292"/>
      <c r="IB54" s="1292"/>
      <c r="IC54" s="1292"/>
      <c r="ID54" s="1292"/>
      <c r="IE54" s="1292"/>
      <c r="IF54" s="1292"/>
      <c r="IG54" s="1292"/>
      <c r="IH54" s="1292"/>
      <c r="II54" s="1292"/>
      <c r="IJ54" s="1292"/>
      <c r="IK54" s="1292"/>
      <c r="IL54" s="1292"/>
      <c r="IM54" s="1292"/>
      <c r="IN54" s="1292"/>
      <c r="IO54" s="1292"/>
      <c r="IP54" s="1292"/>
      <c r="IQ54" s="1292"/>
      <c r="IR54" s="1292"/>
      <c r="IS54" s="1292"/>
      <c r="IT54" s="1292"/>
      <c r="IU54" s="1292"/>
      <c r="IV54" s="1292"/>
    </row>
    <row r="55" spans="1:256">
      <c r="A55" s="1292"/>
      <c r="B55" s="1292"/>
      <c r="C55" s="1292"/>
      <c r="D55" s="1292"/>
      <c r="E55" s="1292"/>
      <c r="F55" s="1292"/>
      <c r="G55" s="1292"/>
      <c r="H55" s="1292"/>
      <c r="I55" s="1292"/>
      <c r="J55" s="1292"/>
      <c r="K55" s="1292"/>
      <c r="L55" s="1292"/>
      <c r="M55" s="1292"/>
      <c r="N55" s="1292"/>
      <c r="O55" s="1292"/>
      <c r="P55" s="1292"/>
      <c r="Q55" s="1292"/>
      <c r="R55" s="1292"/>
      <c r="S55" s="1292"/>
      <c r="T55" s="1292"/>
      <c r="U55" s="1292"/>
      <c r="V55" s="1292"/>
      <c r="W55" s="1292"/>
      <c r="X55" s="1292"/>
      <c r="Y55" s="1292"/>
      <c r="Z55" s="1292"/>
      <c r="AA55" s="1292"/>
      <c r="AB55" s="1292"/>
      <c r="AC55" s="1292"/>
      <c r="AD55" s="1292"/>
      <c r="AE55" s="1292"/>
      <c r="AF55" s="1292"/>
      <c r="AG55" s="1292"/>
      <c r="AH55" s="1292"/>
      <c r="AI55" s="1292"/>
      <c r="AJ55" s="1292"/>
      <c r="AK55" s="1292"/>
      <c r="AL55" s="1292"/>
      <c r="AM55" s="1292"/>
      <c r="AN55" s="1292"/>
      <c r="AO55" s="1292"/>
      <c r="AP55" s="1292"/>
      <c r="AQ55" s="1292"/>
      <c r="AR55" s="1292"/>
      <c r="AS55" s="1292"/>
      <c r="AT55" s="1292"/>
      <c r="AU55" s="1292"/>
      <c r="AV55" s="1292"/>
      <c r="AW55" s="1292"/>
      <c r="AX55" s="1292"/>
      <c r="AY55" s="1292"/>
      <c r="AZ55" s="1292"/>
      <c r="BA55" s="1292"/>
      <c r="BB55" s="1292"/>
      <c r="BC55" s="1292"/>
      <c r="BD55" s="1292"/>
      <c r="BE55" s="1292"/>
      <c r="BF55" s="1292"/>
      <c r="BG55" s="1292"/>
      <c r="BH55" s="1292"/>
      <c r="BI55" s="1292"/>
      <c r="BJ55" s="1292"/>
      <c r="BK55" s="1292"/>
      <c r="BL55" s="1292"/>
      <c r="BM55" s="1292"/>
      <c r="BN55" s="1292"/>
      <c r="BO55" s="1292"/>
      <c r="BP55" s="1292"/>
      <c r="BQ55" s="1292"/>
      <c r="BR55" s="1292"/>
      <c r="BS55" s="1292"/>
      <c r="BT55" s="1292"/>
      <c r="BU55" s="1292"/>
      <c r="BV55" s="1292"/>
      <c r="BW55" s="1292"/>
      <c r="BX55" s="1292"/>
      <c r="BY55" s="1292"/>
      <c r="BZ55" s="1292"/>
      <c r="CA55" s="1292"/>
      <c r="CB55" s="1292"/>
      <c r="CC55" s="1292"/>
      <c r="CD55" s="1292"/>
      <c r="CE55" s="1292"/>
      <c r="CF55" s="1292"/>
      <c r="CG55" s="1292"/>
      <c r="CH55" s="1292"/>
      <c r="CI55" s="1292"/>
      <c r="CJ55" s="1292"/>
      <c r="CK55" s="1292"/>
      <c r="CL55" s="1292"/>
      <c r="CM55" s="1292"/>
      <c r="CN55" s="1292"/>
      <c r="CO55" s="1292"/>
      <c r="CP55" s="1292"/>
      <c r="CQ55" s="1292"/>
      <c r="CR55" s="1292"/>
      <c r="CS55" s="1292"/>
      <c r="CT55" s="1292"/>
      <c r="CU55" s="1292"/>
      <c r="CV55" s="1292"/>
      <c r="CW55" s="1292"/>
      <c r="CX55" s="1292"/>
      <c r="CY55" s="1292"/>
      <c r="CZ55" s="1292"/>
      <c r="DA55" s="1292"/>
      <c r="DB55" s="1292"/>
      <c r="DC55" s="1292"/>
      <c r="DD55" s="1292"/>
      <c r="DE55" s="1292"/>
      <c r="DF55" s="1292"/>
      <c r="DG55" s="1292"/>
      <c r="DH55" s="1292"/>
      <c r="DI55" s="1292"/>
      <c r="DJ55" s="1292"/>
      <c r="DK55" s="1292"/>
      <c r="DL55" s="1292"/>
      <c r="DM55" s="1292"/>
      <c r="DN55" s="1292"/>
      <c r="DO55" s="1292"/>
      <c r="DP55" s="1292"/>
      <c r="DQ55" s="1292"/>
      <c r="DR55" s="1292"/>
      <c r="DS55" s="1292"/>
      <c r="DT55" s="1292"/>
      <c r="DU55" s="1292"/>
      <c r="DV55" s="1292"/>
      <c r="DW55" s="1292"/>
      <c r="DX55" s="1292"/>
      <c r="DY55" s="1292"/>
      <c r="DZ55" s="1292"/>
      <c r="EA55" s="1292"/>
      <c r="EB55" s="1292"/>
      <c r="EC55" s="1292"/>
      <c r="ED55" s="1292"/>
      <c r="EE55" s="1292"/>
      <c r="EF55" s="1292"/>
      <c r="EG55" s="1292"/>
      <c r="EH55" s="1292"/>
      <c r="EI55" s="1292"/>
      <c r="EJ55" s="1292"/>
      <c r="EK55" s="1292"/>
      <c r="EL55" s="1292"/>
      <c r="EM55" s="1292"/>
      <c r="EN55" s="1292"/>
      <c r="EO55" s="1292"/>
      <c r="EP55" s="1292"/>
      <c r="EQ55" s="1292"/>
      <c r="ER55" s="1292"/>
      <c r="ES55" s="1292"/>
      <c r="ET55" s="1292"/>
      <c r="EU55" s="1292"/>
      <c r="EV55" s="1292"/>
      <c r="EW55" s="1292"/>
      <c r="EX55" s="1292"/>
      <c r="EY55" s="1292"/>
      <c r="EZ55" s="1292"/>
      <c r="FA55" s="1292"/>
      <c r="FB55" s="1292"/>
      <c r="FC55" s="1292"/>
      <c r="FD55" s="1292"/>
      <c r="FE55" s="1292"/>
      <c r="FF55" s="1292"/>
      <c r="FG55" s="1292"/>
      <c r="FH55" s="1292"/>
      <c r="FI55" s="1292"/>
      <c r="FJ55" s="1292"/>
      <c r="FK55" s="1292"/>
      <c r="FL55" s="1292"/>
      <c r="FM55" s="1292"/>
      <c r="FN55" s="1292"/>
      <c r="FO55" s="1292"/>
      <c r="FP55" s="1292"/>
      <c r="FQ55" s="1292"/>
      <c r="FR55" s="1292"/>
      <c r="FS55" s="1292"/>
      <c r="FT55" s="1292"/>
      <c r="FU55" s="1292"/>
      <c r="FV55" s="1292"/>
      <c r="FW55" s="1292"/>
      <c r="FX55" s="1292"/>
      <c r="FY55" s="1292"/>
      <c r="FZ55" s="1292"/>
      <c r="GA55" s="1292"/>
      <c r="GB55" s="1292"/>
      <c r="GC55" s="1292"/>
      <c r="GD55" s="1292"/>
      <c r="GE55" s="1292"/>
      <c r="GF55" s="1292"/>
      <c r="GG55" s="1292"/>
      <c r="GH55" s="1292"/>
      <c r="GI55" s="1292"/>
      <c r="GJ55" s="1292"/>
      <c r="GK55" s="1292"/>
      <c r="GL55" s="1292"/>
      <c r="GM55" s="1292"/>
      <c r="GN55" s="1292"/>
      <c r="GO55" s="1292"/>
      <c r="GP55" s="1292"/>
      <c r="GQ55" s="1292"/>
      <c r="GR55" s="1292"/>
      <c r="GS55" s="1292"/>
      <c r="GT55" s="1292"/>
      <c r="GU55" s="1292"/>
      <c r="GV55" s="1292"/>
      <c r="GW55" s="1292"/>
      <c r="GX55" s="1292"/>
      <c r="GY55" s="1292"/>
      <c r="GZ55" s="1292"/>
      <c r="HA55" s="1292"/>
      <c r="HB55" s="1292"/>
      <c r="HC55" s="1292"/>
      <c r="HD55" s="1292"/>
      <c r="HE55" s="1292"/>
      <c r="HF55" s="1292"/>
      <c r="HG55" s="1292"/>
      <c r="HH55" s="1292"/>
      <c r="HI55" s="1292"/>
      <c r="HJ55" s="1292"/>
      <c r="HK55" s="1292"/>
      <c r="HL55" s="1292"/>
      <c r="HM55" s="1292"/>
      <c r="HN55" s="1292"/>
      <c r="HO55" s="1292"/>
      <c r="HP55" s="1292"/>
      <c r="HQ55" s="1292"/>
      <c r="HR55" s="1292"/>
      <c r="HS55" s="1292"/>
      <c r="HT55" s="1292"/>
      <c r="HU55" s="1292"/>
      <c r="HV55" s="1292"/>
      <c r="HW55" s="1292"/>
      <c r="HX55" s="1292"/>
      <c r="HY55" s="1292"/>
      <c r="HZ55" s="1292"/>
      <c r="IA55" s="1292"/>
      <c r="IB55" s="1292"/>
      <c r="IC55" s="1292"/>
      <c r="ID55" s="1292"/>
      <c r="IE55" s="1292"/>
      <c r="IF55" s="1292"/>
      <c r="IG55" s="1292"/>
      <c r="IH55" s="1292"/>
      <c r="II55" s="1292"/>
      <c r="IJ55" s="1292"/>
      <c r="IK55" s="1292"/>
      <c r="IL55" s="1292"/>
      <c r="IM55" s="1292"/>
      <c r="IN55" s="1292"/>
      <c r="IO55" s="1292"/>
      <c r="IP55" s="1292"/>
      <c r="IQ55" s="1292"/>
      <c r="IR55" s="1292"/>
      <c r="IS55" s="1292"/>
      <c r="IT55" s="1292"/>
      <c r="IU55" s="1292"/>
      <c r="IV55" s="1292"/>
    </row>
    <row r="56" spans="1:256">
      <c r="A56" s="1292"/>
      <c r="B56" s="1292"/>
      <c r="C56" s="1292"/>
      <c r="D56" s="1292"/>
      <c r="E56" s="1292"/>
      <c r="F56" s="1292"/>
      <c r="G56" s="1292"/>
      <c r="H56" s="1292"/>
      <c r="I56" s="1292"/>
      <c r="J56" s="1292"/>
      <c r="K56" s="1292"/>
      <c r="L56" s="1292"/>
      <c r="M56" s="1292"/>
      <c r="N56" s="1292"/>
      <c r="O56" s="1292"/>
      <c r="P56" s="1292"/>
      <c r="Q56" s="1292"/>
      <c r="R56" s="1292"/>
      <c r="S56" s="1292"/>
      <c r="T56" s="1292"/>
      <c r="U56" s="1292"/>
      <c r="V56" s="1292"/>
      <c r="W56" s="1292"/>
      <c r="X56" s="1292"/>
      <c r="Y56" s="1292"/>
      <c r="Z56" s="1292"/>
      <c r="AA56" s="1292"/>
      <c r="AB56" s="1292"/>
      <c r="AC56" s="1292"/>
      <c r="AD56" s="1292"/>
      <c r="AE56" s="1292"/>
      <c r="AF56" s="1292"/>
      <c r="AG56" s="1292"/>
      <c r="AH56" s="1292"/>
      <c r="AI56" s="1292"/>
      <c r="AJ56" s="1292"/>
      <c r="AK56" s="1292"/>
      <c r="AL56" s="1292"/>
      <c r="AM56" s="1292"/>
      <c r="AN56" s="1292"/>
      <c r="AO56" s="1292"/>
      <c r="AP56" s="1292"/>
      <c r="AQ56" s="1292"/>
      <c r="AR56" s="1292"/>
      <c r="AS56" s="1292"/>
      <c r="AT56" s="1292"/>
      <c r="AU56" s="1292"/>
      <c r="AV56" s="1292"/>
      <c r="AW56" s="1292"/>
      <c r="AX56" s="1292"/>
      <c r="AY56" s="1292"/>
      <c r="AZ56" s="1292"/>
      <c r="BA56" s="1292"/>
      <c r="BB56" s="1292"/>
      <c r="BC56" s="1292"/>
      <c r="BD56" s="1292"/>
      <c r="BE56" s="1292"/>
      <c r="BF56" s="1292"/>
      <c r="BG56" s="1292"/>
      <c r="BH56" s="1292"/>
      <c r="BI56" s="1292"/>
      <c r="BJ56" s="1292"/>
      <c r="BK56" s="1292"/>
      <c r="BL56" s="1292"/>
      <c r="BM56" s="1292"/>
      <c r="BN56" s="1292"/>
      <c r="BO56" s="1292"/>
      <c r="BP56" s="1292"/>
      <c r="BQ56" s="1292"/>
      <c r="BR56" s="1292"/>
      <c r="BS56" s="1292"/>
      <c r="BT56" s="1292"/>
      <c r="BU56" s="1292"/>
      <c r="BV56" s="1292"/>
      <c r="BW56" s="1292"/>
      <c r="BX56" s="1292"/>
      <c r="BY56" s="1292"/>
      <c r="BZ56" s="1292"/>
      <c r="CA56" s="1292"/>
      <c r="CB56" s="1292"/>
      <c r="CC56" s="1292"/>
      <c r="CD56" s="1292"/>
      <c r="CE56" s="1292"/>
      <c r="CF56" s="1292"/>
      <c r="CG56" s="1292"/>
      <c r="CH56" s="1292"/>
      <c r="CI56" s="1292"/>
      <c r="CJ56" s="1292"/>
      <c r="CK56" s="1292"/>
      <c r="CL56" s="1292"/>
      <c r="CM56" s="1292"/>
      <c r="CN56" s="1292"/>
      <c r="CO56" s="1292"/>
      <c r="CP56" s="1292"/>
      <c r="CQ56" s="1292"/>
      <c r="CR56" s="1292"/>
      <c r="CS56" s="1292"/>
      <c r="CT56" s="1292"/>
      <c r="CU56" s="1292"/>
      <c r="CV56" s="1292"/>
      <c r="CW56" s="1292"/>
      <c r="CX56" s="1292"/>
      <c r="CY56" s="1292"/>
      <c r="CZ56" s="1292"/>
      <c r="DA56" s="1292"/>
      <c r="DB56" s="1292"/>
      <c r="DC56" s="1292"/>
      <c r="DD56" s="1292"/>
      <c r="DE56" s="1292"/>
      <c r="DF56" s="1292"/>
      <c r="DG56" s="1292"/>
      <c r="DH56" s="1292"/>
      <c r="DI56" s="1292"/>
      <c r="DJ56" s="1292"/>
      <c r="DK56" s="1292"/>
      <c r="DL56" s="1292"/>
      <c r="DM56" s="1292"/>
      <c r="DN56" s="1292"/>
      <c r="DO56" s="1292"/>
      <c r="DP56" s="1292"/>
      <c r="DQ56" s="1292"/>
      <c r="DR56" s="1292"/>
      <c r="DS56" s="1292"/>
      <c r="DT56" s="1292"/>
      <c r="DU56" s="1292"/>
      <c r="DV56" s="1292"/>
      <c r="DW56" s="1292"/>
      <c r="DX56" s="1292"/>
      <c r="DY56" s="1292"/>
      <c r="DZ56" s="1292"/>
      <c r="EA56" s="1292"/>
      <c r="EB56" s="1292"/>
      <c r="EC56" s="1292"/>
      <c r="ED56" s="1292"/>
      <c r="EE56" s="1292"/>
      <c r="EF56" s="1292"/>
      <c r="EG56" s="1292"/>
      <c r="EH56" s="1292"/>
      <c r="EI56" s="1292"/>
      <c r="EJ56" s="1292"/>
      <c r="EK56" s="1292"/>
      <c r="EL56" s="1292"/>
      <c r="EM56" s="1292"/>
      <c r="EN56" s="1292"/>
      <c r="EO56" s="1292"/>
      <c r="EP56" s="1292"/>
      <c r="EQ56" s="1292"/>
      <c r="ER56" s="1292"/>
      <c r="ES56" s="1292"/>
      <c r="ET56" s="1292"/>
      <c r="EU56" s="1292"/>
      <c r="EV56" s="1292"/>
      <c r="EW56" s="1292"/>
      <c r="EX56" s="1292"/>
      <c r="EY56" s="1292"/>
      <c r="EZ56" s="1292"/>
      <c r="FA56" s="1292"/>
      <c r="FB56" s="1292"/>
      <c r="FC56" s="1292"/>
      <c r="FD56" s="1292"/>
      <c r="FE56" s="1292"/>
      <c r="FF56" s="1292"/>
      <c r="FG56" s="1292"/>
      <c r="FH56" s="1292"/>
      <c r="FI56" s="1292"/>
      <c r="FJ56" s="1292"/>
      <c r="FK56" s="1292"/>
      <c r="FL56" s="1292"/>
      <c r="FM56" s="1292"/>
      <c r="FN56" s="1292"/>
      <c r="FO56" s="1292"/>
      <c r="FP56" s="1292"/>
      <c r="FQ56" s="1292"/>
      <c r="FR56" s="1292"/>
      <c r="FS56" s="1292"/>
      <c r="FT56" s="1292"/>
      <c r="FU56" s="1292"/>
      <c r="FV56" s="1292"/>
      <c r="FW56" s="1292"/>
      <c r="FX56" s="1292"/>
      <c r="FY56" s="1292"/>
      <c r="FZ56" s="1292"/>
      <c r="GA56" s="1292"/>
      <c r="GB56" s="1292"/>
      <c r="GC56" s="1292"/>
      <c r="GD56" s="1292"/>
      <c r="GE56" s="1292"/>
      <c r="GF56" s="1292"/>
      <c r="GG56" s="1292"/>
      <c r="GH56" s="1292"/>
      <c r="GI56" s="1292"/>
      <c r="GJ56" s="1292"/>
      <c r="GK56" s="1292"/>
      <c r="GL56" s="1292"/>
      <c r="GM56" s="1292"/>
      <c r="GN56" s="1292"/>
      <c r="GO56" s="1292"/>
      <c r="GP56" s="1292"/>
      <c r="GQ56" s="1292"/>
      <c r="GR56" s="1292"/>
      <c r="GS56" s="1292"/>
      <c r="GT56" s="1292"/>
      <c r="GU56" s="1292"/>
      <c r="GV56" s="1292"/>
      <c r="GW56" s="1292"/>
      <c r="GX56" s="1292"/>
      <c r="GY56" s="1292"/>
      <c r="GZ56" s="1292"/>
      <c r="HA56" s="1292"/>
      <c r="HB56" s="1292"/>
      <c r="HC56" s="1292"/>
      <c r="HD56" s="1292"/>
      <c r="HE56" s="1292"/>
      <c r="HF56" s="1292"/>
      <c r="HG56" s="1292"/>
      <c r="HH56" s="1292"/>
      <c r="HI56" s="1292"/>
      <c r="HJ56" s="1292"/>
      <c r="HK56" s="1292"/>
      <c r="HL56" s="1292"/>
      <c r="HM56" s="1292"/>
      <c r="HN56" s="1292"/>
      <c r="HO56" s="1292"/>
      <c r="HP56" s="1292"/>
      <c r="HQ56" s="1292"/>
      <c r="HR56" s="1292"/>
      <c r="HS56" s="1292"/>
      <c r="HT56" s="1292"/>
      <c r="HU56" s="1292"/>
      <c r="HV56" s="1292"/>
      <c r="HW56" s="1292"/>
      <c r="HX56" s="1292"/>
      <c r="HY56" s="1292"/>
      <c r="HZ56" s="1292"/>
      <c r="IA56" s="1292"/>
      <c r="IB56" s="1292"/>
      <c r="IC56" s="1292"/>
      <c r="ID56" s="1292"/>
      <c r="IE56" s="1292"/>
      <c r="IF56" s="1292"/>
      <c r="IG56" s="1292"/>
      <c r="IH56" s="1292"/>
      <c r="II56" s="1292"/>
      <c r="IJ56" s="1292"/>
      <c r="IK56" s="1292"/>
      <c r="IL56" s="1292"/>
      <c r="IM56" s="1292"/>
      <c r="IN56" s="1292"/>
      <c r="IO56" s="1292"/>
      <c r="IP56" s="1292"/>
      <c r="IQ56" s="1292"/>
      <c r="IR56" s="1292"/>
      <c r="IS56" s="1292"/>
      <c r="IT56" s="1292"/>
      <c r="IU56" s="1292"/>
      <c r="IV56" s="1292"/>
    </row>
    <row r="57" spans="1:256">
      <c r="A57" s="1292"/>
      <c r="B57" s="1292"/>
      <c r="C57" s="1292"/>
      <c r="D57" s="1292"/>
      <c r="E57" s="1292"/>
      <c r="F57" s="1292"/>
      <c r="G57" s="1292"/>
      <c r="H57" s="1292"/>
      <c r="I57" s="1292"/>
      <c r="J57" s="1292"/>
      <c r="K57" s="1292"/>
      <c r="L57" s="1292"/>
      <c r="M57" s="1292"/>
      <c r="N57" s="1292"/>
      <c r="O57" s="1292"/>
      <c r="P57" s="1292"/>
      <c r="Q57" s="1292"/>
      <c r="R57" s="1292"/>
      <c r="S57" s="1292"/>
      <c r="T57" s="1292"/>
      <c r="U57" s="1292"/>
      <c r="V57" s="1292"/>
      <c r="W57" s="1292"/>
      <c r="X57" s="1292"/>
      <c r="Y57" s="1292"/>
      <c r="Z57" s="1292"/>
      <c r="AA57" s="1292"/>
      <c r="AB57" s="1292"/>
      <c r="AC57" s="1292"/>
      <c r="AD57" s="1292"/>
      <c r="AE57" s="1292"/>
      <c r="AF57" s="1292"/>
      <c r="AG57" s="1292"/>
      <c r="AH57" s="1292"/>
      <c r="AI57" s="1292"/>
      <c r="AJ57" s="1292"/>
      <c r="AK57" s="1292"/>
      <c r="AL57" s="1292"/>
      <c r="AM57" s="1292"/>
      <c r="AN57" s="1292"/>
      <c r="AO57" s="1292"/>
      <c r="AP57" s="1292"/>
      <c r="AQ57" s="1292"/>
      <c r="AR57" s="1292"/>
      <c r="AS57" s="1292"/>
      <c r="AT57" s="1292"/>
      <c r="AU57" s="1292"/>
      <c r="AV57" s="1292"/>
      <c r="AW57" s="1292"/>
      <c r="AX57" s="1292"/>
      <c r="AY57" s="1292"/>
      <c r="AZ57" s="1292"/>
      <c r="BA57" s="1292"/>
      <c r="BB57" s="1292"/>
      <c r="BC57" s="1292"/>
      <c r="BD57" s="1292"/>
      <c r="BE57" s="1292"/>
      <c r="BF57" s="1292"/>
      <c r="BG57" s="1292"/>
      <c r="BH57" s="1292"/>
      <c r="BI57" s="1292"/>
      <c r="BJ57" s="1292"/>
      <c r="BK57" s="1292"/>
      <c r="BL57" s="1292"/>
      <c r="BM57" s="1292"/>
      <c r="BN57" s="1292"/>
      <c r="BO57" s="1292"/>
      <c r="BP57" s="1292"/>
      <c r="BQ57" s="1292"/>
      <c r="BR57" s="1292"/>
      <c r="BS57" s="1292"/>
      <c r="BT57" s="1292"/>
      <c r="BU57" s="1292"/>
      <c r="BV57" s="1292"/>
      <c r="BW57" s="1292"/>
      <c r="BX57" s="1292"/>
      <c r="BY57" s="1292"/>
      <c r="BZ57" s="1292"/>
      <c r="CA57" s="1292"/>
      <c r="CB57" s="1292"/>
      <c r="CC57" s="1292"/>
      <c r="CD57" s="1292"/>
      <c r="CE57" s="1292"/>
      <c r="CF57" s="1292"/>
      <c r="CG57" s="1292"/>
      <c r="CH57" s="1292"/>
      <c r="CI57" s="1292"/>
      <c r="CJ57" s="1292"/>
      <c r="CK57" s="1292"/>
      <c r="CL57" s="1292"/>
      <c r="CM57" s="1292"/>
      <c r="CN57" s="1292"/>
      <c r="CO57" s="1292"/>
      <c r="CP57" s="1292"/>
      <c r="CQ57" s="1292"/>
      <c r="CR57" s="1292"/>
      <c r="CS57" s="1292"/>
      <c r="CT57" s="1292"/>
      <c r="CU57" s="1292"/>
      <c r="CV57" s="1292"/>
      <c r="CW57" s="1292"/>
      <c r="CX57" s="1292"/>
      <c r="CY57" s="1292"/>
      <c r="CZ57" s="1292"/>
      <c r="DA57" s="1292"/>
      <c r="DB57" s="1292"/>
      <c r="DC57" s="1292"/>
      <c r="DD57" s="1292"/>
      <c r="DE57" s="1292"/>
      <c r="DF57" s="1292"/>
      <c r="DG57" s="1292"/>
      <c r="DH57" s="1292"/>
      <c r="DI57" s="1292"/>
      <c r="DJ57" s="1292"/>
      <c r="DK57" s="1292"/>
      <c r="DL57" s="1292"/>
      <c r="DM57" s="1292"/>
      <c r="DN57" s="1292"/>
      <c r="DO57" s="1292"/>
      <c r="DP57" s="1292"/>
      <c r="DQ57" s="1292"/>
      <c r="DR57" s="1292"/>
      <c r="DS57" s="1292"/>
      <c r="DT57" s="1292"/>
      <c r="DU57" s="1292"/>
      <c r="DV57" s="1292"/>
      <c r="DW57" s="1292"/>
      <c r="DX57" s="1292"/>
      <c r="DY57" s="1292"/>
      <c r="DZ57" s="1292"/>
      <c r="EA57" s="1292"/>
      <c r="EB57" s="1292"/>
      <c r="EC57" s="1292"/>
      <c r="ED57" s="1292"/>
      <c r="EE57" s="1292"/>
      <c r="EF57" s="1292"/>
      <c r="EG57" s="1292"/>
      <c r="EH57" s="1292"/>
      <c r="EI57" s="1292"/>
      <c r="EJ57" s="1292"/>
      <c r="EK57" s="1292"/>
      <c r="EL57" s="1292"/>
      <c r="EM57" s="1292"/>
      <c r="EN57" s="1292"/>
      <c r="EO57" s="1292"/>
      <c r="EP57" s="1292"/>
      <c r="EQ57" s="1292"/>
      <c r="ER57" s="1292"/>
      <c r="ES57" s="1292"/>
      <c r="ET57" s="1292"/>
      <c r="EU57" s="1292"/>
      <c r="EV57" s="1292"/>
      <c r="EW57" s="1292"/>
      <c r="EX57" s="1292"/>
      <c r="EY57" s="1292"/>
      <c r="EZ57" s="1292"/>
      <c r="FA57" s="1292"/>
      <c r="FB57" s="1292"/>
      <c r="FC57" s="1292"/>
      <c r="FD57" s="1292"/>
      <c r="FE57" s="1292"/>
      <c r="FF57" s="1292"/>
      <c r="FG57" s="1292"/>
      <c r="FH57" s="1292"/>
      <c r="FI57" s="1292"/>
      <c r="FJ57" s="1292"/>
      <c r="FK57" s="1292"/>
      <c r="FL57" s="1292"/>
      <c r="FM57" s="1292"/>
      <c r="FN57" s="1292"/>
      <c r="FO57" s="1292"/>
      <c r="FP57" s="1292"/>
      <c r="FQ57" s="1292"/>
      <c r="FR57" s="1292"/>
      <c r="FS57" s="1292"/>
      <c r="FT57" s="1292"/>
      <c r="FU57" s="1292"/>
      <c r="FV57" s="1292"/>
      <c r="FW57" s="1292"/>
      <c r="FX57" s="1292"/>
      <c r="FY57" s="1292"/>
      <c r="FZ57" s="1292"/>
      <c r="GA57" s="1292"/>
      <c r="GB57" s="1292"/>
      <c r="GC57" s="1292"/>
      <c r="GD57" s="1292"/>
      <c r="GE57" s="1292"/>
      <c r="GF57" s="1292"/>
      <c r="GG57" s="1292"/>
      <c r="GH57" s="1292"/>
      <c r="GI57" s="1292"/>
      <c r="GJ57" s="1292"/>
      <c r="GK57" s="1292"/>
      <c r="GL57" s="1292"/>
      <c r="GM57" s="1292"/>
      <c r="GN57" s="1292"/>
      <c r="GO57" s="1292"/>
      <c r="GP57" s="1292"/>
      <c r="GQ57" s="1292"/>
      <c r="GR57" s="1292"/>
      <c r="GS57" s="1292"/>
      <c r="GT57" s="1292"/>
      <c r="GU57" s="1292"/>
      <c r="GV57" s="1292"/>
      <c r="GW57" s="1292"/>
      <c r="GX57" s="1292"/>
      <c r="GY57" s="1292"/>
      <c r="GZ57" s="1292"/>
      <c r="HA57" s="1292"/>
      <c r="HB57" s="1292"/>
      <c r="HC57" s="1292"/>
      <c r="HD57" s="1292"/>
      <c r="HE57" s="1292"/>
      <c r="HF57" s="1292"/>
      <c r="HG57" s="1292"/>
      <c r="HH57" s="1292"/>
      <c r="HI57" s="1292"/>
      <c r="HJ57" s="1292"/>
      <c r="HK57" s="1292"/>
      <c r="HL57" s="1292"/>
      <c r="HM57" s="1292"/>
      <c r="HN57" s="1292"/>
      <c r="HO57" s="1292"/>
      <c r="HP57" s="1292"/>
      <c r="HQ57" s="1292"/>
      <c r="HR57" s="1292"/>
      <c r="HS57" s="1292"/>
      <c r="HT57" s="1292"/>
      <c r="HU57" s="1292"/>
      <c r="HV57" s="1292"/>
      <c r="HW57" s="1292"/>
      <c r="HX57" s="1292"/>
      <c r="HY57" s="1292"/>
      <c r="HZ57" s="1292"/>
      <c r="IA57" s="1292"/>
      <c r="IB57" s="1292"/>
      <c r="IC57" s="1292"/>
      <c r="ID57" s="1292"/>
      <c r="IE57" s="1292"/>
      <c r="IF57" s="1292"/>
      <c r="IG57" s="1292"/>
      <c r="IH57" s="1292"/>
      <c r="II57" s="1292"/>
      <c r="IJ57" s="1292"/>
      <c r="IK57" s="1292"/>
      <c r="IL57" s="1292"/>
      <c r="IM57" s="1292"/>
      <c r="IN57" s="1292"/>
      <c r="IO57" s="1292"/>
      <c r="IP57" s="1292"/>
      <c r="IQ57" s="1292"/>
      <c r="IR57" s="1292"/>
      <c r="IS57" s="1292"/>
      <c r="IT57" s="1292"/>
      <c r="IU57" s="1292"/>
      <c r="IV57" s="1292"/>
    </row>
    <row r="58" spans="1:256">
      <c r="A58" s="1292"/>
      <c r="B58" s="1292"/>
      <c r="C58" s="1292"/>
      <c r="D58" s="1292"/>
      <c r="E58" s="1292"/>
      <c r="F58" s="1292"/>
      <c r="G58" s="1292"/>
      <c r="H58" s="1292"/>
      <c r="I58" s="1292"/>
      <c r="J58" s="1292"/>
      <c r="K58" s="1292"/>
      <c r="L58" s="1292"/>
      <c r="M58" s="1292"/>
      <c r="N58" s="1292"/>
      <c r="O58" s="1292"/>
      <c r="P58" s="1292"/>
      <c r="Q58" s="1292"/>
      <c r="R58" s="1292"/>
      <c r="S58" s="1292"/>
      <c r="T58" s="1292"/>
      <c r="U58" s="1292"/>
      <c r="V58" s="1292"/>
      <c r="W58" s="1292"/>
      <c r="X58" s="1292"/>
      <c r="Y58" s="1292"/>
      <c r="Z58" s="1292"/>
      <c r="AA58" s="1292"/>
      <c r="AB58" s="1292"/>
      <c r="AC58" s="1292"/>
      <c r="AD58" s="1292"/>
      <c r="AE58" s="1292"/>
      <c r="AF58" s="1292"/>
      <c r="AG58" s="1292"/>
      <c r="AH58" s="1292"/>
      <c r="AI58" s="1292"/>
      <c r="AJ58" s="1292"/>
      <c r="AK58" s="1292"/>
      <c r="AL58" s="1292"/>
      <c r="AM58" s="1292"/>
      <c r="AN58" s="1292"/>
      <c r="AO58" s="1292"/>
      <c r="AP58" s="1292"/>
      <c r="AQ58" s="1292"/>
      <c r="AR58" s="1292"/>
      <c r="AS58" s="1292"/>
      <c r="AT58" s="1292"/>
      <c r="AU58" s="1292"/>
      <c r="AV58" s="1292"/>
      <c r="AW58" s="1292"/>
      <c r="AX58" s="1292"/>
      <c r="AY58" s="1292"/>
      <c r="AZ58" s="1292"/>
      <c r="BA58" s="1292"/>
      <c r="BB58" s="1292"/>
      <c r="BC58" s="1292"/>
      <c r="BD58" s="1292"/>
      <c r="BE58" s="1292"/>
      <c r="BF58" s="1292"/>
      <c r="BG58" s="1292"/>
      <c r="BH58" s="1292"/>
      <c r="BI58" s="1292"/>
      <c r="BJ58" s="1292"/>
      <c r="BK58" s="1292"/>
      <c r="BL58" s="1292"/>
      <c r="BM58" s="1292"/>
      <c r="BN58" s="1292"/>
      <c r="BO58" s="1292"/>
      <c r="BP58" s="1292"/>
      <c r="BQ58" s="1292"/>
      <c r="BR58" s="1292"/>
      <c r="BS58" s="1292"/>
      <c r="BT58" s="1292"/>
      <c r="BU58" s="1292"/>
      <c r="BV58" s="1292"/>
      <c r="BW58" s="1292"/>
      <c r="BX58" s="1292"/>
      <c r="BY58" s="1292"/>
      <c r="BZ58" s="1292"/>
      <c r="CA58" s="1292"/>
      <c r="CB58" s="1292"/>
      <c r="CC58" s="1292"/>
      <c r="CD58" s="1292"/>
      <c r="CE58" s="1292"/>
      <c r="CF58" s="1292"/>
      <c r="CG58" s="1292"/>
      <c r="CH58" s="1292"/>
      <c r="CI58" s="1292"/>
      <c r="CJ58" s="1292"/>
      <c r="CK58" s="1292"/>
      <c r="CL58" s="1292"/>
      <c r="CM58" s="1292"/>
      <c r="CN58" s="1292"/>
      <c r="CO58" s="1292"/>
      <c r="CP58" s="1292"/>
      <c r="CQ58" s="1292"/>
      <c r="CR58" s="1292"/>
      <c r="CS58" s="1292"/>
      <c r="CT58" s="1292"/>
      <c r="CU58" s="1292"/>
      <c r="CV58" s="1292"/>
      <c r="CW58" s="1292"/>
      <c r="CX58" s="1292"/>
      <c r="CY58" s="1292"/>
      <c r="CZ58" s="1292"/>
      <c r="DA58" s="1292"/>
      <c r="DB58" s="1292"/>
      <c r="DC58" s="1292"/>
      <c r="DD58" s="1292"/>
      <c r="DE58" s="1292"/>
      <c r="DF58" s="1292"/>
      <c r="DG58" s="1292"/>
      <c r="DH58" s="1292"/>
      <c r="DI58" s="1292"/>
      <c r="DJ58" s="1292"/>
      <c r="DK58" s="1292"/>
      <c r="DL58" s="1292"/>
      <c r="DM58" s="1292"/>
      <c r="DN58" s="1292"/>
      <c r="DO58" s="1292"/>
      <c r="DP58" s="1292"/>
      <c r="DQ58" s="1292"/>
      <c r="DR58" s="1292"/>
      <c r="DS58" s="1292"/>
      <c r="DT58" s="1292"/>
      <c r="DU58" s="1292"/>
      <c r="DV58" s="1292"/>
      <c r="DW58" s="1292"/>
      <c r="DX58" s="1292"/>
      <c r="DY58" s="1292"/>
      <c r="DZ58" s="1292"/>
      <c r="EA58" s="1292"/>
      <c r="EB58" s="1292"/>
      <c r="EC58" s="1292"/>
      <c r="ED58" s="1292"/>
      <c r="EE58" s="1292"/>
      <c r="EF58" s="1292"/>
      <c r="EG58" s="1292"/>
      <c r="EH58" s="1292"/>
      <c r="EI58" s="1292"/>
      <c r="EJ58" s="1292"/>
      <c r="EK58" s="1292"/>
      <c r="EL58" s="1292"/>
      <c r="EM58" s="1292"/>
      <c r="EN58" s="1292"/>
      <c r="EO58" s="1292"/>
      <c r="EP58" s="1292"/>
      <c r="EQ58" s="1292"/>
      <c r="ER58" s="1292"/>
      <c r="ES58" s="1292"/>
      <c r="ET58" s="1292"/>
      <c r="EU58" s="1292"/>
      <c r="EV58" s="1292"/>
      <c r="EW58" s="1292"/>
      <c r="EX58" s="1292"/>
      <c r="EY58" s="1292"/>
      <c r="EZ58" s="1292"/>
      <c r="FA58" s="1292"/>
      <c r="FB58" s="1292"/>
      <c r="FC58" s="1292"/>
      <c r="FD58" s="1292"/>
      <c r="FE58" s="1292"/>
      <c r="FF58" s="1292"/>
      <c r="FG58" s="1292"/>
      <c r="FH58" s="1292"/>
      <c r="FI58" s="1292"/>
      <c r="FJ58" s="1292"/>
      <c r="FK58" s="1292"/>
      <c r="FL58" s="1292"/>
      <c r="FM58" s="1292"/>
      <c r="FN58" s="1292"/>
      <c r="FO58" s="1292"/>
      <c r="FP58" s="1292"/>
      <c r="FQ58" s="1292"/>
      <c r="FR58" s="1292"/>
      <c r="FS58" s="1292"/>
      <c r="FT58" s="1292"/>
      <c r="FU58" s="1292"/>
      <c r="FV58" s="1292"/>
      <c r="FW58" s="1292"/>
      <c r="FX58" s="1292"/>
      <c r="FY58" s="1292"/>
      <c r="FZ58" s="1292"/>
      <c r="GA58" s="1292"/>
      <c r="GB58" s="1292"/>
      <c r="GC58" s="1292"/>
      <c r="GD58" s="1292"/>
      <c r="GE58" s="1292"/>
      <c r="GF58" s="1292"/>
      <c r="GG58" s="1292"/>
      <c r="GH58" s="1292"/>
      <c r="GI58" s="1292"/>
      <c r="GJ58" s="1292"/>
      <c r="GK58" s="1292"/>
      <c r="GL58" s="1292"/>
      <c r="GM58" s="1292"/>
      <c r="GN58" s="1292"/>
      <c r="GO58" s="1292"/>
      <c r="GP58" s="1292"/>
      <c r="GQ58" s="1292"/>
      <c r="GR58" s="1292"/>
      <c r="GS58" s="1292"/>
      <c r="GT58" s="1292"/>
      <c r="GU58" s="1292"/>
      <c r="GV58" s="1292"/>
      <c r="GW58" s="1292"/>
      <c r="GX58" s="1292"/>
      <c r="GY58" s="1292"/>
      <c r="GZ58" s="1292"/>
      <c r="HA58" s="1292"/>
      <c r="HB58" s="1292"/>
      <c r="HC58" s="1292"/>
      <c r="HD58" s="1292"/>
      <c r="HE58" s="1292"/>
      <c r="HF58" s="1292"/>
      <c r="HG58" s="1292"/>
      <c r="HH58" s="1292"/>
      <c r="HI58" s="1292"/>
      <c r="HJ58" s="1292"/>
      <c r="HK58" s="1292"/>
      <c r="HL58" s="1292"/>
      <c r="HM58" s="1292"/>
      <c r="HN58" s="1292"/>
      <c r="HO58" s="1292"/>
      <c r="HP58" s="1292"/>
      <c r="HQ58" s="1292"/>
      <c r="HR58" s="1292"/>
      <c r="HS58" s="1292"/>
      <c r="HT58" s="1292"/>
      <c r="HU58" s="1292"/>
      <c r="HV58" s="1292"/>
      <c r="HW58" s="1292"/>
      <c r="HX58" s="1292"/>
      <c r="HY58" s="1292"/>
      <c r="HZ58" s="1292"/>
      <c r="IA58" s="1292"/>
      <c r="IB58" s="1292"/>
      <c r="IC58" s="1292"/>
      <c r="ID58" s="1292"/>
      <c r="IE58" s="1292"/>
      <c r="IF58" s="1292"/>
      <c r="IG58" s="1292"/>
      <c r="IH58" s="1292"/>
      <c r="II58" s="1292"/>
      <c r="IJ58" s="1292"/>
      <c r="IK58" s="1292"/>
      <c r="IL58" s="1292"/>
      <c r="IM58" s="1292"/>
      <c r="IN58" s="1292"/>
      <c r="IO58" s="1292"/>
      <c r="IP58" s="1292"/>
      <c r="IQ58" s="1292"/>
      <c r="IR58" s="1292"/>
      <c r="IS58" s="1292"/>
      <c r="IT58" s="1292"/>
      <c r="IU58" s="1292"/>
      <c r="IV58" s="1292"/>
    </row>
    <row r="59" spans="1:256">
      <c r="A59" s="1292"/>
      <c r="B59" s="1292"/>
      <c r="C59" s="1292"/>
      <c r="D59" s="1292"/>
      <c r="E59" s="1292"/>
      <c r="F59" s="1292"/>
      <c r="G59" s="1292"/>
      <c r="H59" s="1292"/>
      <c r="I59" s="1292"/>
      <c r="J59" s="1292"/>
      <c r="K59" s="1292"/>
      <c r="L59" s="1292"/>
      <c r="M59" s="1292"/>
      <c r="N59" s="1292"/>
      <c r="O59" s="1292"/>
      <c r="P59" s="1292"/>
      <c r="Q59" s="1292"/>
      <c r="R59" s="1292"/>
      <c r="S59" s="1292"/>
      <c r="T59" s="1292"/>
      <c r="U59" s="1292"/>
      <c r="V59" s="1292"/>
      <c r="W59" s="1292"/>
      <c r="X59" s="1292"/>
      <c r="Y59" s="1292"/>
      <c r="Z59" s="1292"/>
      <c r="AA59" s="1292"/>
      <c r="AB59" s="1292"/>
      <c r="AC59" s="1292"/>
      <c r="AD59" s="1292"/>
      <c r="AE59" s="1292"/>
      <c r="AF59" s="1292"/>
      <c r="AG59" s="1292"/>
      <c r="AH59" s="1292"/>
      <c r="AI59" s="1292"/>
      <c r="AJ59" s="1292"/>
      <c r="AK59" s="1292"/>
      <c r="AL59" s="1292"/>
      <c r="AM59" s="1292"/>
      <c r="AN59" s="1292"/>
      <c r="AO59" s="1292"/>
      <c r="AP59" s="1292"/>
      <c r="AQ59" s="1292"/>
      <c r="AR59" s="1292"/>
      <c r="AS59" s="1292"/>
      <c r="AT59" s="1292"/>
      <c r="AU59" s="1292"/>
      <c r="AV59" s="1292"/>
      <c r="AW59" s="1292"/>
      <c r="AX59" s="1292"/>
      <c r="AY59" s="1292"/>
      <c r="AZ59" s="1292"/>
      <c r="BA59" s="1292"/>
      <c r="BB59" s="1292"/>
      <c r="BC59" s="1292"/>
      <c r="BD59" s="1292"/>
      <c r="BE59" s="1292"/>
      <c r="BF59" s="1292"/>
      <c r="BG59" s="1292"/>
      <c r="BH59" s="1292"/>
      <c r="BI59" s="1292"/>
      <c r="BJ59" s="1292"/>
      <c r="BK59" s="1292"/>
      <c r="BL59" s="1292"/>
      <c r="BM59" s="1292"/>
      <c r="BN59" s="1292"/>
      <c r="BO59" s="1292"/>
      <c r="BP59" s="1292"/>
      <c r="BQ59" s="1292"/>
      <c r="BR59" s="1292"/>
      <c r="BS59" s="1292"/>
      <c r="BT59" s="1292"/>
      <c r="BU59" s="1292"/>
      <c r="BV59" s="1292"/>
      <c r="BW59" s="1292"/>
      <c r="BX59" s="1292"/>
      <c r="BY59" s="1292"/>
      <c r="BZ59" s="1292"/>
      <c r="CA59" s="1292"/>
      <c r="CB59" s="1292"/>
      <c r="CC59" s="1292"/>
      <c r="CD59" s="1292"/>
      <c r="CE59" s="1292"/>
      <c r="CF59" s="1292"/>
      <c r="CG59" s="1292"/>
      <c r="CH59" s="1292"/>
      <c r="CI59" s="1292"/>
      <c r="CJ59" s="1292"/>
      <c r="CK59" s="1292"/>
      <c r="CL59" s="1292"/>
      <c r="CM59" s="1292"/>
      <c r="CN59" s="1292"/>
      <c r="CO59" s="1292"/>
      <c r="CP59" s="1292"/>
      <c r="CQ59" s="1292"/>
      <c r="CR59" s="1292"/>
      <c r="CS59" s="1292"/>
      <c r="CT59" s="1292"/>
      <c r="CU59" s="1292"/>
      <c r="CV59" s="1292"/>
      <c r="CW59" s="1292"/>
      <c r="CX59" s="1292"/>
      <c r="CY59" s="1292"/>
      <c r="CZ59" s="1292"/>
      <c r="DA59" s="1292"/>
      <c r="DB59" s="1292"/>
      <c r="DC59" s="1292"/>
      <c r="DD59" s="1292"/>
      <c r="DE59" s="1292"/>
      <c r="DF59" s="1292"/>
      <c r="DG59" s="1292"/>
      <c r="DH59" s="1292"/>
      <c r="DI59" s="1292"/>
      <c r="DJ59" s="1292"/>
      <c r="DK59" s="1292"/>
      <c r="DL59" s="1292"/>
      <c r="DM59" s="1292"/>
      <c r="DN59" s="1292"/>
      <c r="DO59" s="1292"/>
      <c r="DP59" s="1292"/>
      <c r="DQ59" s="1292"/>
      <c r="DR59" s="1292"/>
      <c r="DS59" s="1292"/>
      <c r="DT59" s="1292"/>
      <c r="DU59" s="1292"/>
      <c r="DV59" s="1292"/>
      <c r="DW59" s="1292"/>
      <c r="DX59" s="1292"/>
      <c r="DY59" s="1292"/>
      <c r="DZ59" s="1292"/>
      <c r="EA59" s="1292"/>
      <c r="EB59" s="1292"/>
      <c r="EC59" s="1292"/>
      <c r="ED59" s="1292"/>
      <c r="EE59" s="1292"/>
      <c r="EF59" s="1292"/>
      <c r="EG59" s="1292"/>
      <c r="EH59" s="1292"/>
      <c r="EI59" s="1292"/>
      <c r="EJ59" s="1292"/>
      <c r="EK59" s="1292"/>
      <c r="EL59" s="1292"/>
      <c r="EM59" s="1292"/>
      <c r="EN59" s="1292"/>
      <c r="EO59" s="1292"/>
      <c r="EP59" s="1292"/>
      <c r="EQ59" s="1292"/>
      <c r="ER59" s="1292"/>
      <c r="ES59" s="1292"/>
      <c r="ET59" s="1292"/>
      <c r="EU59" s="1292"/>
      <c r="EV59" s="1292"/>
      <c r="EW59" s="1292"/>
      <c r="EX59" s="1292"/>
      <c r="EY59" s="1292"/>
      <c r="EZ59" s="1292"/>
      <c r="FA59" s="1292"/>
      <c r="FB59" s="1292"/>
      <c r="FC59" s="1292"/>
      <c r="FD59" s="1292"/>
      <c r="FE59" s="1292"/>
      <c r="FF59" s="1292"/>
      <c r="FG59" s="1292"/>
      <c r="FH59" s="1292"/>
      <c r="FI59" s="1292"/>
      <c r="FJ59" s="1292"/>
      <c r="FK59" s="1292"/>
      <c r="FL59" s="1292"/>
      <c r="FM59" s="1292"/>
      <c r="FN59" s="1292"/>
      <c r="FO59" s="1292"/>
      <c r="FP59" s="1292"/>
      <c r="FQ59" s="1292"/>
      <c r="FR59" s="1292"/>
      <c r="FS59" s="1292"/>
      <c r="FT59" s="1292"/>
      <c r="FU59" s="1292"/>
      <c r="FV59" s="1292"/>
      <c r="FW59" s="1292"/>
      <c r="FX59" s="1292"/>
      <c r="FY59" s="1292"/>
      <c r="FZ59" s="1292"/>
      <c r="GA59" s="1292"/>
      <c r="GB59" s="1292"/>
      <c r="GC59" s="1292"/>
      <c r="GD59" s="1292"/>
      <c r="GE59" s="1292"/>
      <c r="GF59" s="1292"/>
      <c r="GG59" s="1292"/>
      <c r="GH59" s="1292"/>
      <c r="GI59" s="1292"/>
      <c r="GJ59" s="1292"/>
      <c r="GK59" s="1292"/>
      <c r="GL59" s="1292"/>
      <c r="GM59" s="1292"/>
      <c r="GN59" s="1292"/>
      <c r="GO59" s="1292"/>
      <c r="GP59" s="1292"/>
      <c r="GQ59" s="1292"/>
      <c r="GR59" s="1292"/>
      <c r="GS59" s="1292"/>
      <c r="GT59" s="1292"/>
      <c r="GU59" s="1292"/>
      <c r="GV59" s="1292"/>
      <c r="GW59" s="1292"/>
      <c r="GX59" s="1292"/>
      <c r="GY59" s="1292"/>
      <c r="GZ59" s="1292"/>
      <c r="HA59" s="1292"/>
      <c r="HB59" s="1292"/>
      <c r="HC59" s="1292"/>
      <c r="HD59" s="1292"/>
      <c r="HE59" s="1292"/>
      <c r="HF59" s="1292"/>
      <c r="HG59" s="1292"/>
      <c r="HH59" s="1292"/>
      <c r="HI59" s="1292"/>
      <c r="HJ59" s="1292"/>
      <c r="HK59" s="1292"/>
      <c r="HL59" s="1292"/>
      <c r="HM59" s="1292"/>
      <c r="HN59" s="1292"/>
      <c r="HO59" s="1292"/>
      <c r="HP59" s="1292"/>
      <c r="HQ59" s="1292"/>
      <c r="HR59" s="1292"/>
      <c r="HS59" s="1292"/>
      <c r="HT59" s="1292"/>
      <c r="HU59" s="1292"/>
      <c r="HV59" s="1292"/>
      <c r="HW59" s="1292"/>
      <c r="HX59" s="1292"/>
      <c r="HY59" s="1292"/>
      <c r="HZ59" s="1292"/>
      <c r="IA59" s="1292"/>
      <c r="IB59" s="1292"/>
      <c r="IC59" s="1292"/>
      <c r="ID59" s="1292"/>
      <c r="IE59" s="1292"/>
      <c r="IF59" s="1292"/>
      <c r="IG59" s="1292"/>
      <c r="IH59" s="1292"/>
      <c r="II59" s="1292"/>
      <c r="IJ59" s="1292"/>
      <c r="IK59" s="1292"/>
      <c r="IL59" s="1292"/>
      <c r="IM59" s="1292"/>
      <c r="IN59" s="1292"/>
      <c r="IO59" s="1292"/>
      <c r="IP59" s="1292"/>
      <c r="IQ59" s="1292"/>
      <c r="IR59" s="1292"/>
      <c r="IS59" s="1292"/>
      <c r="IT59" s="1292"/>
      <c r="IU59" s="1292"/>
      <c r="IV59" s="1292"/>
    </row>
    <row r="60" spans="1:256">
      <c r="A60" s="1292"/>
      <c r="B60" s="1292"/>
      <c r="C60" s="1292"/>
      <c r="D60" s="1292"/>
      <c r="E60" s="1292"/>
      <c r="F60" s="1292"/>
      <c r="G60" s="1292"/>
      <c r="H60" s="1292"/>
      <c r="I60" s="1292"/>
      <c r="J60" s="1292"/>
      <c r="K60" s="1292"/>
      <c r="L60" s="1292"/>
      <c r="M60" s="1292"/>
      <c r="N60" s="1292"/>
      <c r="O60" s="1292"/>
      <c r="P60" s="1292"/>
      <c r="Q60" s="1292"/>
      <c r="R60" s="1292"/>
      <c r="S60" s="1292"/>
      <c r="T60" s="1292"/>
      <c r="U60" s="1292"/>
      <c r="V60" s="1292"/>
      <c r="W60" s="1292"/>
      <c r="X60" s="1292"/>
      <c r="Y60" s="1292"/>
      <c r="Z60" s="1292"/>
      <c r="AA60" s="1292"/>
      <c r="AB60" s="1292"/>
      <c r="AC60" s="1292"/>
      <c r="AD60" s="1292"/>
      <c r="AE60" s="1292"/>
      <c r="AF60" s="1292"/>
      <c r="AG60" s="1292"/>
      <c r="AH60" s="1292"/>
      <c r="AI60" s="1292"/>
      <c r="AJ60" s="1292"/>
      <c r="AK60" s="1292"/>
      <c r="AL60" s="1292"/>
      <c r="AM60" s="1292"/>
      <c r="AN60" s="1292"/>
      <c r="AO60" s="1292"/>
      <c r="AP60" s="1292"/>
      <c r="AQ60" s="1292"/>
      <c r="AR60" s="1292"/>
      <c r="AS60" s="1292"/>
      <c r="AT60" s="1292"/>
      <c r="AU60" s="1292"/>
      <c r="AV60" s="1292"/>
      <c r="AW60" s="1292"/>
      <c r="AX60" s="1292"/>
      <c r="AY60" s="1292"/>
      <c r="AZ60" s="1292"/>
      <c r="BA60" s="1292"/>
      <c r="BB60" s="1292"/>
      <c r="BC60" s="1292"/>
      <c r="BD60" s="1292"/>
      <c r="BE60" s="1292"/>
      <c r="BF60" s="1292"/>
      <c r="BG60" s="1292"/>
      <c r="BH60" s="1292"/>
      <c r="BI60" s="1292"/>
      <c r="BJ60" s="1292"/>
      <c r="BK60" s="1292"/>
      <c r="BL60" s="1292"/>
      <c r="BM60" s="1292"/>
      <c r="BN60" s="1292"/>
      <c r="BO60" s="1292"/>
      <c r="BP60" s="1292"/>
      <c r="BQ60" s="1292"/>
      <c r="BR60" s="1292"/>
      <c r="BS60" s="1292"/>
      <c r="BT60" s="1292"/>
      <c r="BU60" s="1292"/>
      <c r="BV60" s="1292"/>
      <c r="BW60" s="1292"/>
      <c r="BX60" s="1292"/>
      <c r="BY60" s="1292"/>
      <c r="BZ60" s="1292"/>
      <c r="CA60" s="1292"/>
      <c r="CB60" s="1292"/>
      <c r="CC60" s="1292"/>
      <c r="CD60" s="1292"/>
      <c r="CE60" s="1292"/>
      <c r="CF60" s="1292"/>
      <c r="CG60" s="1292"/>
      <c r="CH60" s="1292"/>
      <c r="CI60" s="1292"/>
      <c r="CJ60" s="1292"/>
      <c r="CK60" s="1292"/>
      <c r="CL60" s="1292"/>
      <c r="CM60" s="1292"/>
      <c r="CN60" s="1292"/>
      <c r="CO60" s="1292"/>
      <c r="CP60" s="1292"/>
      <c r="CQ60" s="1292"/>
      <c r="CR60" s="1292"/>
      <c r="CS60" s="1292"/>
      <c r="CT60" s="1292"/>
      <c r="CU60" s="1292"/>
      <c r="CV60" s="1292"/>
      <c r="CW60" s="1292"/>
      <c r="CX60" s="1292"/>
      <c r="CY60" s="1292"/>
      <c r="CZ60" s="1292"/>
      <c r="DA60" s="1292"/>
      <c r="DB60" s="1292"/>
      <c r="DC60" s="1292"/>
      <c r="DD60" s="1292"/>
      <c r="DE60" s="1292"/>
      <c r="DF60" s="1292"/>
      <c r="DG60" s="1292"/>
      <c r="DH60" s="1292"/>
      <c r="DI60" s="1292"/>
      <c r="DJ60" s="1292"/>
      <c r="DK60" s="1292"/>
      <c r="DL60" s="1292"/>
      <c r="DM60" s="1292"/>
      <c r="DN60" s="1292"/>
      <c r="DO60" s="1292"/>
      <c r="DP60" s="1292"/>
      <c r="DQ60" s="1292"/>
      <c r="DR60" s="1292"/>
      <c r="DS60" s="1292"/>
      <c r="DT60" s="1292"/>
      <c r="DU60" s="1292"/>
      <c r="DV60" s="1292"/>
      <c r="DW60" s="1292"/>
      <c r="DX60" s="1292"/>
      <c r="DY60" s="1292"/>
      <c r="DZ60" s="1292"/>
      <c r="EA60" s="1292"/>
      <c r="EB60" s="1292"/>
      <c r="EC60" s="1292"/>
      <c r="ED60" s="1292"/>
      <c r="EE60" s="1292"/>
      <c r="EF60" s="1292"/>
      <c r="EG60" s="1292"/>
      <c r="EH60" s="1292"/>
      <c r="EI60" s="1292"/>
      <c r="EJ60" s="1292"/>
      <c r="EK60" s="1292"/>
      <c r="EL60" s="1292"/>
      <c r="EM60" s="1292"/>
      <c r="EN60" s="1292"/>
      <c r="EO60" s="1292"/>
      <c r="EP60" s="1292"/>
      <c r="EQ60" s="1292"/>
      <c r="ER60" s="1292"/>
      <c r="ES60" s="1292"/>
      <c r="ET60" s="1292"/>
      <c r="EU60" s="1292"/>
      <c r="EV60" s="1292"/>
      <c r="EW60" s="1292"/>
      <c r="EX60" s="1292"/>
      <c r="EY60" s="1292"/>
      <c r="EZ60" s="1292"/>
      <c r="FA60" s="1292"/>
      <c r="FB60" s="1292"/>
      <c r="FC60" s="1292"/>
      <c r="FD60" s="1292"/>
      <c r="FE60" s="1292"/>
      <c r="FF60" s="1292"/>
      <c r="FG60" s="1292"/>
      <c r="FH60" s="1292"/>
      <c r="FI60" s="1292"/>
      <c r="FJ60" s="1292"/>
      <c r="FK60" s="1292"/>
      <c r="FL60" s="1292"/>
      <c r="FM60" s="1292"/>
      <c r="FN60" s="1292"/>
      <c r="FO60" s="1292"/>
      <c r="FP60" s="1292"/>
      <c r="FQ60" s="1292"/>
      <c r="FR60" s="1292"/>
      <c r="FS60" s="1292"/>
      <c r="FT60" s="1292"/>
      <c r="FU60" s="1292"/>
      <c r="FV60" s="1292"/>
      <c r="FW60" s="1292"/>
      <c r="FX60" s="1292"/>
      <c r="FY60" s="1292"/>
      <c r="FZ60" s="1292"/>
      <c r="GA60" s="1292"/>
      <c r="GB60" s="1292"/>
      <c r="GC60" s="1292"/>
      <c r="GD60" s="1292"/>
      <c r="GE60" s="1292"/>
      <c r="GF60" s="1292"/>
      <c r="GG60" s="1292"/>
      <c r="GH60" s="1292"/>
      <c r="GI60" s="1292"/>
      <c r="GJ60" s="1292"/>
      <c r="GK60" s="1292"/>
      <c r="GL60" s="1292"/>
      <c r="GM60" s="1292"/>
      <c r="GN60" s="1292"/>
      <c r="GO60" s="1292"/>
      <c r="GP60" s="1292"/>
      <c r="GQ60" s="1292"/>
      <c r="GR60" s="1292"/>
      <c r="GS60" s="1292"/>
      <c r="GT60" s="1292"/>
      <c r="GU60" s="1292"/>
      <c r="GV60" s="1292"/>
      <c r="GW60" s="1292"/>
      <c r="GX60" s="1292"/>
      <c r="GY60" s="1292"/>
      <c r="GZ60" s="1292"/>
      <c r="HA60" s="1292"/>
      <c r="HB60" s="1292"/>
      <c r="HC60" s="1292"/>
      <c r="HD60" s="1292"/>
      <c r="HE60" s="1292"/>
      <c r="HF60" s="1292"/>
      <c r="HG60" s="1292"/>
      <c r="HH60" s="1292"/>
      <c r="HI60" s="1292"/>
      <c r="HJ60" s="1292"/>
      <c r="HK60" s="1292"/>
      <c r="HL60" s="1292"/>
      <c r="HM60" s="1292"/>
      <c r="HN60" s="1292"/>
      <c r="HO60" s="1292"/>
      <c r="HP60" s="1292"/>
      <c r="HQ60" s="1292"/>
      <c r="HR60" s="1292"/>
      <c r="HS60" s="1292"/>
      <c r="HT60" s="1292"/>
      <c r="HU60" s="1292"/>
      <c r="HV60" s="1292"/>
      <c r="HW60" s="1292"/>
      <c r="HX60" s="1292"/>
      <c r="HY60" s="1292"/>
      <c r="HZ60" s="1292"/>
      <c r="IA60" s="1292"/>
      <c r="IB60" s="1292"/>
      <c r="IC60" s="1292"/>
      <c r="ID60" s="1292"/>
      <c r="IE60" s="1292"/>
      <c r="IF60" s="1292"/>
      <c r="IG60" s="1292"/>
      <c r="IH60" s="1292"/>
      <c r="II60" s="1292"/>
      <c r="IJ60" s="1292"/>
      <c r="IK60" s="1292"/>
      <c r="IL60" s="1292"/>
      <c r="IM60" s="1292"/>
      <c r="IN60" s="1292"/>
      <c r="IO60" s="1292"/>
      <c r="IP60" s="1292"/>
      <c r="IQ60" s="1292"/>
      <c r="IR60" s="1292"/>
      <c r="IS60" s="1292"/>
      <c r="IT60" s="1292"/>
      <c r="IU60" s="1292"/>
      <c r="IV60" s="1292"/>
    </row>
    <row r="61" spans="1:256">
      <c r="A61" s="1292"/>
      <c r="B61" s="1292"/>
      <c r="C61" s="1292"/>
      <c r="D61" s="1292"/>
      <c r="E61" s="1292"/>
      <c r="F61" s="1292"/>
      <c r="G61" s="1292"/>
      <c r="H61" s="1292"/>
      <c r="I61" s="1292"/>
      <c r="J61" s="1292"/>
      <c r="K61" s="1292"/>
      <c r="L61" s="1292"/>
      <c r="M61" s="1292"/>
      <c r="N61" s="1292"/>
      <c r="O61" s="1292"/>
      <c r="P61" s="1292"/>
      <c r="Q61" s="1292"/>
      <c r="R61" s="1292"/>
      <c r="S61" s="1292"/>
      <c r="T61" s="1292"/>
      <c r="U61" s="1292"/>
      <c r="V61" s="1292"/>
      <c r="W61" s="1292"/>
      <c r="X61" s="1292"/>
      <c r="Y61" s="1292"/>
      <c r="Z61" s="1292"/>
      <c r="AA61" s="1292"/>
      <c r="AB61" s="1292"/>
      <c r="AC61" s="1292"/>
      <c r="AD61" s="1292"/>
      <c r="AE61" s="1292"/>
      <c r="AF61" s="1292"/>
      <c r="AG61" s="1292"/>
      <c r="AH61" s="1292"/>
      <c r="AI61" s="1292"/>
      <c r="AJ61" s="1292"/>
      <c r="AK61" s="1292"/>
      <c r="AL61" s="1292"/>
      <c r="AM61" s="1292"/>
      <c r="AN61" s="1292"/>
      <c r="AO61" s="1292"/>
      <c r="AP61" s="1292"/>
      <c r="AQ61" s="1292"/>
      <c r="AR61" s="1292"/>
      <c r="AS61" s="1292"/>
      <c r="AT61" s="1292"/>
      <c r="AU61" s="1292"/>
      <c r="AV61" s="1292"/>
      <c r="AW61" s="1292"/>
      <c r="AX61" s="1292"/>
      <c r="AY61" s="1292"/>
      <c r="AZ61" s="1292"/>
      <c r="BA61" s="1292"/>
      <c r="BB61" s="1292"/>
      <c r="BC61" s="1292"/>
      <c r="BD61" s="1292"/>
      <c r="BE61" s="1292"/>
      <c r="BF61" s="1292"/>
      <c r="BG61" s="1292"/>
      <c r="BH61" s="1292"/>
      <c r="BI61" s="1292"/>
      <c r="BJ61" s="1292"/>
      <c r="BK61" s="1292"/>
      <c r="BL61" s="1292"/>
      <c r="BM61" s="1292"/>
      <c r="BN61" s="1292"/>
      <c r="BO61" s="1292"/>
      <c r="BP61" s="1292"/>
      <c r="BQ61" s="1292"/>
      <c r="BR61" s="1292"/>
      <c r="BS61" s="1292"/>
      <c r="BT61" s="1292"/>
      <c r="BU61" s="1292"/>
      <c r="BV61" s="1292"/>
      <c r="BW61" s="1292"/>
      <c r="BX61" s="1292"/>
      <c r="BY61" s="1292"/>
      <c r="BZ61" s="1292"/>
      <c r="CA61" s="1292"/>
      <c r="CB61" s="1292"/>
      <c r="CC61" s="1292"/>
      <c r="CD61" s="1292"/>
      <c r="CE61" s="1292"/>
      <c r="CF61" s="1292"/>
      <c r="CG61" s="1292"/>
      <c r="CH61" s="1292"/>
      <c r="CI61" s="1292"/>
      <c r="CJ61" s="1292"/>
      <c r="CK61" s="1292"/>
      <c r="CL61" s="1292"/>
      <c r="CM61" s="1292"/>
      <c r="CN61" s="1292"/>
      <c r="CO61" s="1292"/>
      <c r="CP61" s="1292"/>
      <c r="CQ61" s="1292"/>
      <c r="CR61" s="1292"/>
      <c r="CS61" s="1292"/>
      <c r="CT61" s="1292"/>
      <c r="CU61" s="1292"/>
      <c r="CV61" s="1292"/>
      <c r="CW61" s="1292"/>
      <c r="CX61" s="1292"/>
      <c r="CY61" s="1292"/>
      <c r="CZ61" s="1292"/>
      <c r="DA61" s="1292"/>
      <c r="DB61" s="1292"/>
      <c r="DC61" s="1292"/>
      <c r="DD61" s="1292"/>
      <c r="DE61" s="1292"/>
      <c r="DF61" s="1292"/>
      <c r="DG61" s="1292"/>
      <c r="DH61" s="1292"/>
      <c r="DI61" s="1292"/>
      <c r="DJ61" s="1292"/>
      <c r="DK61" s="1292"/>
      <c r="DL61" s="1292"/>
      <c r="DM61" s="1292"/>
      <c r="DN61" s="1292"/>
      <c r="DO61" s="1292"/>
      <c r="DP61" s="1292"/>
      <c r="DQ61" s="1292"/>
      <c r="DR61" s="1292"/>
      <c r="DS61" s="1292"/>
      <c r="DT61" s="1292"/>
      <c r="DU61" s="1292"/>
      <c r="DV61" s="1292"/>
      <c r="DW61" s="1292"/>
      <c r="DX61" s="1292"/>
      <c r="DY61" s="1292"/>
      <c r="DZ61" s="1292"/>
      <c r="EA61" s="1292"/>
      <c r="EB61" s="1292"/>
      <c r="EC61" s="1292"/>
      <c r="ED61" s="1292"/>
      <c r="EE61" s="1292"/>
      <c r="EF61" s="1292"/>
      <c r="EG61" s="1292"/>
      <c r="EH61" s="1292"/>
      <c r="EI61" s="1292"/>
      <c r="EJ61" s="1292"/>
      <c r="EK61" s="1292"/>
      <c r="EL61" s="1292"/>
      <c r="EM61" s="1292"/>
      <c r="EN61" s="1292"/>
      <c r="EO61" s="1292"/>
      <c r="EP61" s="1292"/>
      <c r="EQ61" s="1292"/>
      <c r="ER61" s="1292"/>
      <c r="ES61" s="1292"/>
      <c r="ET61" s="1292"/>
      <c r="EU61" s="1292"/>
      <c r="EV61" s="1292"/>
      <c r="EW61" s="1292"/>
      <c r="EX61" s="1292"/>
      <c r="EY61" s="1292"/>
      <c r="EZ61" s="1292"/>
      <c r="FA61" s="1292"/>
      <c r="FB61" s="1292"/>
      <c r="FC61" s="1292"/>
      <c r="FD61" s="1292"/>
      <c r="FE61" s="1292"/>
      <c r="FF61" s="1292"/>
      <c r="FG61" s="1292"/>
      <c r="FH61" s="1292"/>
      <c r="FI61" s="1292"/>
      <c r="FJ61" s="1292"/>
      <c r="FK61" s="1292"/>
      <c r="FL61" s="1292"/>
      <c r="FM61" s="1292"/>
      <c r="FN61" s="1292"/>
      <c r="FO61" s="1292"/>
      <c r="FP61" s="1292"/>
      <c r="FQ61" s="1292"/>
      <c r="FR61" s="1292"/>
      <c r="FS61" s="1292"/>
      <c r="FT61" s="1292"/>
      <c r="FU61" s="1292"/>
      <c r="FV61" s="1292"/>
      <c r="FW61" s="1292"/>
      <c r="FX61" s="1292"/>
      <c r="FY61" s="1292"/>
      <c r="FZ61" s="1292"/>
      <c r="GA61" s="1292"/>
      <c r="GB61" s="1292"/>
      <c r="GC61" s="1292"/>
      <c r="GD61" s="1292"/>
      <c r="GE61" s="1292"/>
      <c r="GF61" s="1292"/>
      <c r="GG61" s="1292"/>
      <c r="GH61" s="1292"/>
      <c r="GI61" s="1292"/>
      <c r="GJ61" s="1292"/>
      <c r="GK61" s="1292"/>
      <c r="GL61" s="1292"/>
      <c r="GM61" s="1292"/>
      <c r="GN61" s="1292"/>
      <c r="GO61" s="1292"/>
      <c r="GP61" s="1292"/>
      <c r="GQ61" s="1292"/>
      <c r="GR61" s="1292"/>
      <c r="GS61" s="1292"/>
      <c r="GT61" s="1292"/>
      <c r="GU61" s="1292"/>
      <c r="GV61" s="1292"/>
      <c r="GW61" s="1292"/>
      <c r="GX61" s="1292"/>
      <c r="GY61" s="1292"/>
      <c r="GZ61" s="1292"/>
      <c r="HA61" s="1292"/>
      <c r="HB61" s="1292"/>
      <c r="HC61" s="1292"/>
      <c r="HD61" s="1292"/>
      <c r="HE61" s="1292"/>
      <c r="HF61" s="1292"/>
      <c r="HG61" s="1292"/>
      <c r="HH61" s="1292"/>
      <c r="HI61" s="1292"/>
      <c r="HJ61" s="1292"/>
      <c r="HK61" s="1292"/>
      <c r="HL61" s="1292"/>
      <c r="HM61" s="1292"/>
      <c r="HN61" s="1292"/>
      <c r="HO61" s="1292"/>
      <c r="HP61" s="1292"/>
      <c r="HQ61" s="1292"/>
      <c r="HR61" s="1292"/>
      <c r="HS61" s="1292"/>
      <c r="HT61" s="1292"/>
      <c r="HU61" s="1292"/>
      <c r="HV61" s="1292"/>
      <c r="HW61" s="1292"/>
      <c r="HX61" s="1292"/>
      <c r="HY61" s="1292"/>
      <c r="HZ61" s="1292"/>
      <c r="IA61" s="1292"/>
      <c r="IB61" s="1292"/>
      <c r="IC61" s="1292"/>
      <c r="ID61" s="1292"/>
      <c r="IE61" s="1292"/>
      <c r="IF61" s="1292"/>
      <c r="IG61" s="1292"/>
      <c r="IH61" s="1292"/>
      <c r="II61" s="1292"/>
      <c r="IJ61" s="1292"/>
      <c r="IK61" s="1292"/>
      <c r="IL61" s="1292"/>
      <c r="IM61" s="1292"/>
      <c r="IN61" s="1292"/>
      <c r="IO61" s="1292"/>
      <c r="IP61" s="1292"/>
      <c r="IQ61" s="1292"/>
      <c r="IR61" s="1292"/>
      <c r="IS61" s="1292"/>
      <c r="IT61" s="1292"/>
      <c r="IU61" s="1292"/>
      <c r="IV61" s="1292"/>
    </row>
    <row r="62" spans="1:256">
      <c r="A62" s="1292"/>
      <c r="B62" s="1292"/>
      <c r="C62" s="1292"/>
      <c r="D62" s="1292"/>
      <c r="E62" s="1292"/>
      <c r="F62" s="1292"/>
      <c r="G62" s="1292"/>
      <c r="H62" s="1292"/>
      <c r="I62" s="1292"/>
      <c r="J62" s="1292"/>
      <c r="K62" s="1292"/>
      <c r="L62" s="1292"/>
      <c r="M62" s="1292"/>
      <c r="N62" s="1292"/>
      <c r="O62" s="1292"/>
      <c r="P62" s="1292"/>
      <c r="Q62" s="1292"/>
      <c r="R62" s="1292"/>
      <c r="S62" s="1292"/>
      <c r="T62" s="1292"/>
      <c r="U62" s="1292"/>
      <c r="V62" s="1292"/>
      <c r="W62" s="1292"/>
      <c r="X62" s="1292"/>
      <c r="Y62" s="1292"/>
      <c r="Z62" s="1292"/>
      <c r="AA62" s="1292"/>
      <c r="AB62" s="1292"/>
      <c r="AC62" s="1292"/>
      <c r="AD62" s="1292"/>
      <c r="AE62" s="1292"/>
      <c r="AF62" s="1292"/>
      <c r="AG62" s="1292"/>
      <c r="AH62" s="1292"/>
      <c r="AI62" s="1292"/>
      <c r="AJ62" s="1292"/>
      <c r="AK62" s="1292"/>
      <c r="AL62" s="1292"/>
      <c r="AM62" s="1292"/>
      <c r="AN62" s="1292"/>
      <c r="AO62" s="1292"/>
      <c r="AP62" s="1292"/>
      <c r="AQ62" s="1292"/>
      <c r="AR62" s="1292"/>
      <c r="AS62" s="1292"/>
      <c r="AT62" s="1292"/>
      <c r="AU62" s="1292"/>
      <c r="AV62" s="1292"/>
      <c r="AW62" s="1292"/>
      <c r="AX62" s="1292"/>
      <c r="AY62" s="1292"/>
      <c r="AZ62" s="1292"/>
      <c r="BA62" s="1292"/>
      <c r="BB62" s="1292"/>
      <c r="BC62" s="1292"/>
      <c r="BD62" s="1292"/>
      <c r="BE62" s="1292"/>
      <c r="BF62" s="1292"/>
      <c r="BG62" s="1292"/>
      <c r="BH62" s="1292"/>
      <c r="BI62" s="1292"/>
      <c r="BJ62" s="1292"/>
      <c r="BK62" s="1292"/>
      <c r="BL62" s="1292"/>
      <c r="BM62" s="1292"/>
      <c r="BN62" s="1292"/>
      <c r="BO62" s="1292"/>
      <c r="BP62" s="1292"/>
      <c r="BQ62" s="1292"/>
      <c r="BR62" s="1292"/>
      <c r="BS62" s="1292"/>
      <c r="BT62" s="1292"/>
      <c r="BU62" s="1292"/>
      <c r="BV62" s="1292"/>
      <c r="BW62" s="1292"/>
      <c r="BX62" s="1292"/>
      <c r="BY62" s="1292"/>
      <c r="BZ62" s="1292"/>
      <c r="CA62" s="1292"/>
      <c r="CB62" s="1292"/>
      <c r="CC62" s="1292"/>
      <c r="CD62" s="1292"/>
      <c r="CE62" s="1292"/>
      <c r="CF62" s="1292"/>
      <c r="CG62" s="1292"/>
      <c r="CH62" s="1292"/>
      <c r="CI62" s="1292"/>
      <c r="CJ62" s="1292"/>
      <c r="CK62" s="1292"/>
      <c r="CL62" s="1292"/>
      <c r="CM62" s="1292"/>
      <c r="CN62" s="1292"/>
      <c r="CO62" s="1292"/>
      <c r="CP62" s="1292"/>
      <c r="CQ62" s="1292"/>
      <c r="CR62" s="1292"/>
      <c r="CS62" s="1292"/>
      <c r="CT62" s="1292"/>
      <c r="CU62" s="1292"/>
      <c r="CV62" s="1292"/>
      <c r="CW62" s="1292"/>
      <c r="CX62" s="1292"/>
      <c r="CY62" s="1292"/>
      <c r="CZ62" s="1292"/>
      <c r="DA62" s="1292"/>
      <c r="DB62" s="1292"/>
      <c r="DC62" s="1292"/>
      <c r="DD62" s="1292"/>
      <c r="DE62" s="1292"/>
      <c r="DF62" s="1292"/>
      <c r="DG62" s="1292"/>
      <c r="DH62" s="1292"/>
      <c r="DI62" s="1292"/>
      <c r="DJ62" s="1292"/>
      <c r="DK62" s="1292"/>
      <c r="DL62" s="1292"/>
      <c r="DM62" s="1292"/>
      <c r="DN62" s="1292"/>
      <c r="DO62" s="1292"/>
      <c r="DP62" s="1292"/>
      <c r="DQ62" s="1292"/>
      <c r="DR62" s="1292"/>
      <c r="DS62" s="1292"/>
      <c r="DT62" s="1292"/>
      <c r="DU62" s="1292"/>
      <c r="DV62" s="1292"/>
      <c r="DW62" s="1292"/>
      <c r="DX62" s="1292"/>
      <c r="DY62" s="1292"/>
      <c r="DZ62" s="1292"/>
      <c r="EA62" s="1292"/>
      <c r="EB62" s="1292"/>
      <c r="EC62" s="1292"/>
      <c r="ED62" s="1292"/>
      <c r="EE62" s="1292"/>
      <c r="EF62" s="1292"/>
      <c r="EG62" s="1292"/>
      <c r="EH62" s="1292"/>
      <c r="EI62" s="1292"/>
      <c r="EJ62" s="1292"/>
      <c r="EK62" s="1292"/>
      <c r="EL62" s="1292"/>
      <c r="EM62" s="1292"/>
      <c r="EN62" s="1292"/>
      <c r="EO62" s="1292"/>
      <c r="EP62" s="1292"/>
      <c r="EQ62" s="1292"/>
      <c r="ER62" s="1292"/>
      <c r="ES62" s="1292"/>
      <c r="ET62" s="1292"/>
      <c r="EU62" s="1292"/>
      <c r="EV62" s="1292"/>
      <c r="EW62" s="1292"/>
      <c r="EX62" s="1292"/>
      <c r="EY62" s="1292"/>
      <c r="EZ62" s="1292"/>
      <c r="FA62" s="1292"/>
      <c r="FB62" s="1292"/>
      <c r="FC62" s="1292"/>
      <c r="FD62" s="1292"/>
      <c r="FE62" s="1292"/>
      <c r="FF62" s="1292"/>
      <c r="FG62" s="1292"/>
      <c r="FH62" s="1292"/>
      <c r="FI62" s="1292"/>
      <c r="FJ62" s="1292"/>
      <c r="FK62" s="1292"/>
      <c r="FL62" s="1292"/>
      <c r="FM62" s="1292"/>
      <c r="FN62" s="1292"/>
      <c r="FO62" s="1292"/>
      <c r="FP62" s="1292"/>
      <c r="FQ62" s="1292"/>
      <c r="FR62" s="1292"/>
      <c r="FS62" s="1292"/>
      <c r="FT62" s="1292"/>
      <c r="FU62" s="1292"/>
      <c r="FV62" s="1292"/>
      <c r="FW62" s="1292"/>
      <c r="FX62" s="1292"/>
      <c r="FY62" s="1292"/>
      <c r="FZ62" s="1292"/>
      <c r="GA62" s="1292"/>
      <c r="GB62" s="1292"/>
      <c r="GC62" s="1292"/>
      <c r="GD62" s="1292"/>
      <c r="GE62" s="1292"/>
      <c r="GF62" s="1292"/>
      <c r="GG62" s="1292"/>
      <c r="GH62" s="1292"/>
      <c r="GI62" s="1292"/>
      <c r="GJ62" s="1292"/>
      <c r="GK62" s="1292"/>
      <c r="GL62" s="1292"/>
      <c r="GM62" s="1292"/>
      <c r="GN62" s="1292"/>
      <c r="GO62" s="1292"/>
      <c r="GP62" s="1292"/>
      <c r="GQ62" s="1292"/>
      <c r="GR62" s="1292"/>
      <c r="GS62" s="1292"/>
      <c r="GT62" s="1292"/>
      <c r="GU62" s="1292"/>
      <c r="GV62" s="1292"/>
      <c r="GW62" s="1292"/>
      <c r="GX62" s="1292"/>
      <c r="GY62" s="1292"/>
      <c r="GZ62" s="1292"/>
      <c r="HA62" s="1292"/>
      <c r="HB62" s="1292"/>
      <c r="HC62" s="1292"/>
      <c r="HD62" s="1292"/>
      <c r="HE62" s="1292"/>
      <c r="HF62" s="1292"/>
      <c r="HG62" s="1292"/>
      <c r="HH62" s="1292"/>
      <c r="HI62" s="1292"/>
      <c r="HJ62" s="1292"/>
      <c r="HK62" s="1292"/>
      <c r="HL62" s="1292"/>
      <c r="HM62" s="1292"/>
      <c r="HN62" s="1292"/>
      <c r="HO62" s="1292"/>
      <c r="HP62" s="1292"/>
      <c r="HQ62" s="1292"/>
      <c r="HR62" s="1292"/>
      <c r="HS62" s="1292"/>
      <c r="HT62" s="1292"/>
      <c r="HU62" s="1292"/>
      <c r="HV62" s="1292"/>
      <c r="HW62" s="1292"/>
      <c r="HX62" s="1292"/>
      <c r="HY62" s="1292"/>
      <c r="HZ62" s="1292"/>
      <c r="IA62" s="1292"/>
      <c r="IB62" s="1292"/>
      <c r="IC62" s="1292"/>
      <c r="ID62" s="1292"/>
      <c r="IE62" s="1292"/>
      <c r="IF62" s="1292"/>
      <c r="IG62" s="1292"/>
      <c r="IH62" s="1292"/>
      <c r="II62" s="1292"/>
      <c r="IJ62" s="1292"/>
      <c r="IK62" s="1292"/>
      <c r="IL62" s="1292"/>
      <c r="IM62" s="1292"/>
      <c r="IN62" s="1292"/>
      <c r="IO62" s="1292"/>
      <c r="IP62" s="1292"/>
      <c r="IQ62" s="1292"/>
      <c r="IR62" s="1292"/>
      <c r="IS62" s="1292"/>
      <c r="IT62" s="1292"/>
      <c r="IU62" s="1292"/>
      <c r="IV62" s="1292"/>
    </row>
    <row r="63" spans="1:256">
      <c r="A63" s="1292"/>
      <c r="B63" s="1292"/>
      <c r="C63" s="1292"/>
      <c r="D63" s="1292"/>
      <c r="E63" s="1292"/>
      <c r="F63" s="1292"/>
      <c r="G63" s="1292"/>
      <c r="H63" s="1292"/>
      <c r="I63" s="1292"/>
      <c r="J63" s="1292"/>
      <c r="K63" s="1292"/>
      <c r="L63" s="1292"/>
      <c r="M63" s="1292"/>
      <c r="N63" s="1292"/>
      <c r="O63" s="1292"/>
      <c r="P63" s="1292"/>
      <c r="Q63" s="1292"/>
      <c r="R63" s="1292"/>
      <c r="S63" s="1292"/>
      <c r="T63" s="1292"/>
      <c r="U63" s="1292"/>
      <c r="V63" s="1292"/>
      <c r="W63" s="1292"/>
      <c r="X63" s="1292"/>
      <c r="Y63" s="1292"/>
      <c r="Z63" s="1292"/>
      <c r="AA63" s="1292"/>
      <c r="AB63" s="1292"/>
      <c r="AC63" s="1292"/>
      <c r="AD63" s="1292"/>
      <c r="AE63" s="1292"/>
      <c r="AF63" s="1292"/>
      <c r="AG63" s="1292"/>
      <c r="AH63" s="1292"/>
      <c r="AI63" s="1292"/>
      <c r="AJ63" s="1292"/>
      <c r="AK63" s="1292"/>
      <c r="AL63" s="1292"/>
      <c r="AM63" s="1292"/>
      <c r="AN63" s="1292"/>
      <c r="AO63" s="1292"/>
      <c r="AP63" s="1292"/>
      <c r="AQ63" s="1292"/>
      <c r="AR63" s="1292"/>
      <c r="AS63" s="1292"/>
      <c r="AT63" s="1292"/>
      <c r="AU63" s="1292"/>
      <c r="AV63" s="1292"/>
      <c r="AW63" s="1292"/>
      <c r="AX63" s="1292"/>
      <c r="AY63" s="1292"/>
      <c r="AZ63" s="1292"/>
      <c r="BA63" s="1292"/>
      <c r="BB63" s="1292"/>
      <c r="BC63" s="1292"/>
      <c r="BD63" s="1292"/>
      <c r="BE63" s="1292"/>
      <c r="BF63" s="1292"/>
      <c r="BG63" s="1292"/>
      <c r="BH63" s="1292"/>
      <c r="BI63" s="1292"/>
      <c r="BJ63" s="1292"/>
      <c r="BK63" s="1292"/>
      <c r="BL63" s="1292"/>
      <c r="BM63" s="1292"/>
      <c r="BN63" s="1292"/>
      <c r="BO63" s="1292"/>
      <c r="BP63" s="1292"/>
      <c r="BQ63" s="1292"/>
      <c r="BR63" s="1292"/>
      <c r="BS63" s="1292"/>
      <c r="BT63" s="1292"/>
      <c r="BU63" s="1292"/>
      <c r="BV63" s="1292"/>
      <c r="BW63" s="1292"/>
      <c r="BX63" s="1292"/>
      <c r="BY63" s="1292"/>
      <c r="BZ63" s="1292"/>
      <c r="CA63" s="1292"/>
      <c r="CB63" s="1292"/>
      <c r="CC63" s="1292"/>
      <c r="CD63" s="1292"/>
      <c r="CE63" s="1292"/>
      <c r="CF63" s="1292"/>
      <c r="CG63" s="1292"/>
      <c r="CH63" s="1292"/>
      <c r="CI63" s="1292"/>
      <c r="CJ63" s="1292"/>
      <c r="CK63" s="1292"/>
      <c r="CL63" s="1292"/>
      <c r="CM63" s="1292"/>
      <c r="CN63" s="1292"/>
      <c r="CO63" s="1292"/>
      <c r="CP63" s="1292"/>
      <c r="CQ63" s="1292"/>
      <c r="CR63" s="1292"/>
      <c r="CS63" s="1292"/>
      <c r="CT63" s="1292"/>
      <c r="CU63" s="1292"/>
      <c r="CV63" s="1292"/>
      <c r="CW63" s="1292"/>
      <c r="CX63" s="1292"/>
      <c r="CY63" s="1292"/>
      <c r="CZ63" s="1292"/>
      <c r="DA63" s="1292"/>
      <c r="DB63" s="1292"/>
      <c r="DC63" s="1292"/>
      <c r="DD63" s="1292"/>
      <c r="DE63" s="1292"/>
      <c r="DF63" s="1292"/>
      <c r="DG63" s="1292"/>
      <c r="DH63" s="1292"/>
      <c r="DI63" s="1292"/>
      <c r="DJ63" s="1292"/>
      <c r="DK63" s="1292"/>
      <c r="DL63" s="1292"/>
      <c r="DM63" s="1292"/>
      <c r="DN63" s="1292"/>
      <c r="DO63" s="1292"/>
      <c r="DP63" s="1292"/>
      <c r="DQ63" s="1292"/>
      <c r="DR63" s="1292"/>
      <c r="DS63" s="1292"/>
      <c r="DT63" s="1292"/>
      <c r="DU63" s="1292"/>
      <c r="DV63" s="1292"/>
      <c r="DW63" s="1292"/>
      <c r="DX63" s="1292"/>
      <c r="DY63" s="1292"/>
      <c r="DZ63" s="1292"/>
      <c r="EA63" s="1292"/>
      <c r="EB63" s="1292"/>
      <c r="EC63" s="1292"/>
      <c r="ED63" s="1292"/>
      <c r="EE63" s="1292"/>
      <c r="EF63" s="1292"/>
      <c r="EG63" s="1292"/>
      <c r="EH63" s="1292"/>
      <c r="EI63" s="1292"/>
      <c r="EJ63" s="1292"/>
      <c r="EK63" s="1292"/>
      <c r="EL63" s="1292"/>
      <c r="EM63" s="1292"/>
      <c r="EN63" s="1292"/>
      <c r="EO63" s="1292"/>
      <c r="EP63" s="1292"/>
      <c r="EQ63" s="1292"/>
      <c r="ER63" s="1292"/>
      <c r="ES63" s="1292"/>
      <c r="ET63" s="1292"/>
      <c r="EU63" s="1292"/>
      <c r="EV63" s="1292"/>
      <c r="EW63" s="1292"/>
      <c r="EX63" s="1292"/>
      <c r="EY63" s="1292"/>
      <c r="EZ63" s="1292"/>
      <c r="FA63" s="1292"/>
      <c r="FB63" s="1292"/>
      <c r="FC63" s="1292"/>
      <c r="FD63" s="1292"/>
      <c r="FE63" s="1292"/>
      <c r="FF63" s="1292"/>
      <c r="FG63" s="1292"/>
      <c r="FH63" s="1292"/>
      <c r="FI63" s="1292"/>
      <c r="FJ63" s="1292"/>
      <c r="FK63" s="1292"/>
      <c r="FL63" s="1292"/>
      <c r="FM63" s="1292"/>
      <c r="FN63" s="1292"/>
      <c r="FO63" s="1292"/>
      <c r="FP63" s="1292"/>
      <c r="FQ63" s="1292"/>
      <c r="FR63" s="1292"/>
      <c r="FS63" s="1292"/>
      <c r="FT63" s="1292"/>
      <c r="FU63" s="1292"/>
      <c r="FV63" s="1292"/>
      <c r="FW63" s="1292"/>
      <c r="FX63" s="1292"/>
      <c r="FY63" s="1292"/>
      <c r="FZ63" s="1292"/>
      <c r="GA63" s="1292"/>
      <c r="GB63" s="1292"/>
      <c r="GC63" s="1292"/>
      <c r="GD63" s="1292"/>
      <c r="GE63" s="1292"/>
      <c r="GF63" s="1292"/>
      <c r="GG63" s="1292"/>
      <c r="GH63" s="1292"/>
      <c r="GI63" s="1292"/>
      <c r="GJ63" s="1292"/>
      <c r="GK63" s="1292"/>
      <c r="GL63" s="1292"/>
      <c r="GM63" s="1292"/>
      <c r="GN63" s="1292"/>
      <c r="GO63" s="1292"/>
      <c r="GP63" s="1292"/>
      <c r="GQ63" s="1292"/>
      <c r="GR63" s="1292"/>
      <c r="GS63" s="1292"/>
      <c r="GT63" s="1292"/>
      <c r="GU63" s="1292"/>
      <c r="GV63" s="1292"/>
      <c r="GW63" s="1292"/>
      <c r="GX63" s="1292"/>
      <c r="GY63" s="1292"/>
      <c r="GZ63" s="1292"/>
      <c r="HA63" s="1292"/>
      <c r="HB63" s="1292"/>
      <c r="HC63" s="1292"/>
      <c r="HD63" s="1292"/>
      <c r="HE63" s="1292"/>
      <c r="HF63" s="1292"/>
      <c r="HG63" s="1292"/>
      <c r="HH63" s="1292"/>
      <c r="HI63" s="1292"/>
      <c r="HJ63" s="1292"/>
      <c r="HK63" s="1292"/>
      <c r="HL63" s="1292"/>
      <c r="HM63" s="1292"/>
      <c r="HN63" s="1292"/>
      <c r="HO63" s="1292"/>
      <c r="HP63" s="1292"/>
      <c r="HQ63" s="1292"/>
      <c r="HR63" s="1292"/>
      <c r="HS63" s="1292"/>
      <c r="HT63" s="1292"/>
      <c r="HU63" s="1292"/>
      <c r="HV63" s="1292"/>
      <c r="HW63" s="1292"/>
      <c r="HX63" s="1292"/>
      <c r="HY63" s="1292"/>
      <c r="HZ63" s="1292"/>
      <c r="IA63" s="1292"/>
      <c r="IB63" s="1292"/>
      <c r="IC63" s="1292"/>
      <c r="ID63" s="1292"/>
      <c r="IE63" s="1292"/>
      <c r="IF63" s="1292"/>
      <c r="IG63" s="1292"/>
      <c r="IH63" s="1292"/>
      <c r="II63" s="1292"/>
      <c r="IJ63" s="1292"/>
      <c r="IK63" s="1292"/>
      <c r="IL63" s="1292"/>
      <c r="IM63" s="1292"/>
      <c r="IN63" s="1292"/>
      <c r="IO63" s="1292"/>
      <c r="IP63" s="1292"/>
      <c r="IQ63" s="1292"/>
      <c r="IR63" s="1292"/>
      <c r="IS63" s="1292"/>
      <c r="IT63" s="1292"/>
      <c r="IU63" s="1292"/>
      <c r="IV63" s="1292"/>
    </row>
    <row r="64" spans="1:256">
      <c r="A64" s="1292"/>
      <c r="B64" s="1292"/>
      <c r="C64" s="1292"/>
      <c r="D64" s="1292"/>
      <c r="E64" s="1292"/>
      <c r="F64" s="1292"/>
      <c r="G64" s="1292"/>
      <c r="H64" s="1292"/>
      <c r="I64" s="1292"/>
      <c r="J64" s="1292"/>
      <c r="K64" s="1292"/>
      <c r="L64" s="1292"/>
      <c r="M64" s="1292"/>
      <c r="N64" s="1292"/>
      <c r="O64" s="1292"/>
      <c r="P64" s="1292"/>
      <c r="Q64" s="1292"/>
      <c r="R64" s="1292"/>
      <c r="S64" s="1292"/>
      <c r="T64" s="1292"/>
      <c r="U64" s="1292"/>
      <c r="V64" s="1292"/>
      <c r="W64" s="1292"/>
      <c r="X64" s="1292"/>
      <c r="Y64" s="1292"/>
      <c r="Z64" s="1292"/>
      <c r="AA64" s="1292"/>
      <c r="AB64" s="1292"/>
      <c r="AC64" s="1292"/>
      <c r="AD64" s="1292"/>
      <c r="AE64" s="1292"/>
      <c r="AF64" s="1292"/>
      <c r="AG64" s="1292"/>
      <c r="AH64" s="1292"/>
      <c r="AI64" s="1292"/>
      <c r="AJ64" s="1292"/>
      <c r="AK64" s="1292"/>
      <c r="AL64" s="1292"/>
      <c r="AM64" s="1292"/>
      <c r="AN64" s="1292"/>
      <c r="AO64" s="1292"/>
      <c r="AP64" s="1292"/>
      <c r="AQ64" s="1292"/>
      <c r="AR64" s="1292"/>
      <c r="AS64" s="1292"/>
      <c r="AT64" s="1292"/>
      <c r="AU64" s="1292"/>
      <c r="AV64" s="1292"/>
      <c r="AW64" s="1292"/>
      <c r="AX64" s="1292"/>
      <c r="AY64" s="1292"/>
      <c r="AZ64" s="1292"/>
      <c r="BA64" s="1292"/>
      <c r="BB64" s="1292"/>
      <c r="BC64" s="1292"/>
      <c r="BD64" s="1292"/>
      <c r="BE64" s="1292"/>
      <c r="BF64" s="1292"/>
      <c r="BG64" s="1292"/>
      <c r="BH64" s="1292"/>
      <c r="BI64" s="1292"/>
      <c r="BJ64" s="1292"/>
      <c r="BK64" s="1292"/>
      <c r="BL64" s="1292"/>
      <c r="BM64" s="1292"/>
      <c r="BN64" s="1292"/>
      <c r="BO64" s="1292"/>
      <c r="BP64" s="1292"/>
      <c r="BQ64" s="1292"/>
      <c r="BR64" s="1292"/>
      <c r="BS64" s="1292"/>
      <c r="BT64" s="1292"/>
      <c r="BU64" s="1292"/>
      <c r="BV64" s="1292"/>
      <c r="BW64" s="1292"/>
      <c r="BX64" s="1292"/>
      <c r="BY64" s="1292"/>
      <c r="BZ64" s="1292"/>
      <c r="CA64" s="1292"/>
      <c r="CB64" s="1292"/>
      <c r="CC64" s="1292"/>
      <c r="CD64" s="1292"/>
      <c r="CE64" s="1292"/>
      <c r="CF64" s="1292"/>
      <c r="CG64" s="1292"/>
      <c r="CH64" s="1292"/>
      <c r="CI64" s="1292"/>
      <c r="CJ64" s="1292"/>
      <c r="CK64" s="1292"/>
      <c r="CL64" s="1292"/>
      <c r="CM64" s="1292"/>
      <c r="CN64" s="1292"/>
      <c r="CO64" s="1292"/>
      <c r="CP64" s="1292"/>
      <c r="CQ64" s="1292"/>
      <c r="CR64" s="1292"/>
      <c r="CS64" s="1292"/>
      <c r="CT64" s="1292"/>
      <c r="CU64" s="1292"/>
      <c r="CV64" s="1292"/>
      <c r="CW64" s="1292"/>
      <c r="CX64" s="1292"/>
      <c r="CY64" s="1292"/>
      <c r="CZ64" s="1292"/>
      <c r="DA64" s="1292"/>
      <c r="DB64" s="1292"/>
      <c r="DC64" s="1292"/>
      <c r="DD64" s="1292"/>
      <c r="DE64" s="1292"/>
      <c r="DF64" s="1292"/>
      <c r="DG64" s="1292"/>
      <c r="DH64" s="1292"/>
      <c r="DI64" s="1292"/>
      <c r="DJ64" s="1292"/>
      <c r="DK64" s="1292"/>
      <c r="DL64" s="1292"/>
      <c r="DM64" s="1292"/>
      <c r="DN64" s="1292"/>
      <c r="DO64" s="1292"/>
      <c r="DP64" s="1292"/>
      <c r="DQ64" s="1292"/>
      <c r="DR64" s="1292"/>
      <c r="DS64" s="1292"/>
      <c r="DT64" s="1292"/>
      <c r="DU64" s="1292"/>
      <c r="DV64" s="1292"/>
      <c r="DW64" s="1292"/>
      <c r="DX64" s="1292"/>
      <c r="DY64" s="1292"/>
      <c r="DZ64" s="1292"/>
      <c r="EA64" s="1292"/>
      <c r="EB64" s="1292"/>
      <c r="EC64" s="1292"/>
      <c r="ED64" s="1292"/>
      <c r="EE64" s="1292"/>
      <c r="EF64" s="1292"/>
      <c r="EG64" s="1292"/>
      <c r="EH64" s="1292"/>
      <c r="EI64" s="1292"/>
      <c r="EJ64" s="1292"/>
      <c r="EK64" s="1292"/>
      <c r="EL64" s="1292"/>
      <c r="EM64" s="1292"/>
      <c r="EN64" s="1292"/>
      <c r="EO64" s="1292"/>
      <c r="EP64" s="1292"/>
      <c r="EQ64" s="1292"/>
      <c r="ER64" s="1292"/>
      <c r="ES64" s="1292"/>
      <c r="ET64" s="1292"/>
      <c r="EU64" s="1292"/>
      <c r="EV64" s="1292"/>
      <c r="EW64" s="1292"/>
      <c r="EX64" s="1292"/>
      <c r="EY64" s="1292"/>
      <c r="EZ64" s="1292"/>
      <c r="FA64" s="1292"/>
      <c r="FB64" s="1292"/>
      <c r="FC64" s="1292"/>
      <c r="FD64" s="1292"/>
      <c r="FE64" s="1292"/>
      <c r="FF64" s="1292"/>
      <c r="FG64" s="1292"/>
      <c r="FH64" s="1292"/>
      <c r="FI64" s="1292"/>
      <c r="FJ64" s="1292"/>
      <c r="FK64" s="1292"/>
      <c r="FL64" s="1292"/>
      <c r="FM64" s="1292"/>
      <c r="FN64" s="1292"/>
      <c r="FO64" s="1292"/>
      <c r="FP64" s="1292"/>
      <c r="FQ64" s="1292"/>
      <c r="FR64" s="1292"/>
      <c r="FS64" s="1292"/>
      <c r="FT64" s="1292"/>
      <c r="FU64" s="1292"/>
      <c r="FV64" s="1292"/>
      <c r="FW64" s="1292"/>
      <c r="FX64" s="1292"/>
      <c r="FY64" s="1292"/>
      <c r="FZ64" s="1292"/>
      <c r="GA64" s="1292"/>
      <c r="GB64" s="1292"/>
      <c r="GC64" s="1292"/>
      <c r="GD64" s="1292"/>
      <c r="GE64" s="1292"/>
      <c r="GF64" s="1292"/>
      <c r="GG64" s="1292"/>
      <c r="GH64" s="1292"/>
      <c r="GI64" s="1292"/>
      <c r="GJ64" s="1292"/>
      <c r="GK64" s="1292"/>
      <c r="GL64" s="1292"/>
      <c r="GM64" s="1292"/>
      <c r="GN64" s="1292"/>
      <c r="GO64" s="1292"/>
      <c r="GP64" s="1292"/>
      <c r="GQ64" s="1292"/>
      <c r="GR64" s="1292"/>
      <c r="GS64" s="1292"/>
      <c r="GT64" s="1292"/>
      <c r="GU64" s="1292"/>
      <c r="GV64" s="1292"/>
      <c r="GW64" s="1292"/>
      <c r="GX64" s="1292"/>
      <c r="GY64" s="1292"/>
      <c r="GZ64" s="1292"/>
      <c r="HA64" s="1292"/>
      <c r="HB64" s="1292"/>
      <c r="HC64" s="1292"/>
      <c r="HD64" s="1292"/>
      <c r="HE64" s="1292"/>
      <c r="HF64" s="1292"/>
      <c r="HG64" s="1292"/>
      <c r="HH64" s="1292"/>
      <c r="HI64" s="1292"/>
      <c r="HJ64" s="1292"/>
      <c r="HK64" s="1292"/>
      <c r="HL64" s="1292"/>
      <c r="HM64" s="1292"/>
      <c r="HN64" s="1292"/>
      <c r="HO64" s="1292"/>
      <c r="HP64" s="1292"/>
      <c r="HQ64" s="1292"/>
      <c r="HR64" s="1292"/>
      <c r="HS64" s="1292"/>
      <c r="HT64" s="1292"/>
      <c r="HU64" s="1292"/>
      <c r="HV64" s="1292"/>
      <c r="HW64" s="1292"/>
      <c r="HX64" s="1292"/>
      <c r="HY64" s="1292"/>
      <c r="HZ64" s="1292"/>
      <c r="IA64" s="1292"/>
      <c r="IB64" s="1292"/>
      <c r="IC64" s="1292"/>
      <c r="ID64" s="1292"/>
      <c r="IE64" s="1292"/>
      <c r="IF64" s="1292"/>
      <c r="IG64" s="1292"/>
      <c r="IH64" s="1292"/>
      <c r="II64" s="1292"/>
      <c r="IJ64" s="1292"/>
      <c r="IK64" s="1292"/>
      <c r="IL64" s="1292"/>
      <c r="IM64" s="1292"/>
      <c r="IN64" s="1292"/>
      <c r="IO64" s="1292"/>
      <c r="IP64" s="1292"/>
      <c r="IQ64" s="1292"/>
      <c r="IR64" s="1292"/>
      <c r="IS64" s="1292"/>
      <c r="IT64" s="1292"/>
      <c r="IU64" s="1292"/>
      <c r="IV64" s="1292"/>
    </row>
    <row r="65" spans="1:256">
      <c r="A65" s="1292"/>
      <c r="B65" s="1292"/>
      <c r="C65" s="1292"/>
      <c r="D65" s="1292"/>
      <c r="E65" s="1292"/>
      <c r="F65" s="1292"/>
      <c r="G65" s="1292"/>
      <c r="H65" s="1292"/>
      <c r="I65" s="1292"/>
      <c r="J65" s="1292"/>
      <c r="K65" s="1292"/>
      <c r="L65" s="1292"/>
      <c r="M65" s="1292"/>
      <c r="N65" s="1292"/>
      <c r="O65" s="1292"/>
      <c r="P65" s="1292"/>
      <c r="Q65" s="1292"/>
      <c r="R65" s="1292"/>
      <c r="S65" s="1292"/>
      <c r="T65" s="1292"/>
      <c r="U65" s="1292"/>
      <c r="V65" s="1292"/>
      <c r="W65" s="1292"/>
      <c r="X65" s="1292"/>
      <c r="Y65" s="1292"/>
      <c r="Z65" s="1292"/>
      <c r="AA65" s="1292"/>
      <c r="AB65" s="1292"/>
      <c r="AC65" s="1292"/>
      <c r="AD65" s="1292"/>
      <c r="AE65" s="1292"/>
      <c r="AF65" s="1292"/>
      <c r="AG65" s="1292"/>
      <c r="AH65" s="1292"/>
      <c r="AI65" s="1292"/>
      <c r="AJ65" s="1292"/>
      <c r="AK65" s="1292"/>
      <c r="AL65" s="1292"/>
      <c r="AM65" s="1292"/>
      <c r="AN65" s="1292"/>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2"/>
      <c r="DD65" s="1292"/>
      <c r="DE65" s="1292"/>
      <c r="DF65" s="1292"/>
      <c r="DG65" s="1292"/>
      <c r="DH65" s="1292"/>
      <c r="DI65" s="1292"/>
      <c r="DJ65" s="1292"/>
      <c r="DK65" s="1292"/>
      <c r="DL65" s="1292"/>
      <c r="DM65" s="1292"/>
      <c r="DN65" s="1292"/>
      <c r="DO65" s="1292"/>
      <c r="DP65" s="1292"/>
      <c r="DQ65" s="1292"/>
      <c r="DR65" s="1292"/>
      <c r="DS65" s="1292"/>
      <c r="DT65" s="1292"/>
      <c r="DU65" s="1292"/>
      <c r="DV65" s="1292"/>
      <c r="DW65" s="1292"/>
      <c r="DX65" s="1292"/>
      <c r="DY65" s="1292"/>
      <c r="DZ65" s="1292"/>
      <c r="EA65" s="1292"/>
      <c r="EB65" s="1292"/>
      <c r="EC65" s="1292"/>
      <c r="ED65" s="1292"/>
      <c r="EE65" s="1292"/>
      <c r="EF65" s="1292"/>
      <c r="EG65" s="1292"/>
      <c r="EH65" s="1292"/>
      <c r="EI65" s="1292"/>
      <c r="EJ65" s="1292"/>
      <c r="EK65" s="1292"/>
      <c r="EL65" s="1292"/>
      <c r="EM65" s="1292"/>
      <c r="EN65" s="1292"/>
      <c r="EO65" s="1292"/>
      <c r="EP65" s="1292"/>
      <c r="EQ65" s="1292"/>
      <c r="ER65" s="1292"/>
      <c r="ES65" s="1292"/>
      <c r="ET65" s="1292"/>
      <c r="EU65" s="1292"/>
      <c r="EV65" s="1292"/>
      <c r="EW65" s="1292"/>
      <c r="EX65" s="1292"/>
      <c r="EY65" s="1292"/>
      <c r="EZ65" s="1292"/>
      <c r="FA65" s="1292"/>
      <c r="FB65" s="1292"/>
      <c r="FC65" s="1292"/>
      <c r="FD65" s="1292"/>
      <c r="FE65" s="1292"/>
      <c r="FF65" s="1292"/>
      <c r="FG65" s="1292"/>
      <c r="FH65" s="1292"/>
      <c r="FI65" s="1292"/>
      <c r="FJ65" s="1292"/>
      <c r="FK65" s="1292"/>
      <c r="FL65" s="1292"/>
      <c r="FM65" s="1292"/>
      <c r="FN65" s="1292"/>
      <c r="FO65" s="1292"/>
      <c r="FP65" s="1292"/>
      <c r="FQ65" s="1292"/>
      <c r="FR65" s="1292"/>
      <c r="FS65" s="1292"/>
      <c r="FT65" s="1292"/>
      <c r="FU65" s="1292"/>
      <c r="FV65" s="1292"/>
      <c r="FW65" s="1292"/>
      <c r="FX65" s="1292"/>
      <c r="FY65" s="1292"/>
      <c r="FZ65" s="1292"/>
      <c r="GA65" s="1292"/>
      <c r="GB65" s="1292"/>
      <c r="GC65" s="1292"/>
      <c r="GD65" s="1292"/>
      <c r="GE65" s="1292"/>
      <c r="GF65" s="1292"/>
      <c r="GG65" s="1292"/>
      <c r="GH65" s="1292"/>
      <c r="GI65" s="1292"/>
      <c r="GJ65" s="1292"/>
      <c r="GK65" s="1292"/>
      <c r="GL65" s="1292"/>
      <c r="GM65" s="1292"/>
      <c r="GN65" s="1292"/>
      <c r="GO65" s="1292"/>
      <c r="GP65" s="1292"/>
      <c r="GQ65" s="1292"/>
      <c r="GR65" s="1292"/>
      <c r="GS65" s="1292"/>
      <c r="GT65" s="1292"/>
      <c r="GU65" s="1292"/>
      <c r="GV65" s="1292"/>
      <c r="GW65" s="1292"/>
      <c r="GX65" s="1292"/>
      <c r="GY65" s="1292"/>
      <c r="GZ65" s="1292"/>
      <c r="HA65" s="1292"/>
      <c r="HB65" s="1292"/>
      <c r="HC65" s="1292"/>
      <c r="HD65" s="1292"/>
      <c r="HE65" s="1292"/>
      <c r="HF65" s="1292"/>
      <c r="HG65" s="1292"/>
      <c r="HH65" s="1292"/>
      <c r="HI65" s="1292"/>
      <c r="HJ65" s="1292"/>
      <c r="HK65" s="1292"/>
      <c r="HL65" s="1292"/>
      <c r="HM65" s="1292"/>
      <c r="HN65" s="1292"/>
      <c r="HO65" s="1292"/>
      <c r="HP65" s="1292"/>
      <c r="HQ65" s="1292"/>
      <c r="HR65" s="1292"/>
      <c r="HS65" s="1292"/>
      <c r="HT65" s="1292"/>
      <c r="HU65" s="1292"/>
      <c r="HV65" s="1292"/>
      <c r="HW65" s="1292"/>
      <c r="HX65" s="1292"/>
      <c r="HY65" s="1292"/>
      <c r="HZ65" s="1292"/>
      <c r="IA65" s="1292"/>
      <c r="IB65" s="1292"/>
      <c r="IC65" s="1292"/>
      <c r="ID65" s="1292"/>
      <c r="IE65" s="1292"/>
      <c r="IF65" s="1292"/>
      <c r="IG65" s="1292"/>
      <c r="IH65" s="1292"/>
      <c r="II65" s="1292"/>
      <c r="IJ65" s="1292"/>
      <c r="IK65" s="1292"/>
      <c r="IL65" s="1292"/>
      <c r="IM65" s="1292"/>
      <c r="IN65" s="1292"/>
      <c r="IO65" s="1292"/>
      <c r="IP65" s="1292"/>
      <c r="IQ65" s="1292"/>
      <c r="IR65" s="1292"/>
      <c r="IS65" s="1292"/>
      <c r="IT65" s="1292"/>
      <c r="IU65" s="1292"/>
      <c r="IV65" s="1292"/>
    </row>
    <row r="66" spans="1:256">
      <c r="A66" s="1292"/>
      <c r="B66" s="1292"/>
      <c r="C66" s="1292"/>
      <c r="D66" s="1292"/>
      <c r="E66" s="1292"/>
      <c r="F66" s="1292"/>
      <c r="G66" s="1292"/>
      <c r="H66" s="1292"/>
      <c r="I66" s="1292"/>
      <c r="J66" s="1292"/>
      <c r="K66" s="1292"/>
      <c r="L66" s="1292"/>
      <c r="M66" s="1292"/>
      <c r="N66" s="1292"/>
      <c r="O66" s="1292"/>
      <c r="P66" s="1292"/>
      <c r="Q66" s="1292"/>
      <c r="R66" s="1292"/>
      <c r="S66" s="1292"/>
      <c r="T66" s="1292"/>
      <c r="U66" s="1292"/>
      <c r="V66" s="1292"/>
      <c r="W66" s="1292"/>
      <c r="X66" s="1292"/>
      <c r="Y66" s="1292"/>
      <c r="Z66" s="1292"/>
      <c r="AA66" s="1292"/>
      <c r="AB66" s="1292"/>
      <c r="AC66" s="1292"/>
      <c r="AD66" s="1292"/>
      <c r="AE66" s="1292"/>
      <c r="AF66" s="1292"/>
      <c r="AG66" s="1292"/>
      <c r="AH66" s="1292"/>
      <c r="AI66" s="1292"/>
      <c r="AJ66" s="1292"/>
      <c r="AK66" s="1292"/>
      <c r="AL66" s="1292"/>
      <c r="AM66" s="1292"/>
      <c r="AN66" s="1292"/>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2"/>
      <c r="DD66" s="1292"/>
      <c r="DE66" s="1292"/>
      <c r="DF66" s="1292"/>
      <c r="DG66" s="1292"/>
      <c r="DH66" s="1292"/>
      <c r="DI66" s="1292"/>
      <c r="DJ66" s="1292"/>
      <c r="DK66" s="1292"/>
      <c r="DL66" s="1292"/>
      <c r="DM66" s="1292"/>
      <c r="DN66" s="1292"/>
      <c r="DO66" s="1292"/>
      <c r="DP66" s="1292"/>
      <c r="DQ66" s="1292"/>
      <c r="DR66" s="1292"/>
      <c r="DS66" s="1292"/>
      <c r="DT66" s="1292"/>
      <c r="DU66" s="1292"/>
      <c r="DV66" s="1292"/>
      <c r="DW66" s="1292"/>
      <c r="DX66" s="1292"/>
      <c r="DY66" s="1292"/>
      <c r="DZ66" s="1292"/>
      <c r="EA66" s="1292"/>
      <c r="EB66" s="1292"/>
      <c r="EC66" s="1292"/>
      <c r="ED66" s="1292"/>
      <c r="EE66" s="1292"/>
      <c r="EF66" s="1292"/>
      <c r="EG66" s="1292"/>
      <c r="EH66" s="1292"/>
      <c r="EI66" s="1292"/>
      <c r="EJ66" s="1292"/>
      <c r="EK66" s="1292"/>
      <c r="EL66" s="1292"/>
      <c r="EM66" s="1292"/>
      <c r="EN66" s="1292"/>
      <c r="EO66" s="1292"/>
      <c r="EP66" s="1292"/>
      <c r="EQ66" s="1292"/>
      <c r="ER66" s="1292"/>
      <c r="ES66" s="1292"/>
      <c r="ET66" s="1292"/>
      <c r="EU66" s="1292"/>
      <c r="EV66" s="1292"/>
      <c r="EW66" s="1292"/>
      <c r="EX66" s="1292"/>
      <c r="EY66" s="1292"/>
      <c r="EZ66" s="1292"/>
      <c r="FA66" s="1292"/>
      <c r="FB66" s="1292"/>
      <c r="FC66" s="1292"/>
      <c r="FD66" s="1292"/>
      <c r="FE66" s="1292"/>
      <c r="FF66" s="1292"/>
      <c r="FG66" s="1292"/>
      <c r="FH66" s="1292"/>
      <c r="FI66" s="1292"/>
      <c r="FJ66" s="1292"/>
      <c r="FK66" s="1292"/>
      <c r="FL66" s="1292"/>
      <c r="FM66" s="1292"/>
      <c r="FN66" s="1292"/>
      <c r="FO66" s="1292"/>
      <c r="FP66" s="1292"/>
      <c r="FQ66" s="1292"/>
      <c r="FR66" s="1292"/>
      <c r="FS66" s="1292"/>
      <c r="FT66" s="1292"/>
      <c r="FU66" s="1292"/>
      <c r="FV66" s="1292"/>
      <c r="FW66" s="1292"/>
      <c r="FX66" s="1292"/>
      <c r="FY66" s="1292"/>
      <c r="FZ66" s="1292"/>
      <c r="GA66" s="1292"/>
      <c r="GB66" s="1292"/>
      <c r="GC66" s="1292"/>
      <c r="GD66" s="1292"/>
      <c r="GE66" s="1292"/>
      <c r="GF66" s="1292"/>
      <c r="GG66" s="1292"/>
      <c r="GH66" s="1292"/>
      <c r="GI66" s="1292"/>
      <c r="GJ66" s="1292"/>
      <c r="GK66" s="1292"/>
      <c r="GL66" s="1292"/>
      <c r="GM66" s="1292"/>
      <c r="GN66" s="1292"/>
      <c r="GO66" s="1292"/>
      <c r="GP66" s="1292"/>
      <c r="GQ66" s="1292"/>
      <c r="GR66" s="1292"/>
      <c r="GS66" s="1292"/>
      <c r="GT66" s="1292"/>
      <c r="GU66" s="1292"/>
      <c r="GV66" s="1292"/>
      <c r="GW66" s="1292"/>
      <c r="GX66" s="1292"/>
      <c r="GY66" s="1292"/>
      <c r="GZ66" s="1292"/>
      <c r="HA66" s="1292"/>
      <c r="HB66" s="1292"/>
      <c r="HC66" s="1292"/>
      <c r="HD66" s="1292"/>
      <c r="HE66" s="1292"/>
      <c r="HF66" s="1292"/>
      <c r="HG66" s="1292"/>
      <c r="HH66" s="1292"/>
      <c r="HI66" s="1292"/>
      <c r="HJ66" s="1292"/>
      <c r="HK66" s="1292"/>
      <c r="HL66" s="1292"/>
      <c r="HM66" s="1292"/>
      <c r="HN66" s="1292"/>
      <c r="HO66" s="1292"/>
      <c r="HP66" s="1292"/>
      <c r="HQ66" s="1292"/>
      <c r="HR66" s="1292"/>
      <c r="HS66" s="1292"/>
      <c r="HT66" s="1292"/>
      <c r="HU66" s="1292"/>
      <c r="HV66" s="1292"/>
      <c r="HW66" s="1292"/>
      <c r="HX66" s="1292"/>
      <c r="HY66" s="1292"/>
      <c r="HZ66" s="1292"/>
      <c r="IA66" s="1292"/>
      <c r="IB66" s="1292"/>
      <c r="IC66" s="1292"/>
      <c r="ID66" s="1292"/>
      <c r="IE66" s="1292"/>
      <c r="IF66" s="1292"/>
      <c r="IG66" s="1292"/>
      <c r="IH66" s="1292"/>
      <c r="II66" s="1292"/>
      <c r="IJ66" s="1292"/>
      <c r="IK66" s="1292"/>
      <c r="IL66" s="1292"/>
      <c r="IM66" s="1292"/>
      <c r="IN66" s="1292"/>
      <c r="IO66" s="1292"/>
      <c r="IP66" s="1292"/>
      <c r="IQ66" s="1292"/>
      <c r="IR66" s="1292"/>
      <c r="IS66" s="1292"/>
      <c r="IT66" s="1292"/>
      <c r="IU66" s="1292"/>
      <c r="IV66" s="1292"/>
    </row>
    <row r="67" spans="1:256">
      <c r="A67" s="1292"/>
      <c r="B67" s="1292"/>
      <c r="C67" s="1292"/>
      <c r="D67" s="1292"/>
      <c r="E67" s="1292"/>
      <c r="F67" s="1292"/>
      <c r="G67" s="1292"/>
      <c r="H67" s="1292"/>
      <c r="I67" s="1292"/>
      <c r="J67" s="1292"/>
      <c r="K67" s="1292"/>
      <c r="L67" s="1292"/>
      <c r="M67" s="1292"/>
      <c r="N67" s="1292"/>
      <c r="O67" s="1292"/>
      <c r="P67" s="1292"/>
      <c r="Q67" s="1292"/>
      <c r="R67" s="1292"/>
      <c r="S67" s="1292"/>
      <c r="T67" s="1292"/>
      <c r="U67" s="1292"/>
      <c r="V67" s="1292"/>
      <c r="W67" s="1292"/>
      <c r="X67" s="1292"/>
      <c r="Y67" s="1292"/>
      <c r="Z67" s="1292"/>
      <c r="AA67" s="1292"/>
      <c r="AB67" s="1292"/>
      <c r="AC67" s="1292"/>
      <c r="AD67" s="1292"/>
      <c r="AE67" s="1292"/>
      <c r="AF67" s="1292"/>
      <c r="AG67" s="1292"/>
      <c r="AH67" s="1292"/>
      <c r="AI67" s="1292"/>
      <c r="AJ67" s="1292"/>
      <c r="AK67" s="1292"/>
      <c r="AL67" s="1292"/>
      <c r="AM67" s="1292"/>
      <c r="AN67" s="1292"/>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2"/>
      <c r="DD67" s="1292"/>
      <c r="DE67" s="1292"/>
      <c r="DF67" s="1292"/>
      <c r="DG67" s="1292"/>
      <c r="DH67" s="1292"/>
      <c r="DI67" s="1292"/>
      <c r="DJ67" s="1292"/>
      <c r="DK67" s="1292"/>
      <c r="DL67" s="1292"/>
      <c r="DM67" s="1292"/>
      <c r="DN67" s="1292"/>
      <c r="DO67" s="1292"/>
      <c r="DP67" s="1292"/>
      <c r="DQ67" s="1292"/>
      <c r="DR67" s="1292"/>
      <c r="DS67" s="1292"/>
      <c r="DT67" s="1292"/>
      <c r="DU67" s="1292"/>
      <c r="DV67" s="1292"/>
      <c r="DW67" s="1292"/>
      <c r="DX67" s="1292"/>
      <c r="DY67" s="1292"/>
      <c r="DZ67" s="1292"/>
      <c r="EA67" s="1292"/>
      <c r="EB67" s="1292"/>
      <c r="EC67" s="1292"/>
      <c r="ED67" s="1292"/>
      <c r="EE67" s="1292"/>
      <c r="EF67" s="1292"/>
      <c r="EG67" s="1292"/>
      <c r="EH67" s="1292"/>
      <c r="EI67" s="1292"/>
      <c r="EJ67" s="1292"/>
      <c r="EK67" s="1292"/>
      <c r="EL67" s="1292"/>
      <c r="EM67" s="1292"/>
      <c r="EN67" s="1292"/>
      <c r="EO67" s="1292"/>
      <c r="EP67" s="1292"/>
      <c r="EQ67" s="1292"/>
      <c r="ER67" s="1292"/>
      <c r="ES67" s="1292"/>
      <c r="ET67" s="1292"/>
      <c r="EU67" s="1292"/>
      <c r="EV67" s="1292"/>
      <c r="EW67" s="1292"/>
      <c r="EX67" s="1292"/>
      <c r="EY67" s="1292"/>
      <c r="EZ67" s="1292"/>
      <c r="FA67" s="1292"/>
      <c r="FB67" s="1292"/>
      <c r="FC67" s="1292"/>
      <c r="FD67" s="1292"/>
      <c r="FE67" s="1292"/>
      <c r="FF67" s="1292"/>
      <c r="FG67" s="1292"/>
      <c r="FH67" s="1292"/>
      <c r="FI67" s="1292"/>
      <c r="FJ67" s="1292"/>
      <c r="FK67" s="1292"/>
      <c r="FL67" s="1292"/>
      <c r="FM67" s="1292"/>
      <c r="FN67" s="1292"/>
      <c r="FO67" s="1292"/>
      <c r="FP67" s="1292"/>
      <c r="FQ67" s="1292"/>
      <c r="FR67" s="1292"/>
      <c r="FS67" s="1292"/>
      <c r="FT67" s="1292"/>
      <c r="FU67" s="1292"/>
      <c r="FV67" s="1292"/>
      <c r="FW67" s="1292"/>
      <c r="FX67" s="1292"/>
      <c r="FY67" s="1292"/>
      <c r="FZ67" s="1292"/>
      <c r="GA67" s="1292"/>
      <c r="GB67" s="1292"/>
      <c r="GC67" s="1292"/>
      <c r="GD67" s="1292"/>
      <c r="GE67" s="1292"/>
      <c r="GF67" s="1292"/>
      <c r="GG67" s="1292"/>
      <c r="GH67" s="1292"/>
      <c r="GI67" s="1292"/>
      <c r="GJ67" s="1292"/>
      <c r="GK67" s="1292"/>
      <c r="GL67" s="1292"/>
      <c r="GM67" s="1292"/>
      <c r="GN67" s="1292"/>
      <c r="GO67" s="1292"/>
      <c r="GP67" s="1292"/>
      <c r="GQ67" s="1292"/>
      <c r="GR67" s="1292"/>
      <c r="GS67" s="1292"/>
      <c r="GT67" s="1292"/>
      <c r="GU67" s="1292"/>
      <c r="GV67" s="1292"/>
      <c r="GW67" s="1292"/>
      <c r="GX67" s="1292"/>
      <c r="GY67" s="1292"/>
      <c r="GZ67" s="1292"/>
      <c r="HA67" s="1292"/>
      <c r="HB67" s="1292"/>
      <c r="HC67" s="1292"/>
      <c r="HD67" s="1292"/>
      <c r="HE67" s="1292"/>
      <c r="HF67" s="1292"/>
      <c r="HG67" s="1292"/>
      <c r="HH67" s="1292"/>
      <c r="HI67" s="1292"/>
      <c r="HJ67" s="1292"/>
      <c r="HK67" s="1292"/>
      <c r="HL67" s="1292"/>
      <c r="HM67" s="1292"/>
      <c r="HN67" s="1292"/>
      <c r="HO67" s="1292"/>
      <c r="HP67" s="1292"/>
      <c r="HQ67" s="1292"/>
      <c r="HR67" s="1292"/>
      <c r="HS67" s="1292"/>
      <c r="HT67" s="1292"/>
      <c r="HU67" s="1292"/>
      <c r="HV67" s="1292"/>
      <c r="HW67" s="1292"/>
      <c r="HX67" s="1292"/>
      <c r="HY67" s="1292"/>
      <c r="HZ67" s="1292"/>
      <c r="IA67" s="1292"/>
      <c r="IB67" s="1292"/>
      <c r="IC67" s="1292"/>
      <c r="ID67" s="1292"/>
      <c r="IE67" s="1292"/>
      <c r="IF67" s="1292"/>
      <c r="IG67" s="1292"/>
      <c r="IH67" s="1292"/>
      <c r="II67" s="1292"/>
      <c r="IJ67" s="1292"/>
      <c r="IK67" s="1292"/>
      <c r="IL67" s="1292"/>
      <c r="IM67" s="1292"/>
      <c r="IN67" s="1292"/>
      <c r="IO67" s="1292"/>
      <c r="IP67" s="1292"/>
      <c r="IQ67" s="1292"/>
      <c r="IR67" s="1292"/>
      <c r="IS67" s="1292"/>
      <c r="IT67" s="1292"/>
      <c r="IU67" s="1292"/>
      <c r="IV67" s="1292"/>
    </row>
    <row r="68" spans="1:256">
      <c r="A68" s="1292"/>
      <c r="B68" s="1292"/>
      <c r="C68" s="1292"/>
      <c r="D68" s="1292"/>
      <c r="E68" s="1292"/>
      <c r="F68" s="1292"/>
      <c r="G68" s="1292"/>
      <c r="H68" s="1292"/>
      <c r="I68" s="1292"/>
      <c r="J68" s="1292"/>
      <c r="K68" s="1292"/>
      <c r="L68" s="1292"/>
      <c r="M68" s="1292"/>
      <c r="N68" s="1292"/>
      <c r="O68" s="1292"/>
      <c r="P68" s="1292"/>
      <c r="Q68" s="1292"/>
      <c r="R68" s="1292"/>
      <c r="S68" s="1292"/>
      <c r="T68" s="1292"/>
      <c r="U68" s="1292"/>
      <c r="V68" s="1292"/>
      <c r="W68" s="1292"/>
      <c r="X68" s="1292"/>
      <c r="Y68" s="1292"/>
      <c r="Z68" s="1292"/>
      <c r="AA68" s="1292"/>
      <c r="AB68" s="1292"/>
      <c r="AC68" s="1292"/>
      <c r="AD68" s="1292"/>
      <c r="AE68" s="1292"/>
      <c r="AF68" s="1292"/>
      <c r="AG68" s="1292"/>
      <c r="AH68" s="1292"/>
      <c r="AI68" s="1292"/>
      <c r="AJ68" s="1292"/>
      <c r="AK68" s="1292"/>
      <c r="AL68" s="1292"/>
      <c r="AM68" s="1292"/>
      <c r="AN68" s="1292"/>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2"/>
      <c r="DD68" s="1292"/>
      <c r="DE68" s="1292"/>
      <c r="DF68" s="1292"/>
      <c r="DG68" s="1292"/>
      <c r="DH68" s="1292"/>
      <c r="DI68" s="1292"/>
      <c r="DJ68" s="1292"/>
      <c r="DK68" s="1292"/>
      <c r="DL68" s="1292"/>
      <c r="DM68" s="1292"/>
      <c r="DN68" s="1292"/>
      <c r="DO68" s="1292"/>
      <c r="DP68" s="1292"/>
      <c r="DQ68" s="1292"/>
      <c r="DR68" s="1292"/>
      <c r="DS68" s="1292"/>
      <c r="DT68" s="1292"/>
      <c r="DU68" s="1292"/>
      <c r="DV68" s="1292"/>
      <c r="DW68" s="1292"/>
      <c r="DX68" s="1292"/>
      <c r="DY68" s="1292"/>
      <c r="DZ68" s="1292"/>
      <c r="EA68" s="1292"/>
      <c r="EB68" s="1292"/>
      <c r="EC68" s="1292"/>
      <c r="ED68" s="1292"/>
      <c r="EE68" s="1292"/>
      <c r="EF68" s="1292"/>
      <c r="EG68" s="1292"/>
      <c r="EH68" s="1292"/>
      <c r="EI68" s="1292"/>
      <c r="EJ68" s="1292"/>
      <c r="EK68" s="1292"/>
      <c r="EL68" s="1292"/>
      <c r="EM68" s="1292"/>
      <c r="EN68" s="1292"/>
      <c r="EO68" s="1292"/>
      <c r="EP68" s="1292"/>
      <c r="EQ68" s="1292"/>
      <c r="ER68" s="1292"/>
      <c r="ES68" s="1292"/>
      <c r="ET68" s="1292"/>
      <c r="EU68" s="1292"/>
      <c r="EV68" s="1292"/>
      <c r="EW68" s="1292"/>
      <c r="EX68" s="1292"/>
      <c r="EY68" s="1292"/>
      <c r="EZ68" s="1292"/>
      <c r="FA68" s="1292"/>
      <c r="FB68" s="1292"/>
      <c r="FC68" s="1292"/>
      <c r="FD68" s="1292"/>
      <c r="FE68" s="1292"/>
      <c r="FF68" s="1292"/>
      <c r="FG68" s="1292"/>
      <c r="FH68" s="1292"/>
      <c r="FI68" s="1292"/>
      <c r="FJ68" s="1292"/>
      <c r="FK68" s="1292"/>
      <c r="FL68" s="1292"/>
      <c r="FM68" s="1292"/>
      <c r="FN68" s="1292"/>
      <c r="FO68" s="1292"/>
      <c r="FP68" s="1292"/>
      <c r="FQ68" s="1292"/>
      <c r="FR68" s="1292"/>
      <c r="FS68" s="1292"/>
      <c r="FT68" s="1292"/>
      <c r="FU68" s="1292"/>
      <c r="FV68" s="1292"/>
      <c r="FW68" s="1292"/>
      <c r="FX68" s="1292"/>
      <c r="FY68" s="1292"/>
      <c r="FZ68" s="1292"/>
      <c r="GA68" s="1292"/>
      <c r="GB68" s="1292"/>
      <c r="GC68" s="1292"/>
      <c r="GD68" s="1292"/>
      <c r="GE68" s="1292"/>
      <c r="GF68" s="1292"/>
      <c r="GG68" s="1292"/>
      <c r="GH68" s="1292"/>
      <c r="GI68" s="1292"/>
      <c r="GJ68" s="1292"/>
      <c r="GK68" s="1292"/>
      <c r="GL68" s="1292"/>
      <c r="GM68" s="1292"/>
      <c r="GN68" s="1292"/>
      <c r="GO68" s="1292"/>
      <c r="GP68" s="1292"/>
      <c r="GQ68" s="1292"/>
      <c r="GR68" s="1292"/>
      <c r="GS68" s="1292"/>
      <c r="GT68" s="1292"/>
      <c r="GU68" s="1292"/>
      <c r="GV68" s="1292"/>
      <c r="GW68" s="1292"/>
      <c r="GX68" s="1292"/>
      <c r="GY68" s="1292"/>
      <c r="GZ68" s="1292"/>
      <c r="HA68" s="1292"/>
      <c r="HB68" s="1292"/>
      <c r="HC68" s="1292"/>
      <c r="HD68" s="1292"/>
      <c r="HE68" s="1292"/>
      <c r="HF68" s="1292"/>
      <c r="HG68" s="1292"/>
      <c r="HH68" s="1292"/>
      <c r="HI68" s="1292"/>
      <c r="HJ68" s="1292"/>
      <c r="HK68" s="1292"/>
      <c r="HL68" s="1292"/>
      <c r="HM68" s="1292"/>
      <c r="HN68" s="1292"/>
      <c r="HO68" s="1292"/>
      <c r="HP68" s="1292"/>
      <c r="HQ68" s="1292"/>
      <c r="HR68" s="1292"/>
      <c r="HS68" s="1292"/>
      <c r="HT68" s="1292"/>
      <c r="HU68" s="1292"/>
      <c r="HV68" s="1292"/>
      <c r="HW68" s="1292"/>
      <c r="HX68" s="1292"/>
      <c r="HY68" s="1292"/>
      <c r="HZ68" s="1292"/>
      <c r="IA68" s="1292"/>
      <c r="IB68" s="1292"/>
      <c r="IC68" s="1292"/>
      <c r="ID68" s="1292"/>
      <c r="IE68" s="1292"/>
      <c r="IF68" s="1292"/>
      <c r="IG68" s="1292"/>
      <c r="IH68" s="1292"/>
      <c r="II68" s="1292"/>
      <c r="IJ68" s="1292"/>
      <c r="IK68" s="1292"/>
      <c r="IL68" s="1292"/>
      <c r="IM68" s="1292"/>
      <c r="IN68" s="1292"/>
      <c r="IO68" s="1292"/>
      <c r="IP68" s="1292"/>
      <c r="IQ68" s="1292"/>
      <c r="IR68" s="1292"/>
      <c r="IS68" s="1292"/>
      <c r="IT68" s="1292"/>
      <c r="IU68" s="1292"/>
      <c r="IV68" s="1292"/>
    </row>
    <row r="69" spans="1:256">
      <c r="A69" s="1292"/>
      <c r="B69" s="1292"/>
      <c r="C69" s="1292"/>
      <c r="D69" s="1292"/>
      <c r="E69" s="1292"/>
      <c r="F69" s="1292"/>
      <c r="G69" s="1292"/>
      <c r="H69" s="1292"/>
      <c r="I69" s="1292"/>
      <c r="J69" s="1292"/>
      <c r="K69" s="1292"/>
      <c r="L69" s="1292"/>
      <c r="M69" s="1292"/>
      <c r="N69" s="1292"/>
      <c r="O69" s="1292"/>
      <c r="P69" s="1292"/>
      <c r="Q69" s="1292"/>
      <c r="R69" s="1292"/>
      <c r="S69" s="1292"/>
      <c r="T69" s="1292"/>
      <c r="U69" s="1292"/>
      <c r="V69" s="1292"/>
      <c r="W69" s="1292"/>
      <c r="X69" s="1292"/>
      <c r="Y69" s="1292"/>
      <c r="Z69" s="1292"/>
      <c r="AA69" s="1292"/>
      <c r="AB69" s="1292"/>
      <c r="AC69" s="1292"/>
      <c r="AD69" s="1292"/>
      <c r="AE69" s="1292"/>
      <c r="AF69" s="1292"/>
      <c r="AG69" s="1292"/>
      <c r="AH69" s="1292"/>
      <c r="AI69" s="1292"/>
      <c r="AJ69" s="1292"/>
      <c r="AK69" s="1292"/>
      <c r="AL69" s="1292"/>
      <c r="AM69" s="1292"/>
      <c r="AN69" s="1292"/>
      <c r="AO69" s="1292"/>
      <c r="AP69" s="1292"/>
      <c r="AQ69" s="1292"/>
      <c r="AR69" s="1292"/>
      <c r="AS69" s="1292"/>
      <c r="AT69" s="1292"/>
      <c r="AU69" s="1292"/>
      <c r="AV69" s="1292"/>
      <c r="AW69" s="1292"/>
      <c r="AX69" s="1292"/>
      <c r="AY69" s="1292"/>
      <c r="AZ69" s="1292"/>
      <c r="BA69" s="1292"/>
      <c r="BB69" s="1292"/>
      <c r="BC69" s="1292"/>
      <c r="BD69" s="1292"/>
      <c r="BE69" s="1292"/>
      <c r="BF69" s="1292"/>
      <c r="BG69" s="1292"/>
      <c r="BH69" s="1292"/>
      <c r="BI69" s="1292"/>
      <c r="BJ69" s="1292"/>
      <c r="BK69" s="1292"/>
      <c r="BL69" s="1292"/>
      <c r="BM69" s="1292"/>
      <c r="BN69" s="1292"/>
      <c r="BO69" s="1292"/>
      <c r="BP69" s="1292"/>
      <c r="BQ69" s="1292"/>
      <c r="BR69" s="1292"/>
      <c r="BS69" s="1292"/>
      <c r="BT69" s="1292"/>
      <c r="BU69" s="1292"/>
      <c r="BV69" s="1292"/>
      <c r="BW69" s="1292"/>
      <c r="BX69" s="1292"/>
      <c r="BY69" s="1292"/>
      <c r="BZ69" s="1292"/>
      <c r="CA69" s="1292"/>
      <c r="CB69" s="1292"/>
      <c r="CC69" s="1292"/>
      <c r="CD69" s="1292"/>
      <c r="CE69" s="1292"/>
      <c r="CF69" s="1292"/>
      <c r="CG69" s="1292"/>
      <c r="CH69" s="1292"/>
      <c r="CI69" s="1292"/>
      <c r="CJ69" s="1292"/>
      <c r="CK69" s="1292"/>
      <c r="CL69" s="1292"/>
      <c r="CM69" s="1292"/>
      <c r="CN69" s="1292"/>
      <c r="CO69" s="1292"/>
      <c r="CP69" s="1292"/>
      <c r="CQ69" s="1292"/>
      <c r="CR69" s="1292"/>
      <c r="CS69" s="1292"/>
      <c r="CT69" s="1292"/>
      <c r="CU69" s="1292"/>
      <c r="CV69" s="1292"/>
      <c r="CW69" s="1292"/>
      <c r="CX69" s="1292"/>
      <c r="CY69" s="1292"/>
      <c r="CZ69" s="1292"/>
      <c r="DA69" s="1292"/>
      <c r="DB69" s="1292"/>
      <c r="DC69" s="1292"/>
      <c r="DD69" s="1292"/>
      <c r="DE69" s="1292"/>
      <c r="DF69" s="1292"/>
      <c r="DG69" s="1292"/>
      <c r="DH69" s="1292"/>
      <c r="DI69" s="1292"/>
      <c r="DJ69" s="1292"/>
      <c r="DK69" s="1292"/>
      <c r="DL69" s="1292"/>
      <c r="DM69" s="1292"/>
      <c r="DN69" s="1292"/>
      <c r="DO69" s="1292"/>
      <c r="DP69" s="1292"/>
      <c r="DQ69" s="1292"/>
      <c r="DR69" s="1292"/>
      <c r="DS69" s="1292"/>
      <c r="DT69" s="1292"/>
      <c r="DU69" s="1292"/>
      <c r="DV69" s="1292"/>
      <c r="DW69" s="1292"/>
      <c r="DX69" s="1292"/>
      <c r="DY69" s="1292"/>
      <c r="DZ69" s="1292"/>
      <c r="EA69" s="1292"/>
      <c r="EB69" s="1292"/>
      <c r="EC69" s="1292"/>
      <c r="ED69" s="1292"/>
      <c r="EE69" s="1292"/>
      <c r="EF69" s="1292"/>
      <c r="EG69" s="1292"/>
      <c r="EH69" s="1292"/>
      <c r="EI69" s="1292"/>
      <c r="EJ69" s="1292"/>
      <c r="EK69" s="1292"/>
      <c r="EL69" s="1292"/>
      <c r="EM69" s="1292"/>
      <c r="EN69" s="1292"/>
      <c r="EO69" s="1292"/>
      <c r="EP69" s="1292"/>
      <c r="EQ69" s="1292"/>
      <c r="ER69" s="1292"/>
      <c r="ES69" s="1292"/>
      <c r="ET69" s="1292"/>
      <c r="EU69" s="1292"/>
      <c r="EV69" s="1292"/>
      <c r="EW69" s="1292"/>
      <c r="EX69" s="1292"/>
      <c r="EY69" s="1292"/>
      <c r="EZ69" s="1292"/>
      <c r="FA69" s="1292"/>
      <c r="FB69" s="1292"/>
      <c r="FC69" s="1292"/>
      <c r="FD69" s="1292"/>
      <c r="FE69" s="1292"/>
      <c r="FF69" s="1292"/>
      <c r="FG69" s="1292"/>
      <c r="FH69" s="1292"/>
      <c r="FI69" s="1292"/>
      <c r="FJ69" s="1292"/>
      <c r="FK69" s="1292"/>
      <c r="FL69" s="1292"/>
      <c r="FM69" s="1292"/>
      <c r="FN69" s="1292"/>
      <c r="FO69" s="1292"/>
      <c r="FP69" s="1292"/>
      <c r="FQ69" s="1292"/>
      <c r="FR69" s="1292"/>
      <c r="FS69" s="1292"/>
      <c r="FT69" s="1292"/>
      <c r="FU69" s="1292"/>
      <c r="FV69" s="1292"/>
      <c r="FW69" s="1292"/>
      <c r="FX69" s="1292"/>
      <c r="FY69" s="1292"/>
      <c r="FZ69" s="1292"/>
      <c r="GA69" s="1292"/>
      <c r="GB69" s="1292"/>
      <c r="GC69" s="1292"/>
      <c r="GD69" s="1292"/>
      <c r="GE69" s="1292"/>
      <c r="GF69" s="1292"/>
      <c r="GG69" s="1292"/>
      <c r="GH69" s="1292"/>
      <c r="GI69" s="1292"/>
      <c r="GJ69" s="1292"/>
      <c r="GK69" s="1292"/>
      <c r="GL69" s="1292"/>
      <c r="GM69" s="1292"/>
      <c r="GN69" s="1292"/>
      <c r="GO69" s="1292"/>
      <c r="GP69" s="1292"/>
      <c r="GQ69" s="1292"/>
      <c r="GR69" s="1292"/>
      <c r="GS69" s="1292"/>
      <c r="GT69" s="1292"/>
      <c r="GU69" s="1292"/>
      <c r="GV69" s="1292"/>
      <c r="GW69" s="1292"/>
      <c r="GX69" s="1292"/>
      <c r="GY69" s="1292"/>
      <c r="GZ69" s="1292"/>
      <c r="HA69" s="1292"/>
      <c r="HB69" s="1292"/>
      <c r="HC69" s="1292"/>
      <c r="HD69" s="1292"/>
      <c r="HE69" s="1292"/>
      <c r="HF69" s="1292"/>
      <c r="HG69" s="1292"/>
      <c r="HH69" s="1292"/>
      <c r="HI69" s="1292"/>
      <c r="HJ69" s="1292"/>
      <c r="HK69" s="1292"/>
      <c r="HL69" s="1292"/>
      <c r="HM69" s="1292"/>
      <c r="HN69" s="1292"/>
      <c r="HO69" s="1292"/>
      <c r="HP69" s="1292"/>
      <c r="HQ69" s="1292"/>
      <c r="HR69" s="1292"/>
      <c r="HS69" s="1292"/>
      <c r="HT69" s="1292"/>
      <c r="HU69" s="1292"/>
      <c r="HV69" s="1292"/>
      <c r="HW69" s="1292"/>
      <c r="HX69" s="1292"/>
      <c r="HY69" s="1292"/>
      <c r="HZ69" s="1292"/>
      <c r="IA69" s="1292"/>
      <c r="IB69" s="1292"/>
      <c r="IC69" s="1292"/>
      <c r="ID69" s="1292"/>
      <c r="IE69" s="1292"/>
      <c r="IF69" s="1292"/>
      <c r="IG69" s="1292"/>
      <c r="IH69" s="1292"/>
      <c r="II69" s="1292"/>
      <c r="IJ69" s="1292"/>
      <c r="IK69" s="1292"/>
      <c r="IL69" s="1292"/>
      <c r="IM69" s="1292"/>
      <c r="IN69" s="1292"/>
      <c r="IO69" s="1292"/>
      <c r="IP69" s="1292"/>
      <c r="IQ69" s="1292"/>
      <c r="IR69" s="1292"/>
      <c r="IS69" s="1292"/>
      <c r="IT69" s="1292"/>
      <c r="IU69" s="1292"/>
      <c r="IV69" s="1292"/>
    </row>
    <row r="70" spans="1:256">
      <c r="A70" s="1292"/>
      <c r="B70" s="1292"/>
      <c r="C70" s="1292"/>
      <c r="D70" s="1292"/>
      <c r="E70" s="1292"/>
      <c r="F70" s="1292"/>
      <c r="G70" s="1292"/>
      <c r="H70" s="1292"/>
      <c r="I70" s="1292"/>
      <c r="J70" s="1292"/>
      <c r="K70" s="1292"/>
      <c r="L70" s="1292"/>
      <c r="M70" s="1292"/>
      <c r="N70" s="1292"/>
      <c r="O70" s="1292"/>
      <c r="P70" s="1292"/>
      <c r="Q70" s="1292"/>
      <c r="R70" s="1292"/>
      <c r="S70" s="1292"/>
      <c r="T70" s="1292"/>
      <c r="U70" s="1292"/>
      <c r="V70" s="1292"/>
      <c r="W70" s="1292"/>
      <c r="X70" s="1292"/>
      <c r="Y70" s="1292"/>
      <c r="Z70" s="1292"/>
      <c r="AA70" s="1292"/>
      <c r="AB70" s="1292"/>
      <c r="AC70" s="1292"/>
      <c r="AD70" s="1292"/>
      <c r="AE70" s="1292"/>
      <c r="AF70" s="1292"/>
      <c r="AG70" s="1292"/>
      <c r="AH70" s="1292"/>
      <c r="AI70" s="1292"/>
      <c r="AJ70" s="1292"/>
      <c r="AK70" s="1292"/>
      <c r="AL70" s="1292"/>
      <c r="AM70" s="1292"/>
      <c r="AN70" s="1292"/>
      <c r="AO70" s="1292"/>
      <c r="AP70" s="1292"/>
      <c r="AQ70" s="1292"/>
      <c r="AR70" s="1292"/>
      <c r="AS70" s="1292"/>
      <c r="AT70" s="1292"/>
      <c r="AU70" s="1292"/>
      <c r="AV70" s="1292"/>
      <c r="AW70" s="1292"/>
      <c r="AX70" s="1292"/>
      <c r="AY70" s="1292"/>
      <c r="AZ70" s="1292"/>
      <c r="BA70" s="1292"/>
      <c r="BB70" s="1292"/>
      <c r="BC70" s="1292"/>
      <c r="BD70" s="1292"/>
      <c r="BE70" s="1292"/>
      <c r="BF70" s="1292"/>
      <c r="BG70" s="1292"/>
      <c r="BH70" s="1292"/>
      <c r="BI70" s="1292"/>
      <c r="BJ70" s="1292"/>
      <c r="BK70" s="1292"/>
      <c r="BL70" s="1292"/>
      <c r="BM70" s="1292"/>
      <c r="BN70" s="1292"/>
      <c r="BO70" s="1292"/>
      <c r="BP70" s="1292"/>
      <c r="BQ70" s="1292"/>
      <c r="BR70" s="1292"/>
      <c r="BS70" s="1292"/>
      <c r="BT70" s="1292"/>
      <c r="BU70" s="1292"/>
      <c r="BV70" s="1292"/>
      <c r="BW70" s="1292"/>
      <c r="BX70" s="1292"/>
      <c r="BY70" s="1292"/>
      <c r="BZ70" s="1292"/>
      <c r="CA70" s="1292"/>
      <c r="CB70" s="1292"/>
      <c r="CC70" s="1292"/>
      <c r="CD70" s="1292"/>
      <c r="CE70" s="1292"/>
      <c r="CF70" s="1292"/>
      <c r="CG70" s="1292"/>
      <c r="CH70" s="1292"/>
      <c r="CI70" s="1292"/>
      <c r="CJ70" s="1292"/>
      <c r="CK70" s="1292"/>
      <c r="CL70" s="1292"/>
      <c r="CM70" s="1292"/>
      <c r="CN70" s="1292"/>
      <c r="CO70" s="1292"/>
      <c r="CP70" s="1292"/>
      <c r="CQ70" s="1292"/>
      <c r="CR70" s="1292"/>
      <c r="CS70" s="1292"/>
      <c r="CT70" s="1292"/>
      <c r="CU70" s="1292"/>
      <c r="CV70" s="1292"/>
      <c r="CW70" s="1292"/>
      <c r="CX70" s="1292"/>
      <c r="CY70" s="1292"/>
      <c r="CZ70" s="1292"/>
      <c r="DA70" s="1292"/>
      <c r="DB70" s="1292"/>
      <c r="DC70" s="1292"/>
      <c r="DD70" s="1292"/>
      <c r="DE70" s="1292"/>
      <c r="DF70" s="1292"/>
      <c r="DG70" s="1292"/>
      <c r="DH70" s="1292"/>
      <c r="DI70" s="1292"/>
      <c r="DJ70" s="1292"/>
      <c r="DK70" s="1292"/>
      <c r="DL70" s="1292"/>
      <c r="DM70" s="1292"/>
      <c r="DN70" s="1292"/>
      <c r="DO70" s="1292"/>
      <c r="DP70" s="1292"/>
      <c r="DQ70" s="1292"/>
      <c r="DR70" s="1292"/>
      <c r="DS70" s="1292"/>
      <c r="DT70" s="1292"/>
      <c r="DU70" s="1292"/>
      <c r="DV70" s="1292"/>
      <c r="DW70" s="1292"/>
      <c r="DX70" s="1292"/>
      <c r="DY70" s="1292"/>
      <c r="DZ70" s="1292"/>
      <c r="EA70" s="1292"/>
      <c r="EB70" s="1292"/>
      <c r="EC70" s="1292"/>
      <c r="ED70" s="1292"/>
      <c r="EE70" s="1292"/>
      <c r="EF70" s="1292"/>
      <c r="EG70" s="1292"/>
      <c r="EH70" s="1292"/>
      <c r="EI70" s="1292"/>
      <c r="EJ70" s="1292"/>
      <c r="EK70" s="1292"/>
      <c r="EL70" s="1292"/>
      <c r="EM70" s="1292"/>
      <c r="EN70" s="1292"/>
      <c r="EO70" s="1292"/>
      <c r="EP70" s="1292"/>
      <c r="EQ70" s="1292"/>
      <c r="ER70" s="1292"/>
      <c r="ES70" s="1292"/>
      <c r="ET70" s="1292"/>
      <c r="EU70" s="1292"/>
      <c r="EV70" s="1292"/>
      <c r="EW70" s="1292"/>
      <c r="EX70" s="1292"/>
      <c r="EY70" s="1292"/>
      <c r="EZ70" s="1292"/>
      <c r="FA70" s="1292"/>
      <c r="FB70" s="1292"/>
      <c r="FC70" s="1292"/>
      <c r="FD70" s="1292"/>
      <c r="FE70" s="1292"/>
      <c r="FF70" s="1292"/>
      <c r="FG70" s="1292"/>
      <c r="FH70" s="1292"/>
      <c r="FI70" s="1292"/>
      <c r="FJ70" s="1292"/>
      <c r="FK70" s="1292"/>
      <c r="FL70" s="1292"/>
      <c r="FM70" s="1292"/>
      <c r="FN70" s="1292"/>
      <c r="FO70" s="1292"/>
      <c r="FP70" s="1292"/>
      <c r="FQ70" s="1292"/>
      <c r="FR70" s="1292"/>
      <c r="FS70" s="1292"/>
      <c r="FT70" s="1292"/>
      <c r="FU70" s="1292"/>
      <c r="FV70" s="1292"/>
      <c r="FW70" s="1292"/>
      <c r="FX70" s="1292"/>
      <c r="FY70" s="1292"/>
      <c r="FZ70" s="1292"/>
      <c r="GA70" s="1292"/>
      <c r="GB70" s="1292"/>
      <c r="GC70" s="1292"/>
      <c r="GD70" s="1292"/>
      <c r="GE70" s="1292"/>
      <c r="GF70" s="1292"/>
      <c r="GG70" s="1292"/>
      <c r="GH70" s="1292"/>
      <c r="GI70" s="1292"/>
      <c r="GJ70" s="1292"/>
      <c r="GK70" s="1292"/>
      <c r="GL70" s="1292"/>
      <c r="GM70" s="1292"/>
      <c r="GN70" s="1292"/>
      <c r="GO70" s="1292"/>
      <c r="GP70" s="1292"/>
      <c r="GQ70" s="1292"/>
      <c r="GR70" s="1292"/>
      <c r="GS70" s="1292"/>
      <c r="GT70" s="1292"/>
      <c r="GU70" s="1292"/>
      <c r="GV70" s="1292"/>
      <c r="GW70" s="1292"/>
      <c r="GX70" s="1292"/>
      <c r="GY70" s="1292"/>
      <c r="GZ70" s="1292"/>
      <c r="HA70" s="1292"/>
      <c r="HB70" s="1292"/>
      <c r="HC70" s="1292"/>
      <c r="HD70" s="1292"/>
      <c r="HE70" s="1292"/>
      <c r="HF70" s="1292"/>
      <c r="HG70" s="1292"/>
      <c r="HH70" s="1292"/>
      <c r="HI70" s="1292"/>
      <c r="HJ70" s="1292"/>
      <c r="HK70" s="1292"/>
      <c r="HL70" s="1292"/>
      <c r="HM70" s="1292"/>
      <c r="HN70" s="1292"/>
      <c r="HO70" s="1292"/>
      <c r="HP70" s="1292"/>
      <c r="HQ70" s="1292"/>
      <c r="HR70" s="1292"/>
      <c r="HS70" s="1292"/>
      <c r="HT70" s="1292"/>
      <c r="HU70" s="1292"/>
      <c r="HV70" s="1292"/>
      <c r="HW70" s="1292"/>
      <c r="HX70" s="1292"/>
      <c r="HY70" s="1292"/>
      <c r="HZ70" s="1292"/>
      <c r="IA70" s="1292"/>
      <c r="IB70" s="1292"/>
      <c r="IC70" s="1292"/>
      <c r="ID70" s="1292"/>
      <c r="IE70" s="1292"/>
      <c r="IF70" s="1292"/>
      <c r="IG70" s="1292"/>
      <c r="IH70" s="1292"/>
      <c r="II70" s="1292"/>
      <c r="IJ70" s="1292"/>
      <c r="IK70" s="1292"/>
      <c r="IL70" s="1292"/>
      <c r="IM70" s="1292"/>
      <c r="IN70" s="1292"/>
      <c r="IO70" s="1292"/>
      <c r="IP70" s="1292"/>
      <c r="IQ70" s="1292"/>
      <c r="IR70" s="1292"/>
      <c r="IS70" s="1292"/>
      <c r="IT70" s="1292"/>
      <c r="IU70" s="1292"/>
      <c r="IV70" s="1292"/>
    </row>
    <row r="71" spans="1:256">
      <c r="A71" s="1292"/>
      <c r="B71" s="1292"/>
      <c r="C71" s="1292"/>
      <c r="D71" s="1292"/>
      <c r="E71" s="1292"/>
      <c r="F71" s="1292"/>
      <c r="G71" s="1292"/>
      <c r="H71" s="1292"/>
      <c r="I71" s="1292"/>
      <c r="J71" s="1292"/>
      <c r="K71" s="1292"/>
      <c r="L71" s="1292"/>
      <c r="M71" s="1292"/>
      <c r="N71" s="1292"/>
      <c r="O71" s="1292"/>
      <c r="P71" s="1292"/>
      <c r="Q71" s="1292"/>
      <c r="R71" s="1292"/>
      <c r="S71" s="1292"/>
      <c r="T71" s="1292"/>
      <c r="U71" s="1292"/>
      <c r="V71" s="1292"/>
      <c r="W71" s="1292"/>
      <c r="X71" s="1292"/>
      <c r="Y71" s="1292"/>
      <c r="Z71" s="1292"/>
      <c r="AA71" s="1292"/>
      <c r="AB71" s="1292"/>
      <c r="AC71" s="1292"/>
      <c r="AD71" s="1292"/>
      <c r="AE71" s="1292"/>
      <c r="AF71" s="1292"/>
      <c r="AG71" s="1292"/>
      <c r="AH71" s="1292"/>
      <c r="AI71" s="1292"/>
      <c r="AJ71" s="1292"/>
      <c r="AK71" s="1292"/>
      <c r="AL71" s="1292"/>
      <c r="AM71" s="1292"/>
      <c r="AN71" s="1292"/>
      <c r="AO71" s="1292"/>
      <c r="AP71" s="1292"/>
      <c r="AQ71" s="1292"/>
      <c r="AR71" s="1292"/>
      <c r="AS71" s="1292"/>
      <c r="AT71" s="1292"/>
      <c r="AU71" s="1292"/>
      <c r="AV71" s="1292"/>
      <c r="AW71" s="1292"/>
      <c r="AX71" s="1292"/>
      <c r="AY71" s="1292"/>
      <c r="AZ71" s="1292"/>
      <c r="BA71" s="1292"/>
      <c r="BB71" s="1292"/>
      <c r="BC71" s="1292"/>
      <c r="BD71" s="1292"/>
      <c r="BE71" s="1292"/>
      <c r="BF71" s="1292"/>
      <c r="BG71" s="1292"/>
      <c r="BH71" s="1292"/>
      <c r="BI71" s="1292"/>
      <c r="BJ71" s="1292"/>
      <c r="BK71" s="1292"/>
      <c r="BL71" s="1292"/>
      <c r="BM71" s="1292"/>
      <c r="BN71" s="1292"/>
      <c r="BO71" s="1292"/>
      <c r="BP71" s="1292"/>
      <c r="BQ71" s="1292"/>
      <c r="BR71" s="1292"/>
      <c r="BS71" s="1292"/>
      <c r="BT71" s="1292"/>
      <c r="BU71" s="1292"/>
      <c r="BV71" s="1292"/>
      <c r="BW71" s="1292"/>
      <c r="BX71" s="1292"/>
      <c r="BY71" s="1292"/>
      <c r="BZ71" s="1292"/>
      <c r="CA71" s="1292"/>
      <c r="CB71" s="1292"/>
      <c r="CC71" s="1292"/>
      <c r="CD71" s="1292"/>
      <c r="CE71" s="1292"/>
      <c r="CF71" s="1292"/>
      <c r="CG71" s="1292"/>
      <c r="CH71" s="1292"/>
      <c r="CI71" s="1292"/>
      <c r="CJ71" s="1292"/>
      <c r="CK71" s="1292"/>
      <c r="CL71" s="1292"/>
      <c r="CM71" s="1292"/>
      <c r="CN71" s="1292"/>
      <c r="CO71" s="1292"/>
      <c r="CP71" s="1292"/>
      <c r="CQ71" s="1292"/>
      <c r="CR71" s="1292"/>
      <c r="CS71" s="1292"/>
      <c r="CT71" s="1292"/>
      <c r="CU71" s="1292"/>
      <c r="CV71" s="1292"/>
      <c r="CW71" s="1292"/>
      <c r="CX71" s="1292"/>
      <c r="CY71" s="1292"/>
      <c r="CZ71" s="1292"/>
      <c r="DA71" s="1292"/>
      <c r="DB71" s="1292"/>
      <c r="DC71" s="1292"/>
      <c r="DD71" s="1292"/>
      <c r="DE71" s="1292"/>
      <c r="DF71" s="1292"/>
      <c r="DG71" s="1292"/>
      <c r="DH71" s="1292"/>
      <c r="DI71" s="1292"/>
      <c r="DJ71" s="1292"/>
      <c r="DK71" s="1292"/>
      <c r="DL71" s="1292"/>
      <c r="DM71" s="1292"/>
      <c r="DN71" s="1292"/>
      <c r="DO71" s="1292"/>
      <c r="DP71" s="1292"/>
      <c r="DQ71" s="1292"/>
      <c r="DR71" s="1292"/>
      <c r="DS71" s="1292"/>
      <c r="DT71" s="1292"/>
      <c r="DU71" s="1292"/>
      <c r="DV71" s="1292"/>
      <c r="DW71" s="1292"/>
      <c r="DX71" s="1292"/>
      <c r="DY71" s="1292"/>
      <c r="DZ71" s="1292"/>
      <c r="EA71" s="1292"/>
      <c r="EB71" s="1292"/>
      <c r="EC71" s="1292"/>
      <c r="ED71" s="1292"/>
      <c r="EE71" s="1292"/>
      <c r="EF71" s="1292"/>
      <c r="EG71" s="1292"/>
      <c r="EH71" s="1292"/>
      <c r="EI71" s="1292"/>
      <c r="EJ71" s="1292"/>
      <c r="EK71" s="1292"/>
      <c r="EL71" s="1292"/>
      <c r="EM71" s="1292"/>
      <c r="EN71" s="1292"/>
      <c r="EO71" s="1292"/>
      <c r="EP71" s="1292"/>
      <c r="EQ71" s="1292"/>
      <c r="ER71" s="1292"/>
      <c r="ES71" s="1292"/>
      <c r="ET71" s="1292"/>
      <c r="EU71" s="1292"/>
      <c r="EV71" s="1292"/>
      <c r="EW71" s="1292"/>
      <c r="EX71" s="1292"/>
      <c r="EY71" s="1292"/>
      <c r="EZ71" s="1292"/>
      <c r="FA71" s="1292"/>
      <c r="FB71" s="1292"/>
      <c r="FC71" s="1292"/>
      <c r="FD71" s="1292"/>
      <c r="FE71" s="1292"/>
      <c r="FF71" s="1292"/>
      <c r="FG71" s="1292"/>
      <c r="FH71" s="1292"/>
      <c r="FI71" s="1292"/>
      <c r="FJ71" s="1292"/>
      <c r="FK71" s="1292"/>
      <c r="FL71" s="1292"/>
      <c r="FM71" s="1292"/>
      <c r="FN71" s="1292"/>
      <c r="FO71" s="1292"/>
      <c r="FP71" s="1292"/>
      <c r="FQ71" s="1292"/>
      <c r="FR71" s="1292"/>
      <c r="FS71" s="1292"/>
      <c r="FT71" s="1292"/>
      <c r="FU71" s="1292"/>
      <c r="FV71" s="1292"/>
      <c r="FW71" s="1292"/>
      <c r="FX71" s="1292"/>
      <c r="FY71" s="1292"/>
      <c r="FZ71" s="1292"/>
      <c r="GA71" s="1292"/>
      <c r="GB71" s="1292"/>
      <c r="GC71" s="1292"/>
      <c r="GD71" s="1292"/>
      <c r="GE71" s="1292"/>
      <c r="GF71" s="1292"/>
      <c r="GG71" s="1292"/>
      <c r="GH71" s="1292"/>
      <c r="GI71" s="1292"/>
      <c r="GJ71" s="1292"/>
      <c r="GK71" s="1292"/>
      <c r="GL71" s="1292"/>
      <c r="GM71" s="1292"/>
      <c r="GN71" s="1292"/>
      <c r="GO71" s="1292"/>
      <c r="GP71" s="1292"/>
      <c r="GQ71" s="1292"/>
      <c r="GR71" s="1292"/>
      <c r="GS71" s="1292"/>
      <c r="GT71" s="1292"/>
      <c r="GU71" s="1292"/>
      <c r="GV71" s="1292"/>
      <c r="GW71" s="1292"/>
      <c r="GX71" s="1292"/>
      <c r="GY71" s="1292"/>
      <c r="GZ71" s="1292"/>
      <c r="HA71" s="1292"/>
      <c r="HB71" s="1292"/>
      <c r="HC71" s="1292"/>
      <c r="HD71" s="1292"/>
      <c r="HE71" s="1292"/>
      <c r="HF71" s="1292"/>
      <c r="HG71" s="1292"/>
      <c r="HH71" s="1292"/>
      <c r="HI71" s="1292"/>
      <c r="HJ71" s="1292"/>
      <c r="HK71" s="1292"/>
      <c r="HL71" s="1292"/>
      <c r="HM71" s="1292"/>
      <c r="HN71" s="1292"/>
      <c r="HO71" s="1292"/>
      <c r="HP71" s="1292"/>
      <c r="HQ71" s="1292"/>
      <c r="HR71" s="1292"/>
      <c r="HS71" s="1292"/>
      <c r="HT71" s="1292"/>
      <c r="HU71" s="1292"/>
      <c r="HV71" s="1292"/>
      <c r="HW71" s="1292"/>
      <c r="HX71" s="1292"/>
      <c r="HY71" s="1292"/>
      <c r="HZ71" s="1292"/>
      <c r="IA71" s="1292"/>
      <c r="IB71" s="1292"/>
      <c r="IC71" s="1292"/>
      <c r="ID71" s="1292"/>
      <c r="IE71" s="1292"/>
      <c r="IF71" s="1292"/>
      <c r="IG71" s="1292"/>
      <c r="IH71" s="1292"/>
      <c r="II71" s="1292"/>
      <c r="IJ71" s="1292"/>
      <c r="IK71" s="1292"/>
      <c r="IL71" s="1292"/>
      <c r="IM71" s="1292"/>
      <c r="IN71" s="1292"/>
      <c r="IO71" s="1292"/>
      <c r="IP71" s="1292"/>
      <c r="IQ71" s="1292"/>
      <c r="IR71" s="1292"/>
      <c r="IS71" s="1292"/>
      <c r="IT71" s="1292"/>
      <c r="IU71" s="1292"/>
      <c r="IV71" s="1292"/>
    </row>
    <row r="72" spans="1:256">
      <c r="A72" s="1292"/>
      <c r="B72" s="1292"/>
      <c r="C72" s="1292"/>
      <c r="D72" s="1292"/>
      <c r="E72" s="1292"/>
      <c r="F72" s="1292"/>
      <c r="G72" s="1292"/>
      <c r="H72" s="1292"/>
      <c r="I72" s="1292"/>
      <c r="J72" s="1292"/>
      <c r="K72" s="1292"/>
      <c r="L72" s="1292"/>
      <c r="M72" s="1292"/>
      <c r="N72" s="1292"/>
      <c r="O72" s="1292"/>
      <c r="P72" s="1292"/>
      <c r="Q72" s="1292"/>
      <c r="R72" s="1292"/>
      <c r="S72" s="1292"/>
      <c r="T72" s="1292"/>
      <c r="U72" s="1292"/>
      <c r="V72" s="1292"/>
      <c r="W72" s="1292"/>
      <c r="X72" s="1292"/>
      <c r="Y72" s="1292"/>
      <c r="Z72" s="1292"/>
      <c r="AA72" s="1292"/>
      <c r="AB72" s="1292"/>
      <c r="AC72" s="1292"/>
      <c r="AD72" s="1292"/>
      <c r="AE72" s="1292"/>
      <c r="AF72" s="1292"/>
      <c r="AG72" s="1292"/>
      <c r="AH72" s="1292"/>
      <c r="AI72" s="1292"/>
      <c r="AJ72" s="1292"/>
      <c r="AK72" s="1292"/>
      <c r="AL72" s="1292"/>
      <c r="AM72" s="1292"/>
      <c r="AN72" s="1292"/>
      <c r="AO72" s="1292"/>
      <c r="AP72" s="1292"/>
      <c r="AQ72" s="1292"/>
      <c r="AR72" s="1292"/>
      <c r="AS72" s="1292"/>
      <c r="AT72" s="1292"/>
      <c r="AU72" s="1292"/>
      <c r="AV72" s="1292"/>
      <c r="AW72" s="1292"/>
      <c r="AX72" s="1292"/>
      <c r="AY72" s="1292"/>
      <c r="AZ72" s="1292"/>
      <c r="BA72" s="1292"/>
      <c r="BB72" s="1292"/>
      <c r="BC72" s="1292"/>
      <c r="BD72" s="1292"/>
      <c r="BE72" s="1292"/>
      <c r="BF72" s="1292"/>
      <c r="BG72" s="1292"/>
      <c r="BH72" s="1292"/>
      <c r="BI72" s="1292"/>
      <c r="BJ72" s="1292"/>
      <c r="BK72" s="1292"/>
      <c r="BL72" s="1292"/>
      <c r="BM72" s="1292"/>
      <c r="BN72" s="1292"/>
      <c r="BO72" s="1292"/>
      <c r="BP72" s="1292"/>
      <c r="BQ72" s="1292"/>
      <c r="BR72" s="1292"/>
      <c r="BS72" s="1292"/>
      <c r="BT72" s="1292"/>
      <c r="BU72" s="1292"/>
      <c r="BV72" s="1292"/>
      <c r="BW72" s="1292"/>
      <c r="BX72" s="1292"/>
      <c r="BY72" s="1292"/>
      <c r="BZ72" s="1292"/>
      <c r="CA72" s="1292"/>
      <c r="CB72" s="1292"/>
      <c r="CC72" s="1292"/>
      <c r="CD72" s="1292"/>
      <c r="CE72" s="1292"/>
      <c r="CF72" s="1292"/>
      <c r="CG72" s="1292"/>
      <c r="CH72" s="1292"/>
      <c r="CI72" s="1292"/>
      <c r="CJ72" s="1292"/>
      <c r="CK72" s="1292"/>
      <c r="CL72" s="1292"/>
      <c r="CM72" s="1292"/>
      <c r="CN72" s="1292"/>
      <c r="CO72" s="1292"/>
      <c r="CP72" s="1292"/>
      <c r="CQ72" s="1292"/>
      <c r="CR72" s="1292"/>
      <c r="CS72" s="1292"/>
      <c r="CT72" s="1292"/>
      <c r="CU72" s="1292"/>
      <c r="CV72" s="1292"/>
      <c r="CW72" s="1292"/>
      <c r="CX72" s="1292"/>
      <c r="CY72" s="1292"/>
      <c r="CZ72" s="1292"/>
      <c r="DA72" s="1292"/>
      <c r="DB72" s="1292"/>
      <c r="DC72" s="1292"/>
      <c r="DD72" s="1292"/>
      <c r="DE72" s="1292"/>
      <c r="DF72" s="1292"/>
      <c r="DG72" s="1292"/>
      <c r="DH72" s="1292"/>
      <c r="DI72" s="1292"/>
      <c r="DJ72" s="1292"/>
      <c r="DK72" s="1292"/>
      <c r="DL72" s="1292"/>
      <c r="DM72" s="1292"/>
      <c r="DN72" s="1292"/>
      <c r="DO72" s="1292"/>
      <c r="DP72" s="1292"/>
      <c r="DQ72" s="1292"/>
      <c r="DR72" s="1292"/>
      <c r="DS72" s="1292"/>
      <c r="DT72" s="1292"/>
      <c r="DU72" s="1292"/>
      <c r="DV72" s="1292"/>
      <c r="DW72" s="1292"/>
      <c r="DX72" s="1292"/>
      <c r="DY72" s="1292"/>
      <c r="DZ72" s="1292"/>
      <c r="EA72" s="1292"/>
      <c r="EB72" s="1292"/>
      <c r="EC72" s="1292"/>
      <c r="ED72" s="1292"/>
      <c r="EE72" s="1292"/>
      <c r="EF72" s="1292"/>
      <c r="EG72" s="1292"/>
      <c r="EH72" s="1292"/>
      <c r="EI72" s="1292"/>
      <c r="EJ72" s="1292"/>
      <c r="EK72" s="1292"/>
      <c r="EL72" s="1292"/>
      <c r="EM72" s="1292"/>
      <c r="EN72" s="1292"/>
      <c r="EO72" s="1292"/>
      <c r="EP72" s="1292"/>
      <c r="EQ72" s="1292"/>
      <c r="ER72" s="1292"/>
      <c r="ES72" s="1292"/>
      <c r="ET72" s="1292"/>
      <c r="EU72" s="1292"/>
      <c r="EV72" s="1292"/>
      <c r="EW72" s="1292"/>
      <c r="EX72" s="1292"/>
      <c r="EY72" s="1292"/>
      <c r="EZ72" s="1292"/>
      <c r="FA72" s="1292"/>
      <c r="FB72" s="1292"/>
      <c r="FC72" s="1292"/>
      <c r="FD72" s="1292"/>
      <c r="FE72" s="1292"/>
      <c r="FF72" s="1292"/>
      <c r="FG72" s="1292"/>
      <c r="FH72" s="1292"/>
      <c r="FI72" s="1292"/>
      <c r="FJ72" s="1292"/>
      <c r="FK72" s="1292"/>
      <c r="FL72" s="1292"/>
      <c r="FM72" s="1292"/>
      <c r="FN72" s="1292"/>
      <c r="FO72" s="1292"/>
      <c r="FP72" s="1292"/>
      <c r="FQ72" s="1292"/>
      <c r="FR72" s="1292"/>
      <c r="FS72" s="1292"/>
      <c r="FT72" s="1292"/>
      <c r="FU72" s="1292"/>
      <c r="FV72" s="1292"/>
      <c r="FW72" s="1292"/>
      <c r="FX72" s="1292"/>
      <c r="FY72" s="1292"/>
      <c r="FZ72" s="1292"/>
      <c r="GA72" s="1292"/>
      <c r="GB72" s="1292"/>
      <c r="GC72" s="1292"/>
      <c r="GD72" s="1292"/>
      <c r="GE72" s="1292"/>
      <c r="GF72" s="1292"/>
      <c r="GG72" s="1292"/>
      <c r="GH72" s="1292"/>
      <c r="GI72" s="1292"/>
      <c r="GJ72" s="1292"/>
      <c r="GK72" s="1292"/>
      <c r="GL72" s="1292"/>
      <c r="GM72" s="1292"/>
      <c r="GN72" s="1292"/>
      <c r="GO72" s="1292"/>
      <c r="GP72" s="1292"/>
      <c r="GQ72" s="1292"/>
      <c r="GR72" s="1292"/>
      <c r="GS72" s="1292"/>
      <c r="GT72" s="1292"/>
      <c r="GU72" s="1292"/>
      <c r="GV72" s="1292"/>
      <c r="GW72" s="1292"/>
      <c r="GX72" s="1292"/>
      <c r="GY72" s="1292"/>
      <c r="GZ72" s="1292"/>
      <c r="HA72" s="1292"/>
      <c r="HB72" s="1292"/>
      <c r="HC72" s="1292"/>
      <c r="HD72" s="1292"/>
      <c r="HE72" s="1292"/>
      <c r="HF72" s="1292"/>
      <c r="HG72" s="1292"/>
      <c r="HH72" s="1292"/>
      <c r="HI72" s="1292"/>
      <c r="HJ72" s="1292"/>
      <c r="HK72" s="1292"/>
      <c r="HL72" s="1292"/>
      <c r="HM72" s="1292"/>
      <c r="HN72" s="1292"/>
      <c r="HO72" s="1292"/>
      <c r="HP72" s="1292"/>
      <c r="HQ72" s="1292"/>
      <c r="HR72" s="1292"/>
      <c r="HS72" s="1292"/>
      <c r="HT72" s="1292"/>
      <c r="HU72" s="1292"/>
      <c r="HV72" s="1292"/>
      <c r="HW72" s="1292"/>
      <c r="HX72" s="1292"/>
      <c r="HY72" s="1292"/>
      <c r="HZ72" s="1292"/>
      <c r="IA72" s="1292"/>
      <c r="IB72" s="1292"/>
      <c r="IC72" s="1292"/>
      <c r="ID72" s="1292"/>
      <c r="IE72" s="1292"/>
      <c r="IF72" s="1292"/>
      <c r="IG72" s="1292"/>
      <c r="IH72" s="1292"/>
      <c r="II72" s="1292"/>
      <c r="IJ72" s="1292"/>
      <c r="IK72" s="1292"/>
      <c r="IL72" s="1292"/>
      <c r="IM72" s="1292"/>
      <c r="IN72" s="1292"/>
      <c r="IO72" s="1292"/>
      <c r="IP72" s="1292"/>
      <c r="IQ72" s="1292"/>
      <c r="IR72" s="1292"/>
      <c r="IS72" s="1292"/>
      <c r="IT72" s="1292"/>
      <c r="IU72" s="1292"/>
      <c r="IV72" s="1292"/>
    </row>
    <row r="73" spans="1:256">
      <c r="O73" s="1292"/>
      <c r="P73" s="1292"/>
      <c r="Q73" s="1292"/>
      <c r="R73" s="1292"/>
      <c r="S73" s="1292"/>
      <c r="T73" s="1292"/>
      <c r="U73" s="1292"/>
      <c r="V73" s="1292"/>
      <c r="W73" s="1292"/>
      <c r="X73" s="1292"/>
      <c r="Y73" s="1292"/>
      <c r="Z73" s="1292"/>
      <c r="AA73" s="1292"/>
      <c r="AB73" s="1292"/>
      <c r="AC73" s="1292"/>
      <c r="AD73" s="1292"/>
      <c r="AE73" s="1292"/>
      <c r="AF73" s="1292"/>
      <c r="AG73" s="1292"/>
      <c r="AH73" s="1292"/>
      <c r="AI73" s="1292"/>
      <c r="AJ73" s="1292"/>
      <c r="AK73" s="1292"/>
      <c r="AL73" s="1292"/>
      <c r="AM73" s="1292"/>
      <c r="AN73" s="1292"/>
      <c r="AO73" s="1292"/>
      <c r="AP73" s="1292"/>
      <c r="AQ73" s="1292"/>
      <c r="AR73" s="1292"/>
      <c r="AS73" s="1292"/>
      <c r="AT73" s="1292"/>
      <c r="AU73" s="1292"/>
      <c r="AV73" s="1292"/>
      <c r="AW73" s="1292"/>
      <c r="AX73" s="1292"/>
      <c r="AY73" s="1292"/>
      <c r="AZ73" s="1292"/>
      <c r="BA73" s="1292"/>
      <c r="BB73" s="1292"/>
      <c r="BC73" s="1292"/>
      <c r="BD73" s="1292"/>
      <c r="BE73" s="1292"/>
      <c r="BF73" s="1292"/>
      <c r="BG73" s="1292"/>
      <c r="BH73" s="1292"/>
      <c r="BI73" s="1292"/>
      <c r="BJ73" s="1292"/>
      <c r="BK73" s="1292"/>
      <c r="BL73" s="1292"/>
      <c r="BM73" s="1292"/>
      <c r="BN73" s="1292"/>
      <c r="BO73" s="1292"/>
      <c r="BP73" s="1292"/>
      <c r="BQ73" s="1292"/>
      <c r="BR73" s="1292"/>
      <c r="BS73" s="1292"/>
      <c r="BT73" s="1292"/>
      <c r="BU73" s="1292"/>
      <c r="BV73" s="1292"/>
      <c r="BW73" s="1292"/>
      <c r="BX73" s="1292"/>
      <c r="BY73" s="1292"/>
      <c r="BZ73" s="1292"/>
      <c r="CA73" s="1292"/>
      <c r="CB73" s="1292"/>
      <c r="CC73" s="1292"/>
      <c r="CD73" s="1292"/>
      <c r="CE73" s="1292"/>
      <c r="CF73" s="1292"/>
      <c r="CG73" s="1292"/>
      <c r="CH73" s="1292"/>
      <c r="CI73" s="1292"/>
      <c r="CJ73" s="1292"/>
      <c r="CK73" s="1292"/>
      <c r="CL73" s="1292"/>
      <c r="CM73" s="1292"/>
      <c r="CN73" s="1292"/>
      <c r="CO73" s="1292"/>
      <c r="CP73" s="1292"/>
      <c r="CQ73" s="1292"/>
      <c r="CR73" s="1292"/>
      <c r="CS73" s="1292"/>
      <c r="CT73" s="1292"/>
      <c r="CU73" s="1292"/>
      <c r="CV73" s="1292"/>
      <c r="CW73" s="1292"/>
      <c r="CX73" s="1292"/>
      <c r="CY73" s="1292"/>
      <c r="CZ73" s="1292"/>
      <c r="DA73" s="1292"/>
      <c r="DB73" s="1292"/>
      <c r="DC73" s="1292"/>
      <c r="DD73" s="1292"/>
      <c r="DE73" s="1292"/>
      <c r="DF73" s="1292"/>
      <c r="DG73" s="1292"/>
      <c r="DH73" s="1292"/>
      <c r="DI73" s="1292"/>
      <c r="DJ73" s="1292"/>
      <c r="DK73" s="1292"/>
      <c r="DL73" s="1292"/>
      <c r="DM73" s="1292"/>
      <c r="DN73" s="1292"/>
      <c r="DO73" s="1292"/>
      <c r="DP73" s="1292"/>
      <c r="DQ73" s="1292"/>
      <c r="DR73" s="1292"/>
      <c r="DS73" s="1292"/>
      <c r="DT73" s="1292"/>
      <c r="DU73" s="1292"/>
      <c r="DV73" s="1292"/>
      <c r="DW73" s="1292"/>
      <c r="DX73" s="1292"/>
      <c r="DY73" s="1292"/>
      <c r="DZ73" s="1292"/>
      <c r="EA73" s="1292"/>
      <c r="EB73" s="1292"/>
      <c r="EC73" s="1292"/>
      <c r="ED73" s="1292"/>
      <c r="EE73" s="1292"/>
      <c r="EF73" s="1292"/>
      <c r="EG73" s="1292"/>
      <c r="EH73" s="1292"/>
      <c r="EI73" s="1292"/>
      <c r="EJ73" s="1292"/>
      <c r="EK73" s="1292"/>
      <c r="EL73" s="1292"/>
      <c r="EM73" s="1292"/>
      <c r="EN73" s="1292"/>
      <c r="EO73" s="1292"/>
      <c r="EP73" s="1292"/>
      <c r="EQ73" s="1292"/>
      <c r="ER73" s="1292"/>
      <c r="ES73" s="1292"/>
      <c r="ET73" s="1292"/>
      <c r="EU73" s="1292"/>
      <c r="EV73" s="1292"/>
      <c r="EW73" s="1292"/>
      <c r="EX73" s="1292"/>
      <c r="EY73" s="1292"/>
      <c r="EZ73" s="1292"/>
      <c r="FA73" s="1292"/>
      <c r="FB73" s="1292"/>
      <c r="FC73" s="1292"/>
      <c r="FD73" s="1292"/>
      <c r="FE73" s="1292"/>
      <c r="FF73" s="1292"/>
      <c r="FG73" s="1292"/>
      <c r="FH73" s="1292"/>
      <c r="FI73" s="1292"/>
      <c r="FJ73" s="1292"/>
      <c r="FK73" s="1292"/>
      <c r="FL73" s="1292"/>
      <c r="FM73" s="1292"/>
      <c r="FN73" s="1292"/>
      <c r="FO73" s="1292"/>
      <c r="FP73" s="1292"/>
      <c r="FQ73" s="1292"/>
      <c r="FR73" s="1292"/>
      <c r="FS73" s="1292"/>
      <c r="FT73" s="1292"/>
      <c r="FU73" s="1292"/>
      <c r="FV73" s="1292"/>
      <c r="FW73" s="1292"/>
      <c r="FX73" s="1292"/>
      <c r="FY73" s="1292"/>
      <c r="FZ73" s="1292"/>
      <c r="GA73" s="1292"/>
      <c r="GB73" s="1292"/>
      <c r="GC73" s="1292"/>
      <c r="GD73" s="1292"/>
      <c r="GE73" s="1292"/>
      <c r="GF73" s="1292"/>
      <c r="GG73" s="1292"/>
      <c r="GH73" s="1292"/>
      <c r="GI73" s="1292"/>
      <c r="GJ73" s="1292"/>
      <c r="GK73" s="1292"/>
      <c r="GL73" s="1292"/>
      <c r="GM73" s="1292"/>
      <c r="GN73" s="1292"/>
      <c r="GO73" s="1292"/>
      <c r="GP73" s="1292"/>
      <c r="GQ73" s="1292"/>
      <c r="GR73" s="1292"/>
      <c r="GS73" s="1292"/>
      <c r="GT73" s="1292"/>
      <c r="GU73" s="1292"/>
      <c r="GV73" s="1292"/>
      <c r="GW73" s="1292"/>
      <c r="GX73" s="1292"/>
      <c r="GY73" s="1292"/>
      <c r="GZ73" s="1292"/>
      <c r="HA73" s="1292"/>
      <c r="HB73" s="1292"/>
      <c r="HC73" s="1292"/>
      <c r="HD73" s="1292"/>
      <c r="HE73" s="1292"/>
      <c r="HF73" s="1292"/>
      <c r="HG73" s="1292"/>
      <c r="HH73" s="1292"/>
      <c r="HI73" s="1292"/>
      <c r="HJ73" s="1292"/>
      <c r="HK73" s="1292"/>
      <c r="HL73" s="1292"/>
      <c r="HM73" s="1292"/>
      <c r="HN73" s="1292"/>
      <c r="HO73" s="1292"/>
      <c r="HP73" s="1292"/>
      <c r="HQ73" s="1292"/>
      <c r="HR73" s="1292"/>
      <c r="HS73" s="1292"/>
      <c r="HT73" s="1292"/>
      <c r="HU73" s="1292"/>
      <c r="HV73" s="1292"/>
      <c r="HW73" s="1292"/>
      <c r="HX73" s="1292"/>
      <c r="HY73" s="1292"/>
      <c r="HZ73" s="1292"/>
      <c r="IA73" s="1292"/>
      <c r="IB73" s="1292"/>
      <c r="IC73" s="1292"/>
      <c r="ID73" s="1292"/>
      <c r="IE73" s="1292"/>
      <c r="IF73" s="1292"/>
      <c r="IG73" s="1292"/>
      <c r="IH73" s="1292"/>
      <c r="II73" s="1292"/>
      <c r="IJ73" s="1292"/>
      <c r="IK73" s="1292"/>
      <c r="IL73" s="1292"/>
      <c r="IM73" s="1292"/>
      <c r="IN73" s="1292"/>
      <c r="IO73" s="1292"/>
      <c r="IP73" s="1292"/>
      <c r="IQ73" s="1292"/>
      <c r="IR73" s="1292"/>
      <c r="IS73" s="1292"/>
      <c r="IT73" s="1292"/>
      <c r="IU73" s="1292"/>
      <c r="IV73" s="1292"/>
    </row>
    <row r="74" spans="1:256">
      <c r="O74" s="1292"/>
      <c r="P74" s="1292"/>
      <c r="Q74" s="1292"/>
      <c r="R74" s="1292"/>
      <c r="S74" s="1292"/>
      <c r="T74" s="1292"/>
      <c r="U74" s="1292"/>
      <c r="V74" s="1292"/>
      <c r="W74" s="1292"/>
      <c r="X74" s="1292"/>
      <c r="Y74" s="1292"/>
      <c r="Z74" s="1292"/>
      <c r="AA74" s="1292"/>
      <c r="AB74" s="1292"/>
      <c r="AC74" s="1292"/>
      <c r="AD74" s="1292"/>
      <c r="AE74" s="1292"/>
      <c r="AF74" s="1292"/>
      <c r="AG74" s="1292"/>
      <c r="AH74" s="1292"/>
      <c r="AI74" s="1292"/>
      <c r="AJ74" s="1292"/>
      <c r="AK74" s="1292"/>
      <c r="AL74" s="1292"/>
      <c r="AM74" s="1292"/>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2"/>
      <c r="BQ74" s="1292"/>
      <c r="BR74" s="1292"/>
      <c r="BS74" s="1292"/>
      <c r="BT74" s="1292"/>
      <c r="BU74" s="1292"/>
      <c r="BV74" s="1292"/>
      <c r="BW74" s="1292"/>
      <c r="BX74" s="1292"/>
      <c r="BY74" s="1292"/>
      <c r="BZ74" s="1292"/>
      <c r="CA74" s="1292"/>
      <c r="CB74" s="1292"/>
      <c r="CC74" s="1292"/>
      <c r="CD74" s="1292"/>
      <c r="CE74" s="1292"/>
      <c r="CF74" s="1292"/>
      <c r="CG74" s="1292"/>
      <c r="CH74" s="1292"/>
      <c r="CI74" s="1292"/>
      <c r="CJ74" s="1292"/>
      <c r="CK74" s="1292"/>
      <c r="CL74" s="1292"/>
      <c r="CM74" s="1292"/>
      <c r="CN74" s="1292"/>
      <c r="CO74" s="1292"/>
      <c r="CP74" s="1292"/>
      <c r="CQ74" s="1292"/>
      <c r="CR74" s="1292"/>
      <c r="CS74" s="1292"/>
      <c r="CT74" s="1292"/>
      <c r="CU74" s="1292"/>
      <c r="CV74" s="1292"/>
      <c r="CW74" s="1292"/>
      <c r="CX74" s="1292"/>
      <c r="CY74" s="1292"/>
      <c r="CZ74" s="1292"/>
      <c r="DA74" s="1292"/>
      <c r="DB74" s="1292"/>
      <c r="DC74" s="1292"/>
      <c r="DD74" s="1292"/>
      <c r="DE74" s="1292"/>
      <c r="DF74" s="1292"/>
      <c r="DG74" s="1292"/>
      <c r="DH74" s="1292"/>
      <c r="DI74" s="1292"/>
      <c r="DJ74" s="1292"/>
      <c r="DK74" s="1292"/>
      <c r="DL74" s="1292"/>
      <c r="DM74" s="1292"/>
      <c r="DN74" s="1292"/>
      <c r="DO74" s="1292"/>
      <c r="DP74" s="1292"/>
      <c r="DQ74" s="1292"/>
      <c r="DR74" s="1292"/>
      <c r="DS74" s="1292"/>
      <c r="DT74" s="1292"/>
      <c r="DU74" s="1292"/>
      <c r="DV74" s="1292"/>
      <c r="DW74" s="1292"/>
      <c r="DX74" s="1292"/>
      <c r="DY74" s="1292"/>
      <c r="DZ74" s="1292"/>
      <c r="EA74" s="1292"/>
      <c r="EB74" s="1292"/>
      <c r="EC74" s="1292"/>
      <c r="ED74" s="1292"/>
      <c r="EE74" s="1292"/>
      <c r="EF74" s="1292"/>
      <c r="EG74" s="1292"/>
      <c r="EH74" s="1292"/>
      <c r="EI74" s="1292"/>
      <c r="EJ74" s="1292"/>
      <c r="EK74" s="1292"/>
      <c r="EL74" s="1292"/>
      <c r="EM74" s="1292"/>
      <c r="EN74" s="1292"/>
      <c r="EO74" s="1292"/>
      <c r="EP74" s="1292"/>
      <c r="EQ74" s="1292"/>
      <c r="ER74" s="1292"/>
      <c r="ES74" s="1292"/>
      <c r="ET74" s="1292"/>
      <c r="EU74" s="1292"/>
      <c r="EV74" s="1292"/>
      <c r="EW74" s="1292"/>
      <c r="EX74" s="1292"/>
      <c r="EY74" s="1292"/>
      <c r="EZ74" s="1292"/>
      <c r="FA74" s="1292"/>
      <c r="FB74" s="1292"/>
      <c r="FC74" s="1292"/>
      <c r="FD74" s="1292"/>
      <c r="FE74" s="1292"/>
      <c r="FF74" s="1292"/>
      <c r="FG74" s="1292"/>
      <c r="FH74" s="1292"/>
      <c r="FI74" s="1292"/>
      <c r="FJ74" s="1292"/>
      <c r="FK74" s="1292"/>
      <c r="FL74" s="1292"/>
      <c r="FM74" s="1292"/>
      <c r="FN74" s="1292"/>
      <c r="FO74" s="1292"/>
      <c r="FP74" s="1292"/>
      <c r="FQ74" s="1292"/>
      <c r="FR74" s="1292"/>
      <c r="FS74" s="1292"/>
      <c r="FT74" s="1292"/>
      <c r="FU74" s="1292"/>
      <c r="FV74" s="1292"/>
      <c r="FW74" s="1292"/>
      <c r="FX74" s="1292"/>
      <c r="FY74" s="1292"/>
      <c r="FZ74" s="1292"/>
      <c r="GA74" s="1292"/>
      <c r="GB74" s="1292"/>
      <c r="GC74" s="1292"/>
      <c r="GD74" s="1292"/>
      <c r="GE74" s="1292"/>
      <c r="GF74" s="1292"/>
      <c r="GG74" s="1292"/>
      <c r="GH74" s="1292"/>
      <c r="GI74" s="1292"/>
      <c r="GJ74" s="1292"/>
      <c r="GK74" s="1292"/>
      <c r="GL74" s="1292"/>
      <c r="GM74" s="1292"/>
      <c r="GN74" s="1292"/>
      <c r="GO74" s="1292"/>
      <c r="GP74" s="1292"/>
      <c r="GQ74" s="1292"/>
      <c r="GR74" s="1292"/>
      <c r="GS74" s="1292"/>
      <c r="GT74" s="1292"/>
      <c r="GU74" s="1292"/>
      <c r="GV74" s="1292"/>
      <c r="GW74" s="1292"/>
      <c r="GX74" s="1292"/>
      <c r="GY74" s="1292"/>
      <c r="GZ74" s="1292"/>
      <c r="HA74" s="1292"/>
      <c r="HB74" s="1292"/>
      <c r="HC74" s="1292"/>
      <c r="HD74" s="1292"/>
      <c r="HE74" s="1292"/>
      <c r="HF74" s="1292"/>
      <c r="HG74" s="1292"/>
      <c r="HH74" s="1292"/>
      <c r="HI74" s="1292"/>
      <c r="HJ74" s="1292"/>
      <c r="HK74" s="1292"/>
      <c r="HL74" s="1292"/>
      <c r="HM74" s="1292"/>
      <c r="HN74" s="1292"/>
      <c r="HO74" s="1292"/>
      <c r="HP74" s="1292"/>
      <c r="HQ74" s="1292"/>
      <c r="HR74" s="1292"/>
      <c r="HS74" s="1292"/>
      <c r="HT74" s="1292"/>
      <c r="HU74" s="1292"/>
      <c r="HV74" s="1292"/>
      <c r="HW74" s="1292"/>
      <c r="HX74" s="1292"/>
      <c r="HY74" s="1292"/>
      <c r="HZ74" s="1292"/>
      <c r="IA74" s="1292"/>
      <c r="IB74" s="1292"/>
      <c r="IC74" s="1292"/>
      <c r="ID74" s="1292"/>
      <c r="IE74" s="1292"/>
      <c r="IF74" s="1292"/>
      <c r="IG74" s="1292"/>
      <c r="IH74" s="1292"/>
      <c r="II74" s="1292"/>
      <c r="IJ74" s="1292"/>
      <c r="IK74" s="1292"/>
      <c r="IL74" s="1292"/>
      <c r="IM74" s="1292"/>
      <c r="IN74" s="1292"/>
      <c r="IO74" s="1292"/>
      <c r="IP74" s="1292"/>
      <c r="IQ74" s="1292"/>
      <c r="IR74" s="1292"/>
      <c r="IS74" s="1292"/>
      <c r="IT74" s="1292"/>
      <c r="IU74" s="1292"/>
      <c r="IV74" s="1292"/>
    </row>
    <row r="75" spans="1:256">
      <c r="O75" s="1292"/>
      <c r="P75" s="1292"/>
      <c r="Q75" s="1292"/>
      <c r="R75" s="1292"/>
      <c r="S75" s="1292"/>
      <c r="T75" s="1292"/>
      <c r="U75" s="1292"/>
      <c r="V75" s="1292"/>
      <c r="W75" s="1292"/>
      <c r="X75" s="1292"/>
      <c r="Y75" s="1292"/>
      <c r="Z75" s="1292"/>
      <c r="AA75" s="1292"/>
      <c r="AB75" s="1292"/>
      <c r="AC75" s="1292"/>
      <c r="AD75" s="1292"/>
      <c r="AE75" s="1292"/>
      <c r="AF75" s="1292"/>
      <c r="AG75" s="1292"/>
      <c r="AH75" s="1292"/>
      <c r="AI75" s="1292"/>
      <c r="AJ75" s="1292"/>
      <c r="AK75" s="1292"/>
      <c r="AL75" s="1292"/>
      <c r="AM75" s="1292"/>
      <c r="AN75" s="1292"/>
      <c r="AO75" s="1292"/>
      <c r="AP75" s="1292"/>
      <c r="AQ75" s="1292"/>
      <c r="AR75" s="1292"/>
      <c r="AS75" s="1292"/>
      <c r="AT75" s="1292"/>
      <c r="AU75" s="1292"/>
      <c r="AV75" s="1292"/>
      <c r="AW75" s="1292"/>
      <c r="AX75" s="1292"/>
      <c r="AY75" s="1292"/>
      <c r="AZ75" s="1292"/>
      <c r="BA75" s="1292"/>
      <c r="BB75" s="1292"/>
      <c r="BC75" s="1292"/>
      <c r="BD75" s="1292"/>
      <c r="BE75" s="1292"/>
      <c r="BF75" s="1292"/>
      <c r="BG75" s="1292"/>
      <c r="BH75" s="1292"/>
      <c r="BI75" s="1292"/>
      <c r="BJ75" s="1292"/>
      <c r="BK75" s="1292"/>
      <c r="BL75" s="1292"/>
      <c r="BM75" s="1292"/>
      <c r="BN75" s="1292"/>
      <c r="BO75" s="1292"/>
      <c r="BP75" s="1292"/>
      <c r="BQ75" s="1292"/>
      <c r="BR75" s="1292"/>
      <c r="BS75" s="1292"/>
      <c r="BT75" s="1292"/>
      <c r="BU75" s="1292"/>
      <c r="BV75" s="1292"/>
      <c r="BW75" s="1292"/>
      <c r="BX75" s="1292"/>
      <c r="BY75" s="1292"/>
      <c r="BZ75" s="1292"/>
      <c r="CA75" s="1292"/>
      <c r="CB75" s="1292"/>
      <c r="CC75" s="1292"/>
      <c r="CD75" s="1292"/>
      <c r="CE75" s="1292"/>
      <c r="CF75" s="1292"/>
      <c r="CG75" s="1292"/>
      <c r="CH75" s="1292"/>
      <c r="CI75" s="1292"/>
      <c r="CJ75" s="1292"/>
      <c r="CK75" s="1292"/>
      <c r="CL75" s="1292"/>
      <c r="CM75" s="1292"/>
      <c r="CN75" s="1292"/>
      <c r="CO75" s="1292"/>
      <c r="CP75" s="1292"/>
      <c r="CQ75" s="1292"/>
      <c r="CR75" s="1292"/>
      <c r="CS75" s="1292"/>
      <c r="CT75" s="1292"/>
      <c r="CU75" s="1292"/>
      <c r="CV75" s="1292"/>
      <c r="CW75" s="1292"/>
      <c r="CX75" s="1292"/>
      <c r="CY75" s="1292"/>
      <c r="CZ75" s="1292"/>
      <c r="DA75" s="1292"/>
      <c r="DB75" s="1292"/>
      <c r="DC75" s="1292"/>
      <c r="DD75" s="1292"/>
      <c r="DE75" s="1292"/>
      <c r="DF75" s="1292"/>
      <c r="DG75" s="1292"/>
      <c r="DH75" s="1292"/>
      <c r="DI75" s="1292"/>
      <c r="DJ75" s="1292"/>
      <c r="DK75" s="1292"/>
      <c r="DL75" s="1292"/>
      <c r="DM75" s="1292"/>
      <c r="DN75" s="1292"/>
      <c r="DO75" s="1292"/>
      <c r="DP75" s="1292"/>
      <c r="DQ75" s="1292"/>
      <c r="DR75" s="1292"/>
      <c r="DS75" s="1292"/>
      <c r="DT75" s="1292"/>
      <c r="DU75" s="1292"/>
      <c r="DV75" s="1292"/>
      <c r="DW75" s="1292"/>
      <c r="DX75" s="1292"/>
      <c r="DY75" s="1292"/>
      <c r="DZ75" s="1292"/>
      <c r="EA75" s="1292"/>
      <c r="EB75" s="1292"/>
      <c r="EC75" s="1292"/>
      <c r="ED75" s="1292"/>
      <c r="EE75" s="1292"/>
      <c r="EF75" s="1292"/>
      <c r="EG75" s="1292"/>
      <c r="EH75" s="1292"/>
      <c r="EI75" s="1292"/>
      <c r="EJ75" s="1292"/>
      <c r="EK75" s="1292"/>
      <c r="EL75" s="1292"/>
      <c r="EM75" s="1292"/>
      <c r="EN75" s="1292"/>
      <c r="EO75" s="1292"/>
      <c r="EP75" s="1292"/>
      <c r="EQ75" s="1292"/>
      <c r="ER75" s="1292"/>
      <c r="ES75" s="1292"/>
      <c r="ET75" s="1292"/>
      <c r="EU75" s="1292"/>
      <c r="EV75" s="1292"/>
      <c r="EW75" s="1292"/>
      <c r="EX75" s="1292"/>
      <c r="EY75" s="1292"/>
      <c r="EZ75" s="1292"/>
      <c r="FA75" s="1292"/>
      <c r="FB75" s="1292"/>
      <c r="FC75" s="1292"/>
      <c r="FD75" s="1292"/>
      <c r="FE75" s="1292"/>
      <c r="FF75" s="1292"/>
      <c r="FG75" s="1292"/>
      <c r="FH75" s="1292"/>
      <c r="FI75" s="1292"/>
      <c r="FJ75" s="1292"/>
      <c r="FK75" s="1292"/>
      <c r="FL75" s="1292"/>
      <c r="FM75" s="1292"/>
      <c r="FN75" s="1292"/>
      <c r="FO75" s="1292"/>
      <c r="FP75" s="1292"/>
      <c r="FQ75" s="1292"/>
      <c r="FR75" s="1292"/>
      <c r="FS75" s="1292"/>
      <c r="FT75" s="1292"/>
      <c r="FU75" s="1292"/>
      <c r="FV75" s="1292"/>
      <c r="FW75" s="1292"/>
      <c r="FX75" s="1292"/>
      <c r="FY75" s="1292"/>
      <c r="FZ75" s="1292"/>
      <c r="GA75" s="1292"/>
      <c r="GB75" s="1292"/>
      <c r="GC75" s="1292"/>
      <c r="GD75" s="1292"/>
      <c r="GE75" s="1292"/>
      <c r="GF75" s="1292"/>
      <c r="GG75" s="1292"/>
      <c r="GH75" s="1292"/>
      <c r="GI75" s="1292"/>
      <c r="GJ75" s="1292"/>
      <c r="GK75" s="1292"/>
      <c r="GL75" s="1292"/>
      <c r="GM75" s="1292"/>
      <c r="GN75" s="1292"/>
      <c r="GO75" s="1292"/>
      <c r="GP75" s="1292"/>
      <c r="GQ75" s="1292"/>
      <c r="GR75" s="1292"/>
      <c r="GS75" s="1292"/>
      <c r="GT75" s="1292"/>
      <c r="GU75" s="1292"/>
      <c r="GV75" s="1292"/>
      <c r="GW75" s="1292"/>
      <c r="GX75" s="1292"/>
      <c r="GY75" s="1292"/>
      <c r="GZ75" s="1292"/>
      <c r="HA75" s="1292"/>
      <c r="HB75" s="1292"/>
      <c r="HC75" s="1292"/>
      <c r="HD75" s="1292"/>
      <c r="HE75" s="1292"/>
      <c r="HF75" s="1292"/>
      <c r="HG75" s="1292"/>
      <c r="HH75" s="1292"/>
      <c r="HI75" s="1292"/>
      <c r="HJ75" s="1292"/>
      <c r="HK75" s="1292"/>
      <c r="HL75" s="1292"/>
      <c r="HM75" s="1292"/>
      <c r="HN75" s="1292"/>
      <c r="HO75" s="1292"/>
      <c r="HP75" s="1292"/>
      <c r="HQ75" s="1292"/>
      <c r="HR75" s="1292"/>
      <c r="HS75" s="1292"/>
      <c r="HT75" s="1292"/>
      <c r="HU75" s="1292"/>
      <c r="HV75" s="1292"/>
      <c r="HW75" s="1292"/>
      <c r="HX75" s="1292"/>
      <c r="HY75" s="1292"/>
      <c r="HZ75" s="1292"/>
      <c r="IA75" s="1292"/>
      <c r="IB75" s="1292"/>
      <c r="IC75" s="1292"/>
      <c r="ID75" s="1292"/>
      <c r="IE75" s="1292"/>
      <c r="IF75" s="1292"/>
      <c r="IG75" s="1292"/>
      <c r="IH75" s="1292"/>
      <c r="II75" s="1292"/>
      <c r="IJ75" s="1292"/>
      <c r="IK75" s="1292"/>
      <c r="IL75" s="1292"/>
      <c r="IM75" s="1292"/>
      <c r="IN75" s="1292"/>
      <c r="IO75" s="1292"/>
      <c r="IP75" s="1292"/>
      <c r="IQ75" s="1292"/>
      <c r="IR75" s="1292"/>
      <c r="IS75" s="1292"/>
      <c r="IT75" s="1292"/>
      <c r="IU75" s="1292"/>
      <c r="IV75" s="1292"/>
    </row>
    <row r="76" spans="1:256">
      <c r="O76" s="1292"/>
      <c r="P76" s="1292"/>
      <c r="Q76" s="1292"/>
      <c r="R76" s="1292"/>
      <c r="S76" s="1292"/>
      <c r="T76" s="1292"/>
      <c r="U76" s="1292"/>
      <c r="V76" s="1292"/>
      <c r="W76" s="1292"/>
      <c r="X76" s="1292"/>
      <c r="Y76" s="1292"/>
      <c r="Z76" s="1292"/>
      <c r="AA76" s="1292"/>
      <c r="AB76" s="1292"/>
      <c r="AC76" s="1292"/>
      <c r="AD76" s="1292"/>
      <c r="AE76" s="1292"/>
      <c r="AF76" s="1292"/>
      <c r="AG76" s="1292"/>
      <c r="AH76" s="1292"/>
      <c r="AI76" s="1292"/>
      <c r="AJ76" s="1292"/>
      <c r="AK76" s="1292"/>
      <c r="AL76" s="1292"/>
      <c r="AM76" s="1292"/>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2"/>
      <c r="BQ76" s="1292"/>
      <c r="BR76" s="1292"/>
      <c r="BS76" s="1292"/>
      <c r="BT76" s="1292"/>
      <c r="BU76" s="1292"/>
      <c r="BV76" s="1292"/>
      <c r="BW76" s="1292"/>
      <c r="BX76" s="1292"/>
      <c r="BY76" s="1292"/>
      <c r="BZ76" s="1292"/>
      <c r="CA76" s="1292"/>
      <c r="CB76" s="1292"/>
      <c r="CC76" s="1292"/>
      <c r="CD76" s="1292"/>
      <c r="CE76" s="1292"/>
      <c r="CF76" s="1292"/>
      <c r="CG76" s="1292"/>
      <c r="CH76" s="1292"/>
      <c r="CI76" s="1292"/>
      <c r="CJ76" s="1292"/>
      <c r="CK76" s="1292"/>
      <c r="CL76" s="1292"/>
      <c r="CM76" s="1292"/>
      <c r="CN76" s="1292"/>
      <c r="CO76" s="1292"/>
      <c r="CP76" s="1292"/>
      <c r="CQ76" s="1292"/>
      <c r="CR76" s="1292"/>
      <c r="CS76" s="1292"/>
      <c r="CT76" s="1292"/>
      <c r="CU76" s="1292"/>
      <c r="CV76" s="1292"/>
      <c r="CW76" s="1292"/>
      <c r="CX76" s="1292"/>
      <c r="CY76" s="1292"/>
      <c r="CZ76" s="1292"/>
      <c r="DA76" s="1292"/>
      <c r="DB76" s="1292"/>
      <c r="DC76" s="1292"/>
      <c r="DD76" s="1292"/>
      <c r="DE76" s="1292"/>
      <c r="DF76" s="1292"/>
      <c r="DG76" s="1292"/>
      <c r="DH76" s="1292"/>
      <c r="DI76" s="1292"/>
      <c r="DJ76" s="1292"/>
      <c r="DK76" s="1292"/>
      <c r="DL76" s="1292"/>
      <c r="DM76" s="1292"/>
      <c r="DN76" s="1292"/>
      <c r="DO76" s="1292"/>
      <c r="DP76" s="1292"/>
      <c r="DQ76" s="1292"/>
      <c r="DR76" s="1292"/>
      <c r="DS76" s="1292"/>
      <c r="DT76" s="1292"/>
      <c r="DU76" s="1292"/>
      <c r="DV76" s="1292"/>
      <c r="DW76" s="1292"/>
      <c r="DX76" s="1292"/>
      <c r="DY76" s="1292"/>
      <c r="DZ76" s="1292"/>
      <c r="EA76" s="1292"/>
      <c r="EB76" s="1292"/>
      <c r="EC76" s="1292"/>
      <c r="ED76" s="1292"/>
      <c r="EE76" s="1292"/>
      <c r="EF76" s="1292"/>
      <c r="EG76" s="1292"/>
      <c r="EH76" s="1292"/>
      <c r="EI76" s="1292"/>
      <c r="EJ76" s="1292"/>
      <c r="EK76" s="1292"/>
      <c r="EL76" s="1292"/>
      <c r="EM76" s="1292"/>
      <c r="EN76" s="1292"/>
      <c r="EO76" s="1292"/>
      <c r="EP76" s="1292"/>
      <c r="EQ76" s="1292"/>
      <c r="ER76" s="1292"/>
      <c r="ES76" s="1292"/>
      <c r="ET76" s="1292"/>
      <c r="EU76" s="1292"/>
      <c r="EV76" s="1292"/>
      <c r="EW76" s="1292"/>
      <c r="EX76" s="1292"/>
      <c r="EY76" s="1292"/>
      <c r="EZ76" s="1292"/>
      <c r="FA76" s="1292"/>
      <c r="FB76" s="1292"/>
      <c r="FC76" s="1292"/>
      <c r="FD76" s="1292"/>
      <c r="FE76" s="1292"/>
      <c r="FF76" s="1292"/>
      <c r="FG76" s="1292"/>
      <c r="FH76" s="1292"/>
      <c r="FI76" s="1292"/>
      <c r="FJ76" s="1292"/>
      <c r="FK76" s="1292"/>
      <c r="FL76" s="1292"/>
      <c r="FM76" s="1292"/>
      <c r="FN76" s="1292"/>
      <c r="FO76" s="1292"/>
      <c r="FP76" s="1292"/>
      <c r="FQ76" s="1292"/>
      <c r="FR76" s="1292"/>
      <c r="FS76" s="1292"/>
      <c r="FT76" s="1292"/>
      <c r="FU76" s="1292"/>
      <c r="FV76" s="1292"/>
      <c r="FW76" s="1292"/>
      <c r="FX76" s="1292"/>
      <c r="FY76" s="1292"/>
      <c r="FZ76" s="1292"/>
      <c r="GA76" s="1292"/>
      <c r="GB76" s="1292"/>
      <c r="GC76" s="1292"/>
      <c r="GD76" s="1292"/>
      <c r="GE76" s="1292"/>
      <c r="GF76" s="1292"/>
      <c r="GG76" s="1292"/>
      <c r="GH76" s="1292"/>
      <c r="GI76" s="1292"/>
      <c r="GJ76" s="1292"/>
      <c r="GK76" s="1292"/>
      <c r="GL76" s="1292"/>
      <c r="GM76" s="1292"/>
      <c r="GN76" s="1292"/>
      <c r="GO76" s="1292"/>
      <c r="GP76" s="1292"/>
      <c r="GQ76" s="1292"/>
      <c r="GR76" s="1292"/>
      <c r="GS76" s="1292"/>
      <c r="GT76" s="1292"/>
      <c r="GU76" s="1292"/>
      <c r="GV76" s="1292"/>
      <c r="GW76" s="1292"/>
      <c r="GX76" s="1292"/>
      <c r="GY76" s="1292"/>
      <c r="GZ76" s="1292"/>
      <c r="HA76" s="1292"/>
      <c r="HB76" s="1292"/>
      <c r="HC76" s="1292"/>
      <c r="HD76" s="1292"/>
      <c r="HE76" s="1292"/>
      <c r="HF76" s="1292"/>
      <c r="HG76" s="1292"/>
      <c r="HH76" s="1292"/>
      <c r="HI76" s="1292"/>
      <c r="HJ76" s="1292"/>
      <c r="HK76" s="1292"/>
      <c r="HL76" s="1292"/>
      <c r="HM76" s="1292"/>
      <c r="HN76" s="1292"/>
      <c r="HO76" s="1292"/>
      <c r="HP76" s="1292"/>
      <c r="HQ76" s="1292"/>
      <c r="HR76" s="1292"/>
      <c r="HS76" s="1292"/>
      <c r="HT76" s="1292"/>
      <c r="HU76" s="1292"/>
      <c r="HV76" s="1292"/>
      <c r="HW76" s="1292"/>
      <c r="HX76" s="1292"/>
      <c r="HY76" s="1292"/>
      <c r="HZ76" s="1292"/>
      <c r="IA76" s="1292"/>
      <c r="IB76" s="1292"/>
      <c r="IC76" s="1292"/>
      <c r="ID76" s="1292"/>
      <c r="IE76" s="1292"/>
      <c r="IF76" s="1292"/>
      <c r="IG76" s="1292"/>
      <c r="IH76" s="1292"/>
      <c r="II76" s="1292"/>
      <c r="IJ76" s="1292"/>
      <c r="IK76" s="1292"/>
      <c r="IL76" s="1292"/>
      <c r="IM76" s="1292"/>
      <c r="IN76" s="1292"/>
      <c r="IO76" s="1292"/>
      <c r="IP76" s="1292"/>
      <c r="IQ76" s="1292"/>
      <c r="IR76" s="1292"/>
      <c r="IS76" s="1292"/>
      <c r="IT76" s="1292"/>
      <c r="IU76" s="1292"/>
      <c r="IV76" s="1292"/>
    </row>
  </sheetData>
  <sheetProtection sheet="1"/>
  <mergeCells count="7">
    <mergeCell ref="A41:N41"/>
    <mergeCell ref="A43:N43"/>
    <mergeCell ref="D1:K1"/>
    <mergeCell ref="M2:O2"/>
    <mergeCell ref="A35:O35"/>
    <mergeCell ref="A36:O36"/>
    <mergeCell ref="A39:N39"/>
  </mergeCells>
  <printOptions horizontalCentered="1"/>
  <pageMargins left="0.25" right="0.25" top="0.17" bottom="0.17" header="0.5" footer="0.5"/>
  <pageSetup scale="83" orientation="landscape" blackAndWhite="1" r:id="rId1"/>
  <headerFooter alignWithMargins="0"/>
  <colBreaks count="1" manualBreakCount="1">
    <brk id="15" max="44"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3">
    <tabColor indexed="10"/>
    <pageSetUpPr fitToPage="1"/>
  </sheetPr>
  <dimension ref="A1:BM49"/>
  <sheetViews>
    <sheetView showGridLines="0" view="pageBreakPreview" zoomScaleNormal="100" zoomScaleSheetLayoutView="100" workbookViewId="0">
      <selection activeCell="B4" sqref="B4"/>
    </sheetView>
  </sheetViews>
  <sheetFormatPr defaultColWidth="8.85546875" defaultRowHeight="12.75"/>
  <cols>
    <col min="1" max="1" width="12.42578125" customWidth="1"/>
    <col min="2" max="2" width="39.42578125" customWidth="1"/>
    <col min="3" max="3" width="36.42578125" customWidth="1"/>
    <col min="4" max="4" width="9.42578125" customWidth="1"/>
    <col min="5" max="5" width="14" customWidth="1"/>
    <col min="6" max="6" width="15.42578125" customWidth="1"/>
    <col min="39" max="39" width="41.42578125" style="266" bestFit="1" customWidth="1"/>
    <col min="40" max="40" width="50.42578125" bestFit="1" customWidth="1"/>
  </cols>
  <sheetData>
    <row r="1" spans="1:65" ht="42.75" customHeight="1">
      <c r="B1" s="3996" t="s">
        <v>2359</v>
      </c>
      <c r="C1" s="3996"/>
      <c r="D1" s="3996"/>
      <c r="E1" s="329"/>
      <c r="F1" s="330"/>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5"/>
      <c r="AM1" s="265"/>
      <c r="AN1" s="115"/>
      <c r="AO1" s="115"/>
      <c r="AP1" s="115"/>
      <c r="AQ1" s="115"/>
      <c r="AR1" s="115"/>
      <c r="AS1" s="115"/>
      <c r="AT1" s="115"/>
      <c r="AU1" s="116"/>
      <c r="AV1" s="116"/>
      <c r="AW1" s="116"/>
      <c r="AX1" s="116"/>
      <c r="AY1" s="116"/>
      <c r="AZ1" s="116"/>
      <c r="BA1" s="116"/>
      <c r="BB1" s="116"/>
      <c r="BC1" s="116"/>
      <c r="BD1" s="116"/>
      <c r="BE1" s="116"/>
      <c r="BF1" s="116"/>
      <c r="BG1" s="116"/>
      <c r="BH1" s="116"/>
      <c r="BI1" s="116"/>
      <c r="BJ1" s="116"/>
      <c r="BK1" s="116"/>
      <c r="BL1" s="116"/>
      <c r="BM1" s="116"/>
    </row>
    <row r="2" spans="1:65" ht="12.6" customHeight="1" thickBot="1">
      <c r="B2" s="1075"/>
      <c r="C2" s="1075"/>
      <c r="D2" s="1075"/>
      <c r="E2" s="329"/>
      <c r="F2" s="472" t="str">
        <f>'Drop-Down Lists'!A2</f>
        <v>v 05.01.2026</v>
      </c>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5"/>
      <c r="AM2" s="265"/>
      <c r="AN2" s="115"/>
      <c r="AO2" s="115"/>
      <c r="AP2" s="115"/>
      <c r="AQ2" s="115"/>
      <c r="AR2" s="115"/>
      <c r="AS2" s="115"/>
      <c r="AT2" s="115"/>
      <c r="AU2" s="116"/>
      <c r="AV2" s="116"/>
      <c r="AW2" s="116"/>
      <c r="AX2" s="116"/>
      <c r="AY2" s="116"/>
      <c r="AZ2" s="116"/>
      <c r="BA2" s="116"/>
      <c r="BB2" s="116"/>
      <c r="BC2" s="116"/>
      <c r="BD2" s="116"/>
      <c r="BE2" s="116"/>
      <c r="BF2" s="116"/>
      <c r="BG2" s="116"/>
      <c r="BH2" s="116"/>
      <c r="BI2" s="116"/>
      <c r="BJ2" s="116"/>
      <c r="BK2" s="116"/>
      <c r="BL2" s="116"/>
      <c r="BM2" s="116"/>
    </row>
    <row r="3" spans="1:65" ht="45">
      <c r="A3" s="1076" t="s">
        <v>2360</v>
      </c>
      <c r="B3" s="1077" t="s">
        <v>2361</v>
      </c>
      <c r="C3" s="1078" t="s">
        <v>2362</v>
      </c>
      <c r="D3" s="1078" t="s">
        <v>2363</v>
      </c>
      <c r="E3" s="1079" t="s">
        <v>2364</v>
      </c>
      <c r="F3" s="1080" t="s">
        <v>2365</v>
      </c>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5"/>
      <c r="AM3" s="265"/>
      <c r="AN3" s="115"/>
      <c r="AO3" s="115"/>
      <c r="AP3" s="115"/>
      <c r="AQ3" s="115"/>
      <c r="AR3" s="115"/>
      <c r="AS3" s="115"/>
      <c r="AT3" s="115"/>
      <c r="AU3" s="116"/>
      <c r="AV3" s="116"/>
      <c r="AW3" s="116"/>
      <c r="AX3" s="116"/>
      <c r="AY3" s="116"/>
      <c r="AZ3" s="116"/>
      <c r="BA3" s="116"/>
      <c r="BB3" s="116"/>
      <c r="BC3" s="116"/>
      <c r="BD3" s="116"/>
      <c r="BE3" s="116"/>
      <c r="BF3" s="116"/>
      <c r="BG3" s="116"/>
      <c r="BH3" s="116"/>
      <c r="BI3" s="116"/>
      <c r="BJ3" s="116"/>
      <c r="BK3" s="116"/>
      <c r="BL3" s="116"/>
      <c r="BM3" s="116"/>
    </row>
    <row r="4" spans="1:65" ht="45" customHeight="1">
      <c r="A4" s="1081">
        <v>1</v>
      </c>
      <c r="B4" s="732"/>
      <c r="C4" s="733"/>
      <c r="D4" s="734"/>
      <c r="E4" s="735"/>
      <c r="F4" s="1082" t="str">
        <f>IF(ISBLANK(D4),"",D4*E4)</f>
        <v/>
      </c>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267" t="s">
        <v>137</v>
      </c>
      <c r="AN4" s="265" t="s">
        <v>138</v>
      </c>
      <c r="AO4" s="115"/>
      <c r="AP4" s="115"/>
      <c r="AQ4" s="115"/>
      <c r="AR4" s="115"/>
      <c r="AS4" s="115"/>
      <c r="AT4" s="115"/>
      <c r="AU4" s="116"/>
      <c r="AV4" s="116"/>
      <c r="AW4" s="116"/>
      <c r="AX4" s="116"/>
      <c r="AY4" s="116"/>
      <c r="AZ4" s="116"/>
      <c r="BA4" s="116"/>
      <c r="BB4" s="116"/>
      <c r="BC4" s="116"/>
      <c r="BD4" s="116"/>
      <c r="BE4" s="116"/>
      <c r="BF4" s="116"/>
      <c r="BG4" s="116"/>
      <c r="BH4" s="116"/>
      <c r="BI4" s="116"/>
      <c r="BJ4" s="116"/>
      <c r="BK4" s="116"/>
      <c r="BL4" s="116"/>
      <c r="BM4" s="116"/>
    </row>
    <row r="5" spans="1:65" ht="45" customHeight="1">
      <c r="A5" s="1081">
        <v>2</v>
      </c>
      <c r="B5" s="732"/>
      <c r="C5" s="733"/>
      <c r="D5" s="734"/>
      <c r="E5" s="735"/>
      <c r="F5" s="1082" t="str">
        <f t="shared" ref="F5:F16" si="0">IF(ISBLANK(D5),"",D5*E5)</f>
        <v/>
      </c>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267" t="s">
        <v>192</v>
      </c>
      <c r="AN5" s="269" t="s">
        <v>193</v>
      </c>
      <c r="AO5" s="115"/>
      <c r="AP5" s="115"/>
      <c r="AQ5" s="115"/>
      <c r="AR5" s="115"/>
      <c r="AS5" s="115"/>
      <c r="AT5" s="115"/>
      <c r="AU5" s="116"/>
      <c r="AV5" s="116"/>
      <c r="AW5" s="116"/>
      <c r="AX5" s="116"/>
      <c r="AY5" s="116"/>
      <c r="AZ5" s="116"/>
      <c r="BA5" s="116"/>
      <c r="BB5" s="116"/>
      <c r="BC5" s="116"/>
      <c r="BD5" s="116"/>
      <c r="BE5" s="116"/>
      <c r="BF5" s="116"/>
      <c r="BG5" s="116"/>
      <c r="BH5" s="116"/>
      <c r="BI5" s="116"/>
      <c r="BJ5" s="116"/>
      <c r="BK5" s="116"/>
      <c r="BL5" s="116"/>
      <c r="BM5" s="116"/>
    </row>
    <row r="6" spans="1:65" ht="45" customHeight="1">
      <c r="A6" s="1081">
        <v>3</v>
      </c>
      <c r="B6" s="732"/>
      <c r="C6" s="733"/>
      <c r="D6" s="734"/>
      <c r="E6" s="735"/>
      <c r="F6" s="1082" t="str">
        <f t="shared" si="0"/>
        <v/>
      </c>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268" t="s">
        <v>235</v>
      </c>
      <c r="AN6" s="269" t="s">
        <v>236</v>
      </c>
      <c r="AO6" s="115"/>
      <c r="AP6" s="115"/>
      <c r="AQ6" s="115"/>
      <c r="AR6" s="115"/>
      <c r="AS6" s="115"/>
      <c r="AT6" s="115"/>
      <c r="AU6" s="116"/>
      <c r="AV6" s="116"/>
      <c r="AW6" s="116"/>
      <c r="AX6" s="116"/>
      <c r="AY6" s="116"/>
      <c r="AZ6" s="116"/>
      <c r="BA6" s="116"/>
      <c r="BB6" s="116"/>
      <c r="BC6" s="116"/>
      <c r="BD6" s="116"/>
      <c r="BE6" s="116"/>
      <c r="BF6" s="116"/>
      <c r="BG6" s="116"/>
      <c r="BH6" s="116"/>
      <c r="BI6" s="116"/>
      <c r="BJ6" s="116"/>
      <c r="BK6" s="116"/>
      <c r="BL6" s="116"/>
      <c r="BM6" s="116"/>
    </row>
    <row r="7" spans="1:65" ht="45" customHeight="1">
      <c r="A7" s="1081">
        <v>4</v>
      </c>
      <c r="B7" s="732"/>
      <c r="C7" s="733"/>
      <c r="D7" s="734"/>
      <c r="E7" s="735"/>
      <c r="F7" s="1082" t="str">
        <f t="shared" si="0"/>
        <v/>
      </c>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267" t="s">
        <v>265</v>
      </c>
      <c r="AN7" s="269" t="s">
        <v>266</v>
      </c>
      <c r="AO7" s="115"/>
      <c r="AP7" s="115"/>
      <c r="AQ7" s="115"/>
      <c r="AR7" s="115"/>
      <c r="AS7" s="115"/>
      <c r="AT7" s="115"/>
      <c r="AU7" s="116"/>
      <c r="AV7" s="116"/>
      <c r="AW7" s="116"/>
      <c r="AX7" s="116"/>
      <c r="AY7" s="116"/>
      <c r="AZ7" s="116"/>
      <c r="BA7" s="116"/>
      <c r="BB7" s="116"/>
      <c r="BC7" s="116"/>
      <c r="BD7" s="116"/>
      <c r="BE7" s="116"/>
      <c r="BF7" s="116"/>
      <c r="BG7" s="116"/>
      <c r="BH7" s="116"/>
      <c r="BI7" s="116"/>
      <c r="BJ7" s="116"/>
      <c r="BK7" s="116"/>
      <c r="BL7" s="116"/>
      <c r="BM7" s="116"/>
    </row>
    <row r="8" spans="1:65" ht="45" customHeight="1" thickBot="1">
      <c r="A8" s="1081">
        <v>5</v>
      </c>
      <c r="B8" s="732"/>
      <c r="C8" s="733"/>
      <c r="D8" s="734"/>
      <c r="E8" s="735"/>
      <c r="F8" s="1082" t="str">
        <f t="shared" si="0"/>
        <v/>
      </c>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267" t="s">
        <v>290</v>
      </c>
      <c r="AN8" s="269" t="s">
        <v>266</v>
      </c>
      <c r="AO8" s="115"/>
      <c r="AP8" s="115"/>
      <c r="AQ8" s="115"/>
      <c r="AR8" s="115"/>
      <c r="AS8" s="115"/>
      <c r="AT8" s="115"/>
      <c r="AU8" s="116"/>
      <c r="AV8" s="116"/>
      <c r="AW8" s="116"/>
      <c r="AX8" s="116"/>
      <c r="AY8" s="116"/>
      <c r="AZ8" s="116"/>
      <c r="BA8" s="116"/>
      <c r="BB8" s="116"/>
      <c r="BC8" s="116"/>
      <c r="BD8" s="116"/>
      <c r="BE8" s="116"/>
      <c r="BF8" s="116"/>
      <c r="BG8" s="116"/>
      <c r="BH8" s="116"/>
      <c r="BI8" s="116"/>
      <c r="BJ8" s="116"/>
      <c r="BK8" s="116"/>
      <c r="BL8" s="116"/>
      <c r="BM8" s="116"/>
    </row>
    <row r="9" spans="1:65" ht="24" customHeight="1" thickBot="1">
      <c r="A9" s="3993" t="s">
        <v>2366</v>
      </c>
      <c r="B9" s="3994"/>
      <c r="C9" s="3994"/>
      <c r="D9" s="3994"/>
      <c r="E9" s="3995"/>
      <c r="F9" s="118" t="str">
        <f>IF(ISBLANK(B4),"",SUM(F4:F8))</f>
        <v/>
      </c>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267" t="s">
        <v>303</v>
      </c>
      <c r="AN9" s="269" t="s">
        <v>304</v>
      </c>
      <c r="AO9" s="115"/>
      <c r="AP9" s="115"/>
      <c r="AQ9" s="115"/>
      <c r="AR9" s="115"/>
      <c r="AS9" s="115"/>
      <c r="AT9" s="115"/>
      <c r="AU9" s="116"/>
      <c r="AV9" s="116"/>
      <c r="AW9" s="116"/>
      <c r="AX9" s="116"/>
      <c r="AY9" s="116"/>
      <c r="AZ9" s="116"/>
      <c r="BA9" s="116"/>
      <c r="BB9" s="116"/>
      <c r="BC9" s="116"/>
      <c r="BD9" s="116"/>
      <c r="BE9" s="116"/>
      <c r="BF9" s="116"/>
      <c r="BG9" s="116"/>
      <c r="BH9" s="116"/>
      <c r="BI9" s="116"/>
      <c r="BJ9" s="116"/>
      <c r="BK9" s="116"/>
      <c r="BL9" s="116"/>
      <c r="BM9" s="116"/>
    </row>
    <row r="10" spans="1:65" ht="24" customHeight="1">
      <c r="A10" s="1083"/>
      <c r="B10" s="265"/>
      <c r="C10" s="115"/>
      <c r="D10" s="115"/>
      <c r="E10" s="352"/>
      <c r="F10" s="1084"/>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267" t="s">
        <v>314</v>
      </c>
      <c r="AN10" s="269" t="s">
        <v>315</v>
      </c>
      <c r="AO10" s="115"/>
      <c r="AP10" s="115"/>
      <c r="AQ10" s="115"/>
      <c r="AR10" s="115"/>
      <c r="AS10" s="115"/>
      <c r="AT10" s="115"/>
      <c r="AU10" s="116"/>
      <c r="AV10" s="116"/>
      <c r="AW10" s="116"/>
      <c r="AX10" s="116"/>
      <c r="AY10" s="116"/>
      <c r="AZ10" s="116"/>
      <c r="BA10" s="116"/>
      <c r="BB10" s="116"/>
      <c r="BC10" s="116"/>
      <c r="BD10" s="116"/>
      <c r="BE10" s="116"/>
      <c r="BF10" s="116"/>
      <c r="BG10" s="116"/>
      <c r="BH10" s="116"/>
      <c r="BI10" s="116"/>
      <c r="BJ10" s="116"/>
      <c r="BK10" s="116"/>
      <c r="BL10" s="116"/>
      <c r="BM10" s="116"/>
    </row>
    <row r="11" spans="1:65" ht="42" customHeight="1">
      <c r="A11" s="1085" t="s">
        <v>2360</v>
      </c>
      <c r="B11" s="465" t="s">
        <v>2367</v>
      </c>
      <c r="C11" s="464" t="s">
        <v>2362</v>
      </c>
      <c r="D11" s="464" t="s">
        <v>2363</v>
      </c>
      <c r="E11" s="466" t="s">
        <v>2368</v>
      </c>
      <c r="F11" s="1086" t="s">
        <v>2365</v>
      </c>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267" t="s">
        <v>325</v>
      </c>
      <c r="AN11" s="269" t="s">
        <v>326</v>
      </c>
      <c r="AO11" s="115"/>
      <c r="AP11" s="115"/>
      <c r="AQ11" s="115"/>
      <c r="AR11" s="115"/>
      <c r="AS11" s="115"/>
      <c r="AT11" s="115"/>
      <c r="AU11" s="116"/>
      <c r="AV11" s="116"/>
      <c r="AW11" s="116"/>
      <c r="AX11" s="116"/>
      <c r="AY11" s="116"/>
      <c r="AZ11" s="116"/>
      <c r="BA11" s="116"/>
      <c r="BB11" s="116"/>
      <c r="BC11" s="116"/>
      <c r="BD11" s="116"/>
      <c r="BE11" s="116"/>
      <c r="BF11" s="116"/>
      <c r="BG11" s="116"/>
      <c r="BH11" s="116"/>
      <c r="BI11" s="116"/>
      <c r="BJ11" s="116"/>
      <c r="BK11" s="116"/>
      <c r="BL11" s="116"/>
      <c r="BM11" s="116"/>
    </row>
    <row r="12" spans="1:65" ht="45" customHeight="1">
      <c r="A12" s="1081">
        <v>6</v>
      </c>
      <c r="B12" s="732"/>
      <c r="C12" s="733"/>
      <c r="D12" s="734"/>
      <c r="E12" s="735"/>
      <c r="F12" s="1082" t="str">
        <f t="shared" si="0"/>
        <v/>
      </c>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267" t="s">
        <v>335</v>
      </c>
      <c r="AN12" s="269" t="s">
        <v>336</v>
      </c>
      <c r="AO12" s="115"/>
      <c r="AP12" s="115"/>
      <c r="AQ12" s="115"/>
      <c r="AR12" s="115"/>
      <c r="AS12" s="115"/>
      <c r="AT12" s="115"/>
      <c r="AU12" s="116"/>
      <c r="AV12" s="116"/>
      <c r="AW12" s="116"/>
      <c r="AX12" s="116"/>
      <c r="AY12" s="116"/>
      <c r="AZ12" s="116"/>
      <c r="BA12" s="116"/>
      <c r="BB12" s="116"/>
      <c r="BC12" s="116"/>
      <c r="BD12" s="116"/>
      <c r="BE12" s="116"/>
      <c r="BF12" s="116"/>
      <c r="BG12" s="116"/>
      <c r="BH12" s="116"/>
      <c r="BI12" s="116"/>
      <c r="BJ12" s="116"/>
      <c r="BK12" s="116"/>
      <c r="BL12" s="116"/>
      <c r="BM12" s="116"/>
    </row>
    <row r="13" spans="1:65" ht="45" customHeight="1">
      <c r="A13" s="1081">
        <f>A12+1</f>
        <v>7</v>
      </c>
      <c r="B13" s="732"/>
      <c r="C13" s="733"/>
      <c r="D13" s="734"/>
      <c r="E13" s="735"/>
      <c r="F13" s="1082" t="str">
        <f t="shared" si="0"/>
        <v/>
      </c>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267" t="s">
        <v>2369</v>
      </c>
      <c r="AN13" s="269" t="s">
        <v>342</v>
      </c>
      <c r="AO13" s="115"/>
      <c r="AP13" s="115"/>
      <c r="AQ13" s="115"/>
      <c r="AR13" s="115"/>
      <c r="AS13" s="115"/>
      <c r="AT13" s="115"/>
      <c r="AU13" s="116"/>
      <c r="AV13" s="116"/>
      <c r="AW13" s="116"/>
      <c r="AX13" s="116"/>
      <c r="AY13" s="116"/>
      <c r="AZ13" s="116"/>
      <c r="BA13" s="116"/>
      <c r="BB13" s="116"/>
      <c r="BC13" s="116"/>
      <c r="BD13" s="116"/>
      <c r="BE13" s="116"/>
      <c r="BF13" s="116"/>
      <c r="BG13" s="116"/>
      <c r="BH13" s="116"/>
      <c r="BI13" s="116"/>
      <c r="BJ13" s="116"/>
      <c r="BK13" s="116"/>
      <c r="BL13" s="116"/>
      <c r="BM13" s="116"/>
    </row>
    <row r="14" spans="1:65" ht="45" customHeight="1">
      <c r="A14" s="1081">
        <f>A13+1</f>
        <v>8</v>
      </c>
      <c r="B14" s="732"/>
      <c r="C14" s="733"/>
      <c r="D14" s="734"/>
      <c r="E14" s="735"/>
      <c r="F14" s="1082" t="str">
        <f t="shared" si="0"/>
        <v/>
      </c>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267" t="s">
        <v>2370</v>
      </c>
      <c r="AN14" s="269" t="s">
        <v>347</v>
      </c>
      <c r="AO14" s="115"/>
      <c r="AP14" s="115"/>
      <c r="AQ14" s="115"/>
      <c r="AR14" s="115"/>
      <c r="AS14" s="115"/>
      <c r="AT14" s="115"/>
      <c r="AU14" s="116"/>
      <c r="AV14" s="116"/>
      <c r="AW14" s="116"/>
      <c r="AX14" s="116"/>
      <c r="AY14" s="116"/>
      <c r="AZ14" s="116"/>
      <c r="BA14" s="116"/>
      <c r="BB14" s="116"/>
      <c r="BC14" s="116"/>
      <c r="BD14" s="116"/>
      <c r="BE14" s="116"/>
      <c r="BF14" s="116"/>
      <c r="BG14" s="116"/>
      <c r="BH14" s="116"/>
      <c r="BI14" s="116"/>
      <c r="BJ14" s="116"/>
      <c r="BK14" s="116"/>
      <c r="BL14" s="116"/>
      <c r="BM14" s="116"/>
    </row>
    <row r="15" spans="1:65" ht="45" customHeight="1">
      <c r="A15" s="1081">
        <f>A14+1</f>
        <v>9</v>
      </c>
      <c r="B15" s="732"/>
      <c r="C15" s="733"/>
      <c r="D15" s="734"/>
      <c r="E15" s="735"/>
      <c r="F15" s="1082" t="str">
        <f t="shared" si="0"/>
        <v/>
      </c>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267" t="s">
        <v>351</v>
      </c>
      <c r="AN15" s="269" t="s">
        <v>352</v>
      </c>
      <c r="AO15" s="115"/>
      <c r="AP15" s="115"/>
      <c r="AQ15" s="115"/>
      <c r="AR15" s="115"/>
      <c r="AS15" s="115"/>
      <c r="AT15" s="115"/>
      <c r="AU15" s="116"/>
      <c r="AV15" s="116"/>
      <c r="AW15" s="116"/>
      <c r="AX15" s="116"/>
      <c r="AY15" s="116"/>
      <c r="AZ15" s="116"/>
      <c r="BA15" s="116"/>
      <c r="BB15" s="116"/>
      <c r="BC15" s="116"/>
      <c r="BD15" s="116"/>
      <c r="BE15" s="116"/>
      <c r="BF15" s="116"/>
      <c r="BG15" s="116"/>
      <c r="BH15" s="116"/>
      <c r="BI15" s="116"/>
      <c r="BJ15" s="116"/>
      <c r="BK15" s="116"/>
      <c r="BL15" s="116"/>
      <c r="BM15" s="116"/>
    </row>
    <row r="16" spans="1:65" ht="45" customHeight="1" thickBot="1">
      <c r="A16" s="1081">
        <f>A15+1</f>
        <v>10</v>
      </c>
      <c r="B16" s="732"/>
      <c r="C16" s="733"/>
      <c r="D16" s="734"/>
      <c r="E16" s="735"/>
      <c r="F16" s="1082" t="str">
        <f t="shared" si="0"/>
        <v/>
      </c>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267" t="s">
        <v>303</v>
      </c>
      <c r="AN16" s="269" t="s">
        <v>356</v>
      </c>
      <c r="AO16" s="115"/>
      <c r="AP16" s="115"/>
      <c r="AQ16" s="115"/>
      <c r="AR16" s="115"/>
      <c r="AS16" s="115"/>
      <c r="AT16" s="115"/>
      <c r="AU16" s="116"/>
      <c r="AV16" s="116"/>
      <c r="AW16" s="116"/>
      <c r="AX16" s="116"/>
      <c r="AY16" s="116"/>
      <c r="AZ16" s="116"/>
      <c r="BA16" s="116"/>
      <c r="BB16" s="116"/>
      <c r="BC16" s="116"/>
      <c r="BD16" s="116"/>
      <c r="BE16" s="116"/>
      <c r="BF16" s="116"/>
      <c r="BG16" s="116"/>
      <c r="BH16" s="116"/>
      <c r="BI16" s="116"/>
      <c r="BJ16" s="116"/>
      <c r="BK16" s="116"/>
      <c r="BL16" s="116"/>
      <c r="BM16" s="116"/>
    </row>
    <row r="17" spans="1:65" ht="24" customHeight="1" thickBot="1">
      <c r="A17" s="3993" t="s">
        <v>2371</v>
      </c>
      <c r="B17" s="3994"/>
      <c r="C17" s="3994"/>
      <c r="D17" s="3994"/>
      <c r="E17" s="3995"/>
      <c r="F17" s="1007" t="str">
        <f>IF(ISBLANK(B12),"",SUM(F12:F16))</f>
        <v/>
      </c>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267" t="s">
        <v>303</v>
      </c>
      <c r="AN17" s="269" t="s">
        <v>304</v>
      </c>
      <c r="AO17" s="115"/>
      <c r="AP17" s="115"/>
      <c r="AQ17" s="115"/>
      <c r="AR17" s="115"/>
      <c r="AS17" s="115"/>
      <c r="AT17" s="115"/>
      <c r="AU17" s="116"/>
      <c r="AV17" s="116"/>
      <c r="AW17" s="116"/>
      <c r="AX17" s="116"/>
      <c r="AY17" s="116"/>
      <c r="AZ17" s="116"/>
      <c r="BA17" s="116"/>
      <c r="BB17" s="116"/>
      <c r="BC17" s="116"/>
      <c r="BD17" s="116"/>
      <c r="BE17" s="116"/>
      <c r="BF17" s="116"/>
      <c r="BG17" s="116"/>
      <c r="BH17" s="116"/>
      <c r="BI17" s="116"/>
      <c r="BJ17" s="116"/>
      <c r="BK17" s="116"/>
      <c r="BL17" s="116"/>
      <c r="BM17" s="116"/>
    </row>
    <row r="18" spans="1:65" ht="24" customHeight="1" thickBot="1">
      <c r="A18" s="3993" t="s">
        <v>2372</v>
      </c>
      <c r="B18" s="3994"/>
      <c r="C18" s="3994"/>
      <c r="D18" s="3994"/>
      <c r="E18" s="3995"/>
      <c r="F18" s="1006"/>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267" t="s">
        <v>363</v>
      </c>
      <c r="AN18" s="269" t="s">
        <v>304</v>
      </c>
      <c r="AO18" s="115"/>
      <c r="AP18" s="115"/>
      <c r="AQ18" s="115"/>
      <c r="AR18" s="115"/>
      <c r="AS18" s="115"/>
      <c r="AT18" s="115"/>
      <c r="AU18" s="116"/>
      <c r="AV18" s="116"/>
      <c r="AW18" s="116"/>
      <c r="AX18" s="116"/>
      <c r="AY18" s="116"/>
      <c r="AZ18" s="116"/>
      <c r="BA18" s="116"/>
      <c r="BB18" s="116"/>
      <c r="BC18" s="116"/>
      <c r="BD18" s="116"/>
      <c r="BE18" s="116"/>
      <c r="BF18" s="116"/>
      <c r="BG18" s="116"/>
      <c r="BH18" s="116"/>
      <c r="BI18" s="116"/>
      <c r="BJ18" s="116"/>
      <c r="BK18" s="116"/>
      <c r="BL18" s="116"/>
      <c r="BM18" s="116"/>
    </row>
    <row r="19" spans="1:65" ht="24" customHeight="1" thickBot="1">
      <c r="A19" s="3993" t="s">
        <v>2373</v>
      </c>
      <c r="B19" s="3994"/>
      <c r="C19" s="3994"/>
      <c r="D19" s="3994"/>
      <c r="E19" s="3995"/>
      <c r="F19" s="1007" t="str">
        <f>IF(ISBLANK(B4),"",SUM(F9,F17,F18))</f>
        <v/>
      </c>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267" t="s">
        <v>367</v>
      </c>
      <c r="AN19" s="269" t="s">
        <v>368</v>
      </c>
      <c r="AO19" s="115"/>
      <c r="AP19" s="115"/>
      <c r="AQ19" s="115"/>
      <c r="AR19" s="115"/>
      <c r="AS19" s="115"/>
      <c r="AT19" s="115"/>
      <c r="AU19" s="116"/>
      <c r="AV19" s="116"/>
      <c r="AW19" s="116"/>
      <c r="AX19" s="116"/>
      <c r="AY19" s="116"/>
      <c r="AZ19" s="116"/>
      <c r="BA19" s="116"/>
      <c r="BB19" s="116"/>
      <c r="BC19" s="116"/>
      <c r="BD19" s="116"/>
      <c r="BE19" s="116"/>
      <c r="BF19" s="116"/>
      <c r="BG19" s="116"/>
      <c r="BH19" s="116"/>
      <c r="BI19" s="116"/>
      <c r="BJ19" s="116"/>
      <c r="BK19" s="116"/>
      <c r="BL19" s="116"/>
      <c r="BM19" s="116"/>
    </row>
    <row r="20" spans="1:65" ht="16.5">
      <c r="A20" s="115"/>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267" t="s">
        <v>372</v>
      </c>
      <c r="AN20" s="269" t="s">
        <v>373</v>
      </c>
      <c r="AO20" s="115"/>
      <c r="AP20" s="115"/>
      <c r="AQ20" s="115"/>
      <c r="AR20" s="115"/>
      <c r="AS20" s="115"/>
      <c r="AT20" s="115"/>
      <c r="AU20" s="116"/>
      <c r="AV20" s="116"/>
      <c r="AW20" s="116"/>
      <c r="AX20" s="116"/>
      <c r="AY20" s="116"/>
      <c r="AZ20" s="116"/>
      <c r="BA20" s="116"/>
      <c r="BB20" s="116"/>
      <c r="BC20" s="116"/>
      <c r="BD20" s="116"/>
      <c r="BE20" s="116"/>
      <c r="BF20" s="116"/>
      <c r="BG20" s="116"/>
      <c r="BH20" s="116"/>
      <c r="BI20" s="116"/>
      <c r="BJ20" s="116"/>
      <c r="BK20" s="116"/>
      <c r="BL20" s="116"/>
      <c r="BM20" s="116"/>
    </row>
    <row r="21" spans="1:65" ht="16.5" customHeight="1">
      <c r="A21" s="115"/>
      <c r="B21" s="115"/>
      <c r="C21" s="115"/>
      <c r="D21" s="115"/>
      <c r="E21" s="115"/>
      <c r="F21" s="115"/>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5"/>
      <c r="AM21" s="267" t="s">
        <v>377</v>
      </c>
      <c r="AN21" s="269" t="s">
        <v>378</v>
      </c>
      <c r="AO21" s="115"/>
      <c r="AP21" s="115"/>
      <c r="AQ21" s="115"/>
      <c r="AR21" s="115"/>
      <c r="AS21" s="115"/>
      <c r="AT21" s="115"/>
      <c r="AU21" s="116"/>
      <c r="AV21" s="116"/>
      <c r="AW21" s="116"/>
      <c r="AX21" s="116"/>
      <c r="AY21" s="116"/>
      <c r="AZ21" s="116"/>
      <c r="BA21" s="116"/>
      <c r="BB21" s="116"/>
      <c r="BC21" s="116"/>
      <c r="BD21" s="116"/>
      <c r="BE21" s="116"/>
      <c r="BF21" s="116"/>
      <c r="BG21" s="116"/>
      <c r="BH21" s="116"/>
      <c r="BI21" s="116"/>
      <c r="BJ21" s="116"/>
      <c r="BK21" s="116"/>
      <c r="BL21" s="116"/>
      <c r="BM21" s="116"/>
    </row>
    <row r="22" spans="1:65" ht="16.5">
      <c r="A22" s="115"/>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267" t="s">
        <v>382</v>
      </c>
      <c r="AN22" s="269" t="s">
        <v>2374</v>
      </c>
      <c r="AO22" s="115"/>
      <c r="AP22" s="115"/>
      <c r="AQ22" s="115"/>
      <c r="AR22" s="115"/>
      <c r="AS22" s="115"/>
      <c r="AT22" s="115"/>
      <c r="AU22" s="116"/>
      <c r="AV22" s="116"/>
      <c r="AW22" s="116"/>
      <c r="AX22" s="116"/>
      <c r="AY22" s="116"/>
      <c r="AZ22" s="116"/>
      <c r="BA22" s="116"/>
      <c r="BB22" s="116"/>
      <c r="BC22" s="116"/>
      <c r="BD22" s="116"/>
      <c r="BE22" s="116"/>
      <c r="BF22" s="116"/>
      <c r="BG22" s="116"/>
      <c r="BH22" s="116"/>
      <c r="BI22" s="116"/>
      <c r="BJ22" s="116"/>
      <c r="BK22" s="116"/>
      <c r="BL22" s="116"/>
      <c r="BM22" s="116"/>
    </row>
    <row r="23" spans="1:65" ht="16.5">
      <c r="A23" s="115"/>
      <c r="B23" s="115"/>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267" t="s">
        <v>387</v>
      </c>
      <c r="AN23" s="269" t="s">
        <v>388</v>
      </c>
      <c r="AO23" s="115"/>
      <c r="AP23" s="115"/>
      <c r="AQ23" s="115"/>
      <c r="AR23" s="115"/>
      <c r="AS23" s="115"/>
      <c r="AT23" s="115"/>
      <c r="AU23" s="116"/>
      <c r="AV23" s="116"/>
      <c r="AW23" s="116"/>
      <c r="AX23" s="116"/>
      <c r="AY23" s="116"/>
      <c r="AZ23" s="116"/>
      <c r="BA23" s="116"/>
      <c r="BB23" s="116"/>
      <c r="BC23" s="116"/>
      <c r="BD23" s="116"/>
      <c r="BE23" s="116"/>
      <c r="BF23" s="116"/>
      <c r="BG23" s="116"/>
      <c r="BH23" s="116"/>
      <c r="BI23" s="116"/>
      <c r="BJ23" s="116"/>
      <c r="BK23" s="116"/>
      <c r="BL23" s="116"/>
      <c r="BM23" s="116"/>
    </row>
    <row r="24" spans="1:65" ht="16.5">
      <c r="A24" s="115"/>
      <c r="B24" s="115"/>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267" t="s">
        <v>392</v>
      </c>
      <c r="AN24" s="269" t="s">
        <v>393</v>
      </c>
      <c r="AO24" s="115"/>
      <c r="AP24" s="115"/>
      <c r="AQ24" s="115"/>
      <c r="AR24" s="115"/>
      <c r="AS24" s="115"/>
      <c r="AT24" s="115"/>
      <c r="AU24" s="116"/>
      <c r="AV24" s="116"/>
      <c r="AW24" s="116"/>
      <c r="AX24" s="116"/>
      <c r="AY24" s="116"/>
      <c r="AZ24" s="116"/>
      <c r="BA24" s="116"/>
      <c r="BB24" s="116"/>
      <c r="BC24" s="116"/>
      <c r="BD24" s="116"/>
      <c r="BE24" s="116"/>
      <c r="BF24" s="116"/>
      <c r="BG24" s="116"/>
      <c r="BH24" s="116"/>
      <c r="BI24" s="116"/>
      <c r="BJ24" s="116"/>
      <c r="BK24" s="116"/>
      <c r="BL24" s="116"/>
      <c r="BM24" s="116"/>
    </row>
    <row r="25" spans="1:65" ht="16.5">
      <c r="A25" s="1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267" t="s">
        <v>396</v>
      </c>
      <c r="AN25" s="269" t="s">
        <v>397</v>
      </c>
      <c r="AO25" s="115"/>
      <c r="AP25" s="115"/>
      <c r="AQ25" s="115"/>
      <c r="AR25" s="115"/>
      <c r="AS25" s="115"/>
      <c r="AT25" s="115"/>
      <c r="AU25" s="116"/>
      <c r="AV25" s="116"/>
      <c r="AW25" s="116"/>
      <c r="AX25" s="116"/>
      <c r="AY25" s="116"/>
      <c r="AZ25" s="116"/>
      <c r="BA25" s="116"/>
      <c r="BB25" s="116"/>
      <c r="BC25" s="116"/>
      <c r="BD25" s="116"/>
      <c r="BE25" s="116"/>
      <c r="BF25" s="116"/>
      <c r="BG25" s="116"/>
      <c r="BH25" s="116"/>
      <c r="BI25" s="116"/>
      <c r="BJ25" s="116"/>
      <c r="BK25" s="116"/>
      <c r="BL25" s="116"/>
      <c r="BM25" s="116"/>
    </row>
    <row r="26" spans="1:65" ht="16.5">
      <c r="A26" s="115"/>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267" t="s">
        <v>400</v>
      </c>
      <c r="AN26" s="269" t="s">
        <v>401</v>
      </c>
      <c r="AO26" s="115"/>
      <c r="AP26" s="115"/>
      <c r="AQ26" s="115"/>
      <c r="AR26" s="115"/>
      <c r="AS26" s="115"/>
      <c r="AT26" s="115"/>
      <c r="AU26" s="116"/>
      <c r="AV26" s="116"/>
      <c r="AW26" s="116"/>
      <c r="AX26" s="116"/>
      <c r="AY26" s="116"/>
      <c r="AZ26" s="116"/>
      <c r="BA26" s="116"/>
      <c r="BB26" s="116"/>
      <c r="BC26" s="116"/>
      <c r="BD26" s="116"/>
      <c r="BE26" s="116"/>
      <c r="BF26" s="116"/>
      <c r="BG26" s="116"/>
      <c r="BH26" s="116"/>
      <c r="BI26" s="116"/>
      <c r="BJ26" s="116"/>
      <c r="BK26" s="116"/>
      <c r="BL26" s="116"/>
      <c r="BM26" s="116"/>
    </row>
    <row r="27" spans="1:65" ht="16.5">
      <c r="A27" s="1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267" t="s">
        <v>405</v>
      </c>
      <c r="AN27" s="269" t="s">
        <v>406</v>
      </c>
      <c r="AO27" s="115"/>
      <c r="AP27" s="115"/>
      <c r="AQ27" s="115"/>
      <c r="AR27" s="115"/>
      <c r="AS27" s="115"/>
      <c r="AT27" s="115"/>
      <c r="AU27" s="116"/>
      <c r="AV27" s="116"/>
      <c r="AW27" s="116"/>
      <c r="AX27" s="116"/>
      <c r="AY27" s="116"/>
      <c r="AZ27" s="116"/>
      <c r="BA27" s="116"/>
      <c r="BB27" s="116"/>
      <c r="BC27" s="116"/>
      <c r="BD27" s="116"/>
      <c r="BE27" s="116"/>
      <c r="BF27" s="116"/>
      <c r="BG27" s="116"/>
      <c r="BH27" s="116"/>
      <c r="BI27" s="116"/>
      <c r="BJ27" s="116"/>
      <c r="BK27" s="116"/>
      <c r="BL27" s="116"/>
      <c r="BM27" s="116"/>
    </row>
    <row r="28" spans="1:65" ht="16.5">
      <c r="A28" s="115"/>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267" t="s">
        <v>409</v>
      </c>
      <c r="AN28" s="269" t="s">
        <v>410</v>
      </c>
      <c r="AO28" s="115"/>
      <c r="AP28" s="115"/>
      <c r="AQ28" s="115"/>
      <c r="AR28" s="115"/>
      <c r="AS28" s="115"/>
      <c r="AT28" s="115"/>
      <c r="AU28" s="116"/>
      <c r="AV28" s="116"/>
      <c r="AW28" s="116"/>
      <c r="AX28" s="116"/>
      <c r="AY28" s="116"/>
      <c r="AZ28" s="116"/>
      <c r="BA28" s="116"/>
      <c r="BB28" s="116"/>
      <c r="BC28" s="116"/>
      <c r="BD28" s="116"/>
      <c r="BE28" s="116"/>
      <c r="BF28" s="116"/>
      <c r="BG28" s="116"/>
      <c r="BH28" s="116"/>
      <c r="BI28" s="116"/>
      <c r="BJ28" s="116"/>
      <c r="BK28" s="116"/>
      <c r="BL28" s="116"/>
      <c r="BM28" s="116"/>
    </row>
    <row r="29" spans="1:65" ht="16.5">
      <c r="A29" s="1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267" t="s">
        <v>413</v>
      </c>
      <c r="AN29" s="269" t="s">
        <v>414</v>
      </c>
      <c r="AO29" s="115"/>
      <c r="AP29" s="115"/>
      <c r="AQ29" s="115"/>
      <c r="AR29" s="115"/>
      <c r="AS29" s="115"/>
      <c r="AT29" s="115"/>
      <c r="AU29" s="116"/>
      <c r="AV29" s="116"/>
      <c r="AW29" s="116"/>
      <c r="AX29" s="116"/>
      <c r="AY29" s="116"/>
      <c r="AZ29" s="116"/>
      <c r="BA29" s="116"/>
      <c r="BB29" s="116"/>
      <c r="BC29" s="116"/>
      <c r="BD29" s="116"/>
      <c r="BE29" s="116"/>
      <c r="BF29" s="116"/>
      <c r="BG29" s="116"/>
      <c r="BH29" s="116"/>
      <c r="BI29" s="116"/>
      <c r="BJ29" s="116"/>
      <c r="BK29" s="116"/>
      <c r="BL29" s="116"/>
      <c r="BM29" s="116"/>
    </row>
    <row r="30" spans="1:65" ht="16.5">
      <c r="A30" s="115"/>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267" t="s">
        <v>417</v>
      </c>
      <c r="AN30" s="269" t="s">
        <v>418</v>
      </c>
      <c r="AO30" s="115"/>
      <c r="AP30" s="115"/>
      <c r="AQ30" s="115"/>
      <c r="AR30" s="115"/>
      <c r="AS30" s="115"/>
      <c r="AT30" s="115"/>
      <c r="AU30" s="116"/>
      <c r="AV30" s="116"/>
      <c r="AW30" s="116"/>
      <c r="AX30" s="116"/>
      <c r="AY30" s="116"/>
      <c r="AZ30" s="116"/>
      <c r="BA30" s="116"/>
      <c r="BB30" s="116"/>
      <c r="BC30" s="116"/>
      <c r="BD30" s="116"/>
      <c r="BE30" s="116"/>
      <c r="BF30" s="116"/>
      <c r="BG30" s="116"/>
      <c r="BH30" s="116"/>
      <c r="BI30" s="116"/>
      <c r="BJ30" s="116"/>
      <c r="BK30" s="116"/>
      <c r="BL30" s="116"/>
      <c r="BM30" s="116"/>
    </row>
    <row r="31" spans="1:65" ht="16.5">
      <c r="A31" s="115"/>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267" t="s">
        <v>421</v>
      </c>
      <c r="AN31" s="269" t="s">
        <v>422</v>
      </c>
      <c r="AO31" s="115"/>
      <c r="AP31" s="115"/>
      <c r="AQ31" s="115"/>
      <c r="AR31" s="115"/>
      <c r="AS31" s="115"/>
      <c r="AT31" s="115"/>
      <c r="AU31" s="116"/>
      <c r="AV31" s="116"/>
      <c r="AW31" s="116"/>
      <c r="AX31" s="116"/>
      <c r="AY31" s="116"/>
      <c r="AZ31" s="116"/>
      <c r="BA31" s="116"/>
      <c r="BB31" s="116"/>
      <c r="BC31" s="116"/>
      <c r="BD31" s="116"/>
      <c r="BE31" s="116"/>
      <c r="BF31" s="116"/>
      <c r="BG31" s="116"/>
      <c r="BH31" s="116"/>
      <c r="BI31" s="116"/>
      <c r="BJ31" s="116"/>
      <c r="BK31" s="116"/>
      <c r="BL31" s="116"/>
      <c r="BM31" s="116"/>
    </row>
    <row r="32" spans="1:65" ht="16.5">
      <c r="A32" s="115"/>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267" t="s">
        <v>425</v>
      </c>
      <c r="AN32" s="269" t="s">
        <v>426</v>
      </c>
      <c r="AO32" s="115"/>
      <c r="AP32" s="115"/>
      <c r="AQ32" s="115"/>
      <c r="AR32" s="115"/>
      <c r="AS32" s="115"/>
      <c r="AT32" s="115"/>
      <c r="AU32" s="116"/>
      <c r="AV32" s="116"/>
      <c r="AW32" s="116"/>
      <c r="AX32" s="116"/>
      <c r="AY32" s="116"/>
      <c r="AZ32" s="116"/>
      <c r="BA32" s="116"/>
      <c r="BB32" s="116"/>
      <c r="BC32" s="116"/>
      <c r="BD32" s="116"/>
      <c r="BE32" s="116"/>
      <c r="BF32" s="116"/>
      <c r="BG32" s="116"/>
      <c r="BH32" s="116"/>
      <c r="BI32" s="116"/>
      <c r="BJ32" s="116"/>
      <c r="BK32" s="116"/>
      <c r="BL32" s="116"/>
      <c r="BM32" s="116"/>
    </row>
    <row r="33" spans="1:65" ht="16.5">
      <c r="A33" s="115"/>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267" t="s">
        <v>429</v>
      </c>
      <c r="AN33" s="269" t="s">
        <v>430</v>
      </c>
      <c r="AO33" s="115"/>
      <c r="AP33" s="115"/>
      <c r="AQ33" s="115"/>
      <c r="AR33" s="115"/>
      <c r="AS33" s="115"/>
      <c r="AT33" s="115"/>
      <c r="AU33" s="116"/>
      <c r="AV33" s="116"/>
      <c r="AW33" s="116"/>
      <c r="AX33" s="116"/>
      <c r="AY33" s="116"/>
      <c r="AZ33" s="116"/>
      <c r="BA33" s="116"/>
      <c r="BB33" s="116"/>
      <c r="BC33" s="116"/>
      <c r="BD33" s="116"/>
      <c r="BE33" s="116"/>
      <c r="BF33" s="116"/>
      <c r="BG33" s="116"/>
      <c r="BH33" s="116"/>
      <c r="BI33" s="116"/>
      <c r="BJ33" s="116"/>
      <c r="BK33" s="116"/>
      <c r="BL33" s="116"/>
      <c r="BM33" s="116"/>
    </row>
    <row r="34" spans="1:65" ht="16.5">
      <c r="A34" s="115"/>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267" t="s">
        <v>433</v>
      </c>
      <c r="AN34" s="269" t="s">
        <v>2375</v>
      </c>
      <c r="AO34" s="115"/>
      <c r="AP34" s="115"/>
      <c r="AQ34" s="115"/>
      <c r="AR34" s="115"/>
      <c r="AS34" s="115"/>
      <c r="AT34" s="115"/>
      <c r="AU34" s="116"/>
      <c r="AV34" s="116"/>
      <c r="AW34" s="116"/>
      <c r="AX34" s="116"/>
      <c r="AY34" s="116"/>
      <c r="AZ34" s="116"/>
      <c r="BA34" s="116"/>
      <c r="BB34" s="116"/>
      <c r="BC34" s="116"/>
      <c r="BD34" s="116"/>
      <c r="BE34" s="116"/>
      <c r="BF34" s="116"/>
      <c r="BG34" s="116"/>
      <c r="BH34" s="116"/>
      <c r="BI34" s="116"/>
      <c r="BJ34" s="116"/>
      <c r="BK34" s="116"/>
      <c r="BL34" s="116"/>
      <c r="BM34" s="116"/>
    </row>
    <row r="35" spans="1:65" ht="16.5">
      <c r="A35" s="115"/>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267" t="s">
        <v>437</v>
      </c>
      <c r="AN35" s="269" t="s">
        <v>2376</v>
      </c>
      <c r="AO35" s="115"/>
      <c r="AP35" s="115"/>
      <c r="AQ35" s="115"/>
      <c r="AR35" s="115"/>
      <c r="AS35" s="115"/>
      <c r="AT35" s="115"/>
      <c r="AU35" s="116"/>
      <c r="AV35" s="116"/>
      <c r="AW35" s="116"/>
      <c r="AX35" s="116"/>
      <c r="AY35" s="116"/>
      <c r="AZ35" s="116"/>
      <c r="BA35" s="116"/>
      <c r="BB35" s="116"/>
      <c r="BC35" s="116"/>
      <c r="BD35" s="116"/>
      <c r="BE35" s="116"/>
      <c r="BF35" s="116"/>
      <c r="BG35" s="116"/>
      <c r="BH35" s="116"/>
      <c r="BI35" s="116"/>
      <c r="BJ35" s="116"/>
      <c r="BK35" s="116"/>
      <c r="BL35" s="116"/>
      <c r="BM35" s="116"/>
    </row>
    <row r="36" spans="1:65" ht="16.5">
      <c r="A36" s="115"/>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267" t="s">
        <v>441</v>
      </c>
      <c r="AN36" s="269" t="s">
        <v>2377</v>
      </c>
      <c r="AO36" s="115"/>
      <c r="AP36" s="115"/>
      <c r="AQ36" s="115"/>
      <c r="AR36" s="115"/>
      <c r="AS36" s="115"/>
      <c r="AT36" s="115"/>
      <c r="AU36" s="116"/>
      <c r="AV36" s="116"/>
      <c r="AW36" s="116"/>
      <c r="AX36" s="116"/>
      <c r="AY36" s="116"/>
      <c r="AZ36" s="116"/>
      <c r="BA36" s="116"/>
      <c r="BB36" s="116"/>
      <c r="BC36" s="116"/>
      <c r="BD36" s="116"/>
      <c r="BE36" s="116"/>
      <c r="BF36" s="116"/>
      <c r="BG36" s="116"/>
      <c r="BH36" s="116"/>
      <c r="BI36" s="116"/>
      <c r="BJ36" s="116"/>
      <c r="BK36" s="116"/>
      <c r="BL36" s="116"/>
      <c r="BM36" s="116"/>
    </row>
    <row r="37" spans="1:65" ht="16.5">
      <c r="A37" s="115"/>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267" t="s">
        <v>444</v>
      </c>
      <c r="AN37" s="269" t="s">
        <v>445</v>
      </c>
      <c r="AO37" s="115"/>
      <c r="AP37" s="115"/>
      <c r="AQ37" s="115"/>
      <c r="AR37" s="115"/>
      <c r="AS37" s="115"/>
      <c r="AT37" s="115"/>
      <c r="AU37" s="116"/>
      <c r="AV37" s="116"/>
      <c r="AW37" s="116"/>
      <c r="AX37" s="116"/>
      <c r="AY37" s="116"/>
      <c r="AZ37" s="116"/>
      <c r="BA37" s="116"/>
      <c r="BB37" s="116"/>
      <c r="BC37" s="116"/>
      <c r="BD37" s="116"/>
      <c r="BE37" s="116"/>
      <c r="BF37" s="116"/>
      <c r="BG37" s="116"/>
      <c r="BH37" s="116"/>
      <c r="BI37" s="116"/>
      <c r="BJ37" s="116"/>
      <c r="BK37" s="116"/>
      <c r="BL37" s="116"/>
      <c r="BM37" s="116"/>
    </row>
    <row r="38" spans="1:65" ht="16.5">
      <c r="A38" s="115"/>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267" t="s">
        <v>447</v>
      </c>
      <c r="AN38" s="269" t="s">
        <v>448</v>
      </c>
      <c r="AO38" s="115"/>
      <c r="AP38" s="115"/>
      <c r="AQ38" s="115"/>
      <c r="AR38" s="115"/>
      <c r="AS38" s="115"/>
      <c r="AT38" s="115"/>
      <c r="AU38" s="116"/>
      <c r="AV38" s="116"/>
      <c r="AW38" s="116"/>
      <c r="AX38" s="116"/>
      <c r="AY38" s="116"/>
      <c r="AZ38" s="116"/>
      <c r="BA38" s="116"/>
      <c r="BB38" s="116"/>
      <c r="BC38" s="116"/>
      <c r="BD38" s="116"/>
      <c r="BE38" s="116"/>
      <c r="BF38" s="116"/>
      <c r="BG38" s="116"/>
      <c r="BH38" s="116"/>
      <c r="BI38" s="116"/>
      <c r="BJ38" s="116"/>
      <c r="BK38" s="116"/>
      <c r="BL38" s="116"/>
      <c r="BM38" s="116"/>
    </row>
    <row r="39" spans="1:65" ht="16.5">
      <c r="A39" s="115"/>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267" t="s">
        <v>450</v>
      </c>
      <c r="AN39" s="269" t="s">
        <v>451</v>
      </c>
      <c r="AO39" s="115"/>
      <c r="AP39" s="115"/>
      <c r="AQ39" s="115"/>
      <c r="AR39" s="115"/>
      <c r="AS39" s="115"/>
      <c r="AT39" s="115"/>
      <c r="AU39" s="116"/>
      <c r="AV39" s="116"/>
      <c r="AW39" s="116"/>
      <c r="AX39" s="116"/>
      <c r="AY39" s="116"/>
      <c r="AZ39" s="116"/>
      <c r="BA39" s="116"/>
      <c r="BB39" s="116"/>
      <c r="BC39" s="116"/>
      <c r="BD39" s="116"/>
      <c r="BE39" s="116"/>
      <c r="BF39" s="116"/>
      <c r="BG39" s="116"/>
      <c r="BH39" s="116"/>
      <c r="BI39" s="116"/>
      <c r="BJ39" s="116"/>
      <c r="BK39" s="116"/>
      <c r="BL39" s="116"/>
      <c r="BM39" s="116"/>
    </row>
    <row r="40" spans="1:65" ht="16.5">
      <c r="A40" s="115"/>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267" t="s">
        <v>453</v>
      </c>
      <c r="AN40" s="269" t="s">
        <v>454</v>
      </c>
      <c r="AO40" s="115"/>
      <c r="AP40" s="115"/>
      <c r="AQ40" s="115"/>
      <c r="AR40" s="115"/>
      <c r="AS40" s="115"/>
      <c r="AT40" s="115"/>
      <c r="AU40" s="116"/>
      <c r="AV40" s="116"/>
      <c r="AW40" s="116"/>
      <c r="AX40" s="116"/>
      <c r="AY40" s="116"/>
      <c r="AZ40" s="116"/>
      <c r="BA40" s="116"/>
      <c r="BB40" s="116"/>
      <c r="BC40" s="116"/>
      <c r="BD40" s="116"/>
      <c r="BE40" s="116"/>
      <c r="BF40" s="116"/>
      <c r="BG40" s="116"/>
      <c r="BH40" s="116"/>
      <c r="BI40" s="116"/>
      <c r="BJ40" s="116"/>
      <c r="BK40" s="116"/>
      <c r="BL40" s="116"/>
      <c r="BM40" s="116"/>
    </row>
    <row r="41" spans="1:65" ht="16.5">
      <c r="A41" s="115"/>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267" t="s">
        <v>457</v>
      </c>
      <c r="AN41" s="269" t="s">
        <v>458</v>
      </c>
      <c r="AO41" s="115"/>
      <c r="AP41" s="115"/>
      <c r="AQ41" s="115"/>
      <c r="AR41" s="115"/>
      <c r="AS41" s="115"/>
      <c r="AT41" s="115"/>
      <c r="AU41" s="116"/>
      <c r="AV41" s="116"/>
      <c r="AW41" s="116"/>
      <c r="AX41" s="116"/>
      <c r="AY41" s="116"/>
      <c r="AZ41" s="116"/>
      <c r="BA41" s="116"/>
      <c r="BB41" s="116"/>
      <c r="BC41" s="116"/>
      <c r="BD41" s="116"/>
      <c r="BE41" s="116"/>
      <c r="BF41" s="116"/>
      <c r="BG41" s="116"/>
      <c r="BH41" s="116"/>
      <c r="BI41" s="116"/>
      <c r="BJ41" s="116"/>
      <c r="BK41" s="116"/>
      <c r="BL41" s="116"/>
      <c r="BM41" s="116"/>
    </row>
    <row r="42" spans="1:65" ht="16.5">
      <c r="A42" s="115"/>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267" t="s">
        <v>461</v>
      </c>
      <c r="AN42" s="269" t="s">
        <v>462</v>
      </c>
      <c r="AO42" s="115"/>
      <c r="AP42" s="115"/>
      <c r="AQ42" s="115"/>
      <c r="AR42" s="115"/>
      <c r="AS42" s="115"/>
      <c r="AT42" s="115"/>
      <c r="AU42" s="116"/>
      <c r="AV42" s="116"/>
      <c r="AW42" s="116"/>
      <c r="AX42" s="116"/>
      <c r="AY42" s="116"/>
      <c r="AZ42" s="116"/>
      <c r="BA42" s="116"/>
      <c r="BB42" s="116"/>
      <c r="BC42" s="116"/>
      <c r="BD42" s="116"/>
      <c r="BE42" s="116"/>
      <c r="BF42" s="116"/>
      <c r="BG42" s="116"/>
      <c r="BH42" s="116"/>
      <c r="BI42" s="116"/>
      <c r="BJ42" s="116"/>
      <c r="BK42" s="116"/>
      <c r="BL42" s="116"/>
      <c r="BM42" s="116"/>
    </row>
    <row r="43" spans="1:65" ht="16.5">
      <c r="A43" s="115"/>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267" t="s">
        <v>464</v>
      </c>
      <c r="AN43" s="269" t="s">
        <v>465</v>
      </c>
      <c r="AO43" s="115"/>
      <c r="AP43" s="115"/>
      <c r="AQ43" s="115"/>
      <c r="AR43" s="115"/>
      <c r="AS43" s="115"/>
      <c r="AT43" s="115"/>
      <c r="AU43" s="116"/>
      <c r="AV43" s="116"/>
      <c r="AW43" s="116"/>
      <c r="AX43" s="116"/>
      <c r="AY43" s="116"/>
      <c r="AZ43" s="116"/>
      <c r="BA43" s="116"/>
      <c r="BB43" s="116"/>
      <c r="BC43" s="116"/>
      <c r="BD43" s="116"/>
      <c r="BE43" s="116"/>
      <c r="BF43" s="116"/>
      <c r="BG43" s="116"/>
      <c r="BH43" s="116"/>
      <c r="BI43" s="116"/>
      <c r="BJ43" s="116"/>
      <c r="BK43" s="116"/>
      <c r="BL43" s="116"/>
      <c r="BM43" s="116"/>
    </row>
    <row r="44" spans="1:65" ht="16.5">
      <c r="A44" s="115"/>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267" t="s">
        <v>468</v>
      </c>
      <c r="AO44" s="115"/>
      <c r="AP44" s="115"/>
      <c r="AQ44" s="115"/>
      <c r="AR44" s="115"/>
      <c r="AS44" s="115"/>
      <c r="AT44" s="115"/>
      <c r="AU44" s="116"/>
      <c r="AV44" s="116"/>
      <c r="AW44" s="116"/>
      <c r="AX44" s="116"/>
      <c r="AY44" s="116"/>
      <c r="AZ44" s="116"/>
      <c r="BA44" s="116"/>
      <c r="BB44" s="116"/>
      <c r="BC44" s="116"/>
      <c r="BD44" s="116"/>
      <c r="BE44" s="116"/>
      <c r="BF44" s="116"/>
      <c r="BG44" s="116"/>
      <c r="BH44" s="116"/>
      <c r="BI44" s="116"/>
      <c r="BJ44" s="116"/>
      <c r="BK44" s="116"/>
      <c r="BL44" s="116"/>
      <c r="BM44" s="116"/>
    </row>
    <row r="45" spans="1:65" ht="16.5">
      <c r="A45" s="115"/>
      <c r="B45" s="115"/>
      <c r="C45" s="115"/>
      <c r="D45" s="115"/>
      <c r="E45" s="115"/>
      <c r="F45" s="115"/>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267" t="s">
        <v>470</v>
      </c>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row>
    <row r="46" spans="1:65" ht="16.5">
      <c r="A46" s="115"/>
      <c r="B46" s="115"/>
      <c r="C46" s="115"/>
      <c r="D46" s="115"/>
      <c r="E46" s="115"/>
      <c r="F46" s="115"/>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267" t="s">
        <v>472</v>
      </c>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row>
    <row r="47" spans="1:65" ht="16.5">
      <c r="A47" s="115"/>
      <c r="B47" s="115"/>
      <c r="C47" s="115"/>
      <c r="D47" s="115"/>
      <c r="E47" s="115"/>
      <c r="F47" s="115"/>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267" t="s">
        <v>473</v>
      </c>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116"/>
      <c r="BK47" s="116"/>
      <c r="BL47" s="116"/>
      <c r="BM47" s="116"/>
    </row>
    <row r="48" spans="1:65" ht="16.5">
      <c r="A48" s="115"/>
      <c r="B48" s="115"/>
      <c r="C48" s="115"/>
      <c r="D48" s="115"/>
      <c r="E48" s="115"/>
      <c r="F48" s="115"/>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267" t="s">
        <v>474</v>
      </c>
      <c r="AO48" s="116"/>
      <c r="AP48" s="116"/>
      <c r="AQ48" s="116"/>
      <c r="AR48" s="116"/>
      <c r="AS48" s="116"/>
      <c r="AT48" s="116"/>
      <c r="AU48" s="116"/>
      <c r="AV48" s="116"/>
      <c r="AW48" s="116"/>
      <c r="AX48" s="116"/>
      <c r="AY48" s="116"/>
      <c r="AZ48" s="116"/>
      <c r="BA48" s="116"/>
      <c r="BB48" s="116"/>
      <c r="BC48" s="116"/>
      <c r="BD48" s="116"/>
      <c r="BE48" s="116"/>
      <c r="BF48" s="116"/>
      <c r="BG48" s="116"/>
      <c r="BH48" s="116"/>
      <c r="BI48" s="116"/>
      <c r="BJ48" s="116"/>
      <c r="BK48" s="116"/>
      <c r="BL48" s="116"/>
      <c r="BM48" s="116"/>
    </row>
    <row r="49" spans="1:65" ht="16.5">
      <c r="A49" s="115"/>
      <c r="B49" s="115"/>
      <c r="C49" s="115"/>
      <c r="D49" s="115"/>
      <c r="E49" s="115"/>
      <c r="F49" s="115"/>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O49" s="116"/>
      <c r="AP49" s="116"/>
      <c r="AQ49" s="116"/>
      <c r="AR49" s="116"/>
      <c r="AS49" s="116"/>
      <c r="AT49" s="116"/>
      <c r="AU49" s="116"/>
      <c r="AV49" s="116"/>
      <c r="AW49" s="116"/>
      <c r="AX49" s="116"/>
      <c r="AY49" s="116"/>
      <c r="AZ49" s="116"/>
      <c r="BA49" s="116"/>
      <c r="BB49" s="116"/>
      <c r="BC49" s="116"/>
      <c r="BD49" s="116"/>
      <c r="BE49" s="116"/>
      <c r="BF49" s="116"/>
      <c r="BG49" s="116"/>
      <c r="BH49" s="116"/>
      <c r="BI49" s="116"/>
      <c r="BJ49" s="116"/>
      <c r="BK49" s="116"/>
      <c r="BL49" s="116"/>
      <c r="BM49" s="116"/>
    </row>
  </sheetData>
  <sheetProtection sheet="1" objects="1" scenarios="1"/>
  <customSheetViews>
    <customSheetView guid="{D1431318-1DB8-4C45-813B-5A8065DFC797}" showPageBreaks="1" fitToPage="1" printArea="1" view="pageBreakPreview">
      <selection activeCell="F3" sqref="F3"/>
      <pageMargins left="0" right="0" top="0" bottom="0" header="0" footer="0"/>
      <pageSetup scale="81" orientation="portrait" blackAndWhite="1" r:id="rId1"/>
      <headerFooter alignWithMargins="0"/>
    </customSheetView>
  </customSheetViews>
  <mergeCells count="5">
    <mergeCell ref="A19:E19"/>
    <mergeCell ref="A17:E17"/>
    <mergeCell ref="A9:E9"/>
    <mergeCell ref="A18:E18"/>
    <mergeCell ref="B1:D1"/>
  </mergeCells>
  <phoneticPr fontId="26" type="noConversion"/>
  <dataValidations count="4">
    <dataValidation type="list" allowBlank="1" showInputMessage="1" showErrorMessage="1" sqref="B10" xr:uid="{00000000-0002-0000-2400-000000000000}">
      <formula1>$AM$4:$AM$48</formula1>
    </dataValidation>
    <dataValidation type="list" allowBlank="1" showInputMessage="1" showErrorMessage="1" sqref="C10" xr:uid="{00000000-0002-0000-2400-000001000000}">
      <formula1>$AN$4:$AN$43</formula1>
    </dataValidation>
    <dataValidation type="list" allowBlank="1" showInputMessage="1" showErrorMessage="1" sqref="B4:B8" xr:uid="{00000000-0002-0000-2400-000002000000}">
      <formula1>OtherEstabType</formula1>
    </dataValidation>
    <dataValidation type="list" allowBlank="1" showInputMessage="1" showErrorMessage="1" sqref="C4:C8" xr:uid="{00000000-0002-0000-2400-000003000000}">
      <formula1>OtherEstabUnit</formula1>
    </dataValidation>
  </dataValidations>
  <pageMargins left="0.25" right="0.25" top="0.28999999999999998" bottom="0.17" header="0.5" footer="0.5"/>
  <pageSetup scale="81" orientation="portrait" blackAndWhite="1" r:id="rId2"/>
  <headerFooter alignWithMargins="0"/>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4">
    <tabColor indexed="10"/>
  </sheetPr>
  <dimension ref="A1:CF131"/>
  <sheetViews>
    <sheetView showGridLines="0" view="pageBreakPreview" zoomScaleNormal="100" zoomScaleSheetLayoutView="100" workbookViewId="0">
      <selection activeCell="C3" sqref="C3"/>
    </sheetView>
  </sheetViews>
  <sheetFormatPr defaultColWidth="8.85546875" defaultRowHeight="12.75"/>
  <cols>
    <col min="1" max="1" width="23.42578125" customWidth="1"/>
    <col min="2" max="2" width="24.140625" customWidth="1"/>
    <col min="3" max="3" width="13.42578125" customWidth="1"/>
    <col min="4" max="4" width="10.42578125" customWidth="1"/>
    <col min="5" max="7" width="9.85546875" customWidth="1"/>
  </cols>
  <sheetData>
    <row r="1" spans="1:84" ht="43.5" customHeight="1">
      <c r="B1" s="3997" t="s">
        <v>2378</v>
      </c>
      <c r="C1" s="3997"/>
      <c r="D1" s="3997"/>
      <c r="E1" s="331"/>
      <c r="F1" s="332"/>
      <c r="G1" s="333"/>
      <c r="H1" s="119"/>
      <c r="I1" s="119"/>
      <c r="J1" s="119"/>
      <c r="K1" s="119"/>
      <c r="L1" s="119"/>
      <c r="M1" s="119"/>
      <c r="N1" s="119"/>
      <c r="O1" s="120"/>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c r="CD1" s="121"/>
      <c r="CE1" s="121"/>
      <c r="CF1" s="121"/>
    </row>
    <row r="2" spans="1:84" ht="15" customHeight="1">
      <c r="A2" s="122"/>
      <c r="B2" s="123"/>
      <c r="C2" s="119"/>
      <c r="D2" s="119"/>
      <c r="E2" s="124"/>
      <c r="F2" s="4020" t="str">
        <f>'Drop-Down Lists'!A2</f>
        <v>v 05.01.2026</v>
      </c>
      <c r="G2" s="4020"/>
      <c r="H2" s="119"/>
      <c r="I2" s="119"/>
      <c r="J2" s="119"/>
      <c r="K2" s="119"/>
      <c r="L2" s="119"/>
      <c r="M2" s="119"/>
      <c r="N2" s="119"/>
      <c r="O2" s="120"/>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row>
    <row r="3" spans="1:84" ht="39.75" customHeight="1">
      <c r="A3" s="125" t="s">
        <v>2379</v>
      </c>
      <c r="B3" s="126" t="s">
        <v>2380</v>
      </c>
      <c r="C3" s="736"/>
      <c r="D3" s="127" t="s">
        <v>2319</v>
      </c>
      <c r="E3" s="4011" t="s">
        <v>2381</v>
      </c>
      <c r="F3" s="4012"/>
      <c r="G3" s="4013"/>
      <c r="H3" s="119"/>
      <c r="I3" s="119"/>
      <c r="J3" s="119"/>
      <c r="K3" s="119"/>
      <c r="L3" s="119"/>
      <c r="M3" s="119"/>
      <c r="N3" s="119"/>
      <c r="O3" s="120"/>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row>
    <row r="4" spans="1:84" ht="7.5" customHeight="1">
      <c r="A4" s="4007"/>
      <c r="B4" s="4008"/>
      <c r="C4" s="4008"/>
      <c r="D4" s="4008"/>
      <c r="E4" s="4008"/>
      <c r="F4" s="4008"/>
      <c r="G4" s="4008"/>
      <c r="H4" s="119"/>
      <c r="I4" s="119"/>
      <c r="J4" s="119"/>
      <c r="K4" s="119"/>
      <c r="L4" s="119"/>
      <c r="M4" s="119"/>
      <c r="N4" s="119"/>
      <c r="O4" s="120"/>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row>
    <row r="5" spans="1:84" ht="39.75" customHeight="1">
      <c r="A5" s="125" t="s">
        <v>2382</v>
      </c>
      <c r="B5" s="128" t="s">
        <v>2383</v>
      </c>
      <c r="C5" s="737"/>
      <c r="D5" s="127" t="s">
        <v>2319</v>
      </c>
      <c r="E5" s="4011" t="s">
        <v>2384</v>
      </c>
      <c r="F5" s="4012"/>
      <c r="G5" s="4013"/>
      <c r="H5" s="119"/>
      <c r="I5" s="119"/>
      <c r="J5" s="119"/>
      <c r="K5" s="119"/>
      <c r="L5" s="119"/>
      <c r="M5" s="119"/>
      <c r="N5" s="119"/>
      <c r="O5" s="120"/>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row>
    <row r="6" spans="1:84" ht="7.5" customHeight="1">
      <c r="A6" s="4007"/>
      <c r="B6" s="4008"/>
      <c r="C6" s="4008"/>
      <c r="D6" s="4008"/>
      <c r="E6" s="4008"/>
      <c r="F6" s="4008"/>
      <c r="G6" s="4008"/>
      <c r="H6" s="119"/>
      <c r="I6" s="119"/>
      <c r="J6" s="119"/>
      <c r="K6" s="119"/>
      <c r="L6" s="119"/>
      <c r="M6" s="119"/>
      <c r="N6" s="119"/>
      <c r="O6" s="120"/>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121"/>
      <c r="CF6" s="121"/>
    </row>
    <row r="7" spans="1:84" ht="45" customHeight="1">
      <c r="A7" s="4017" t="s">
        <v>2385</v>
      </c>
      <c r="B7" s="129" t="s">
        <v>2386</v>
      </c>
      <c r="C7" s="738"/>
      <c r="D7" s="130" t="s">
        <v>903</v>
      </c>
      <c r="E7" s="3998" t="s">
        <v>2387</v>
      </c>
      <c r="F7" s="3999"/>
      <c r="G7" s="4000"/>
      <c r="H7" s="119"/>
      <c r="I7" s="119"/>
      <c r="J7" s="119"/>
      <c r="K7" s="119"/>
      <c r="L7" s="119"/>
      <c r="M7" s="119"/>
      <c r="N7" s="119"/>
      <c r="O7" s="120"/>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row>
    <row r="8" spans="1:84" ht="45" customHeight="1">
      <c r="A8" s="4018"/>
      <c r="B8" s="131" t="s">
        <v>2388</v>
      </c>
      <c r="C8" s="739"/>
      <c r="D8" s="132" t="s">
        <v>762</v>
      </c>
      <c r="E8" s="4001"/>
      <c r="F8" s="4002"/>
      <c r="G8" s="4003"/>
      <c r="H8" s="119"/>
      <c r="I8" s="119"/>
      <c r="J8" s="119"/>
      <c r="K8" s="119"/>
      <c r="L8" s="119"/>
      <c r="M8" s="119"/>
      <c r="N8" s="119"/>
      <c r="O8" s="120"/>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row>
    <row r="9" spans="1:84" ht="45" customHeight="1">
      <c r="A9" s="4019"/>
      <c r="B9" s="129" t="s">
        <v>2389</v>
      </c>
      <c r="C9" s="467" t="str">
        <f>IF(ISBLANK(C7),"",((C7/5280)*C8*200))</f>
        <v/>
      </c>
      <c r="D9" s="133" t="s">
        <v>2319</v>
      </c>
      <c r="E9" s="4004"/>
      <c r="F9" s="4005"/>
      <c r="G9" s="4006"/>
      <c r="H9" s="119"/>
      <c r="I9" s="119"/>
      <c r="J9" s="119"/>
      <c r="K9" s="119"/>
      <c r="L9" s="119"/>
      <c r="M9" s="119"/>
      <c r="N9" s="119"/>
      <c r="O9" s="120"/>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row>
    <row r="10" spans="1:84" ht="7.5" customHeight="1" thickBot="1">
      <c r="A10" s="4007"/>
      <c r="B10" s="4008"/>
      <c r="C10" s="4008"/>
      <c r="D10" s="4008"/>
      <c r="E10" s="4008"/>
      <c r="F10" s="4008"/>
      <c r="G10" s="4008"/>
      <c r="H10" s="119"/>
      <c r="I10" s="119"/>
      <c r="J10" s="119"/>
      <c r="K10" s="119"/>
      <c r="L10" s="119"/>
      <c r="M10" s="119"/>
      <c r="N10" s="119"/>
      <c r="O10" s="120"/>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row>
    <row r="11" spans="1:84" ht="42" customHeight="1" thickBot="1">
      <c r="A11" s="4009" t="s">
        <v>2390</v>
      </c>
      <c r="B11" s="4010"/>
      <c r="C11" s="468" t="str">
        <f>IF(ISBLANK(C3),"",SUM(C3,C5,C9))</f>
        <v/>
      </c>
      <c r="D11" s="134" t="s">
        <v>2319</v>
      </c>
      <c r="E11" s="4014" t="s">
        <v>2391</v>
      </c>
      <c r="F11" s="4015"/>
      <c r="G11" s="4016"/>
      <c r="H11" s="119"/>
      <c r="I11" s="119"/>
      <c r="J11" s="119"/>
      <c r="K11" s="119"/>
      <c r="L11" s="119"/>
      <c r="M11" s="119"/>
      <c r="N11" s="119"/>
      <c r="O11" s="120"/>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C11" s="121"/>
      <c r="CD11" s="121"/>
      <c r="CE11" s="121"/>
      <c r="CF11" s="121"/>
    </row>
    <row r="12" spans="1:84" ht="16.5">
      <c r="A12" s="122"/>
      <c r="B12" s="119"/>
      <c r="C12" s="119"/>
      <c r="D12" s="119"/>
      <c r="E12" s="119"/>
      <c r="F12" s="119"/>
      <c r="G12" s="119"/>
      <c r="H12" s="119"/>
      <c r="I12" s="119"/>
      <c r="J12" s="119"/>
      <c r="K12" s="119"/>
      <c r="L12" s="119"/>
      <c r="M12" s="119"/>
      <c r="N12" s="119"/>
      <c r="O12" s="120"/>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row>
    <row r="13" spans="1:84" ht="16.5">
      <c r="A13" s="122"/>
      <c r="B13" s="119"/>
      <c r="C13" s="119"/>
      <c r="D13" s="119"/>
      <c r="E13" s="119"/>
      <c r="F13" s="119"/>
      <c r="G13" s="119"/>
      <c r="H13" s="119"/>
      <c r="I13" s="119"/>
      <c r="J13" s="119"/>
      <c r="K13" s="119"/>
      <c r="L13" s="119"/>
      <c r="M13" s="119"/>
      <c r="N13" s="119"/>
      <c r="O13" s="120"/>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A13" s="121"/>
      <c r="CB13" s="121"/>
      <c r="CC13" s="121"/>
      <c r="CD13" s="121"/>
      <c r="CE13" s="121"/>
      <c r="CF13" s="121"/>
    </row>
    <row r="14" spans="1:84" ht="16.5">
      <c r="A14" s="122"/>
      <c r="B14" s="119"/>
      <c r="C14" s="119"/>
      <c r="D14" s="119"/>
      <c r="E14" s="119"/>
      <c r="F14" s="119"/>
      <c r="G14" s="119"/>
      <c r="H14" s="119"/>
      <c r="I14" s="119"/>
      <c r="J14" s="119"/>
      <c r="K14" s="119"/>
      <c r="L14" s="119"/>
      <c r="M14" s="119"/>
      <c r="N14" s="119"/>
      <c r="O14" s="120"/>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row>
    <row r="15" spans="1:84" ht="16.5">
      <c r="A15" s="122"/>
      <c r="B15" s="119"/>
      <c r="C15" s="119"/>
      <c r="D15" s="119"/>
      <c r="E15" s="119"/>
      <c r="F15" s="119"/>
      <c r="G15" s="119"/>
      <c r="H15" s="119"/>
      <c r="I15" s="119"/>
      <c r="J15" s="119"/>
      <c r="K15" s="119"/>
      <c r="L15" s="119"/>
      <c r="M15" s="119"/>
      <c r="N15" s="119"/>
      <c r="O15" s="120"/>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row>
    <row r="16" spans="1:84" ht="16.5">
      <c r="A16" s="122"/>
      <c r="B16" s="119"/>
      <c r="C16" s="119"/>
      <c r="D16" s="119"/>
      <c r="E16" s="119"/>
      <c r="F16" s="119"/>
      <c r="G16" s="119"/>
      <c r="H16" s="119"/>
      <c r="I16" s="119"/>
      <c r="J16" s="119"/>
      <c r="K16" s="119"/>
      <c r="L16" s="119"/>
      <c r="M16" s="119"/>
      <c r="N16" s="119"/>
      <c r="O16" s="120"/>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row>
    <row r="17" spans="1:84" ht="16.5">
      <c r="A17" s="122"/>
      <c r="B17" s="119"/>
      <c r="C17" s="119"/>
      <c r="D17" s="119"/>
      <c r="E17" s="119"/>
      <c r="F17" s="119"/>
      <c r="G17" s="119"/>
      <c r="H17" s="119"/>
      <c r="I17" s="119"/>
      <c r="J17" s="119"/>
      <c r="K17" s="119"/>
      <c r="L17" s="119"/>
      <c r="M17" s="119"/>
      <c r="N17" s="119"/>
      <c r="O17" s="120"/>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row>
    <row r="18" spans="1:84" ht="16.5">
      <c r="A18" s="122"/>
      <c r="B18" s="119"/>
      <c r="C18" s="119"/>
      <c r="D18" s="119"/>
      <c r="E18" s="119"/>
      <c r="F18" s="119"/>
      <c r="G18" s="119"/>
      <c r="H18" s="119"/>
      <c r="I18" s="119"/>
      <c r="J18" s="119"/>
      <c r="K18" s="119"/>
      <c r="L18" s="119"/>
      <c r="M18" s="119"/>
      <c r="N18" s="119"/>
      <c r="O18" s="120"/>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row>
    <row r="19" spans="1:84" ht="16.5">
      <c r="A19" s="122"/>
      <c r="B19" s="119"/>
      <c r="C19" s="119"/>
      <c r="D19" s="119"/>
      <c r="E19" s="119"/>
      <c r="F19" s="119"/>
      <c r="G19" s="119"/>
      <c r="H19" s="119"/>
      <c r="I19" s="119"/>
      <c r="J19" s="119"/>
      <c r="K19" s="119"/>
      <c r="L19" s="119"/>
      <c r="M19" s="119"/>
      <c r="N19" s="119"/>
      <c r="O19" s="120"/>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row>
    <row r="20" spans="1:84" ht="16.5">
      <c r="A20" s="122"/>
      <c r="B20" s="119"/>
      <c r="C20" s="119"/>
      <c r="D20" s="119"/>
      <c r="E20" s="119"/>
      <c r="F20" s="119"/>
      <c r="G20" s="119"/>
      <c r="H20" s="119"/>
      <c r="I20" s="119"/>
      <c r="J20" s="119"/>
      <c r="K20" s="119"/>
      <c r="L20" s="119"/>
      <c r="M20" s="119"/>
      <c r="N20" s="119"/>
      <c r="O20" s="120"/>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row>
    <row r="21" spans="1:84" ht="16.5">
      <c r="A21" s="122"/>
      <c r="B21" s="119"/>
      <c r="C21" s="119"/>
      <c r="D21" s="119"/>
      <c r="E21" s="119"/>
      <c r="F21" s="119"/>
      <c r="G21" s="119"/>
      <c r="H21" s="119"/>
      <c r="I21" s="119"/>
      <c r="J21" s="119"/>
      <c r="K21" s="119"/>
      <c r="L21" s="119"/>
      <c r="M21" s="119"/>
      <c r="N21" s="119"/>
      <c r="O21" s="120"/>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row>
    <row r="22" spans="1:84" ht="16.5">
      <c r="A22" s="122"/>
      <c r="B22" s="119"/>
      <c r="C22" s="119"/>
      <c r="D22" s="119"/>
      <c r="E22" s="119"/>
      <c r="F22" s="119"/>
      <c r="G22" s="119"/>
      <c r="H22" s="119"/>
      <c r="I22" s="119"/>
      <c r="J22" s="119"/>
      <c r="K22" s="119"/>
      <c r="L22" s="119"/>
      <c r="M22" s="119"/>
      <c r="N22" s="119"/>
      <c r="O22" s="120"/>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row>
    <row r="23" spans="1:84" ht="16.5">
      <c r="A23" s="122"/>
      <c r="B23" s="119"/>
      <c r="C23" s="119"/>
      <c r="D23" s="119"/>
      <c r="E23" s="119"/>
      <c r="F23" s="119"/>
      <c r="G23" s="119"/>
      <c r="H23" s="119"/>
      <c r="I23" s="119"/>
      <c r="J23" s="119"/>
      <c r="K23" s="119"/>
      <c r="L23" s="119"/>
      <c r="M23" s="119"/>
      <c r="N23" s="119"/>
      <c r="O23" s="120"/>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row>
    <row r="24" spans="1:84" ht="16.5">
      <c r="A24" s="122"/>
      <c r="B24" s="119"/>
      <c r="C24" s="119"/>
      <c r="D24" s="119"/>
      <c r="E24" s="119"/>
      <c r="F24" s="119"/>
      <c r="G24" s="119"/>
      <c r="H24" s="119"/>
      <c r="I24" s="119"/>
      <c r="J24" s="119"/>
      <c r="K24" s="119"/>
      <c r="L24" s="119"/>
      <c r="M24" s="119"/>
      <c r="N24" s="119"/>
      <c r="O24" s="120"/>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row>
    <row r="25" spans="1:84" ht="16.5">
      <c r="A25" s="122"/>
      <c r="B25" s="119"/>
      <c r="C25" s="119"/>
      <c r="D25" s="119"/>
      <c r="E25" s="119"/>
      <c r="F25" s="119"/>
      <c r="G25" s="119"/>
      <c r="H25" s="119"/>
      <c r="I25" s="119"/>
      <c r="J25" s="119"/>
      <c r="K25" s="119"/>
      <c r="L25" s="119"/>
      <c r="M25" s="119"/>
      <c r="N25" s="119"/>
      <c r="O25" s="120"/>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row>
    <row r="26" spans="1:84" ht="16.5">
      <c r="A26" s="122"/>
      <c r="B26" s="119"/>
      <c r="C26" s="119"/>
      <c r="D26" s="119"/>
      <c r="E26" s="119"/>
      <c r="F26" s="119"/>
      <c r="G26" s="119"/>
      <c r="H26" s="119"/>
      <c r="I26" s="119"/>
      <c r="J26" s="119"/>
      <c r="K26" s="119"/>
      <c r="L26" s="119"/>
      <c r="M26" s="119"/>
      <c r="N26" s="119"/>
      <c r="O26" s="120"/>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row>
    <row r="27" spans="1:84" ht="16.5">
      <c r="A27" s="122"/>
      <c r="B27" s="119"/>
      <c r="C27" s="119"/>
      <c r="D27" s="119"/>
      <c r="E27" s="119"/>
      <c r="F27" s="119"/>
      <c r="G27" s="119"/>
      <c r="H27" s="119"/>
      <c r="I27" s="119"/>
      <c r="J27" s="119"/>
      <c r="K27" s="119"/>
      <c r="L27" s="119"/>
      <c r="M27" s="119"/>
      <c r="N27" s="119"/>
      <c r="O27" s="120"/>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row>
    <row r="28" spans="1:84" ht="16.5">
      <c r="A28" s="122"/>
      <c r="B28" s="119"/>
      <c r="C28" s="119"/>
      <c r="D28" s="119"/>
      <c r="E28" s="119"/>
      <c r="F28" s="119"/>
      <c r="G28" s="119"/>
      <c r="H28" s="119"/>
      <c r="I28" s="119"/>
      <c r="J28" s="119"/>
      <c r="K28" s="119"/>
      <c r="L28" s="119"/>
      <c r="M28" s="119"/>
      <c r="N28" s="119"/>
      <c r="O28" s="120"/>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row>
    <row r="29" spans="1:84" ht="16.5">
      <c r="A29" s="122"/>
      <c r="B29" s="119"/>
      <c r="C29" s="119"/>
      <c r="D29" s="119"/>
      <c r="E29" s="119"/>
      <c r="F29" s="119"/>
      <c r="G29" s="119"/>
      <c r="H29" s="119"/>
      <c r="I29" s="119"/>
      <c r="J29" s="119"/>
      <c r="K29" s="119"/>
      <c r="L29" s="119"/>
      <c r="M29" s="119"/>
      <c r="N29" s="119"/>
      <c r="O29" s="120"/>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row>
    <row r="30" spans="1:84" ht="16.5">
      <c r="A30" s="122"/>
      <c r="B30" s="119"/>
      <c r="C30" s="119"/>
      <c r="D30" s="119"/>
      <c r="E30" s="119"/>
      <c r="F30" s="119"/>
      <c r="G30" s="119"/>
      <c r="H30" s="119"/>
      <c r="I30" s="119"/>
      <c r="J30" s="119"/>
      <c r="K30" s="119"/>
      <c r="L30" s="119"/>
      <c r="M30" s="119"/>
      <c r="N30" s="119"/>
      <c r="O30" s="120"/>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row>
    <row r="31" spans="1:84" ht="16.5">
      <c r="A31" s="122"/>
      <c r="B31" s="119"/>
      <c r="C31" s="119"/>
      <c r="D31" s="119"/>
      <c r="E31" s="119"/>
      <c r="F31" s="119"/>
      <c r="G31" s="119"/>
      <c r="H31" s="119"/>
      <c r="I31" s="119"/>
      <c r="J31" s="119"/>
      <c r="K31" s="119"/>
      <c r="L31" s="119"/>
      <c r="M31" s="119"/>
      <c r="N31" s="119"/>
      <c r="O31" s="120"/>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Q31" s="121"/>
      <c r="BR31" s="121"/>
      <c r="BS31" s="121"/>
      <c r="BT31" s="121"/>
      <c r="BU31" s="121"/>
      <c r="BV31" s="121"/>
      <c r="BW31" s="121"/>
      <c r="BX31" s="121"/>
      <c r="BY31" s="121"/>
      <c r="BZ31" s="121"/>
      <c r="CA31" s="121"/>
      <c r="CB31" s="121"/>
      <c r="CC31" s="121"/>
      <c r="CD31" s="121"/>
      <c r="CE31" s="121"/>
      <c r="CF31" s="121"/>
    </row>
    <row r="32" spans="1:84" ht="16.5">
      <c r="A32" s="122"/>
      <c r="B32" s="119"/>
      <c r="C32" s="119"/>
      <c r="D32" s="119"/>
      <c r="E32" s="119"/>
      <c r="F32" s="119"/>
      <c r="G32" s="119"/>
      <c r="H32" s="119"/>
      <c r="I32" s="119"/>
      <c r="J32" s="119"/>
      <c r="K32" s="119"/>
      <c r="L32" s="119"/>
      <c r="M32" s="119"/>
      <c r="N32" s="119"/>
      <c r="O32" s="120"/>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1"/>
      <c r="CA32" s="121"/>
      <c r="CB32" s="121"/>
      <c r="CC32" s="121"/>
      <c r="CD32" s="121"/>
      <c r="CE32" s="121"/>
      <c r="CF32" s="121"/>
    </row>
    <row r="33" spans="1:84" ht="16.5">
      <c r="A33" s="122"/>
      <c r="B33" s="119"/>
      <c r="C33" s="119"/>
      <c r="D33" s="119"/>
      <c r="E33" s="119"/>
      <c r="F33" s="119"/>
      <c r="G33" s="119"/>
      <c r="H33" s="119"/>
      <c r="I33" s="119"/>
      <c r="J33" s="119"/>
      <c r="K33" s="119"/>
      <c r="L33" s="119"/>
      <c r="M33" s="119"/>
      <c r="N33" s="119"/>
      <c r="O33" s="120"/>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row>
    <row r="34" spans="1:84" ht="16.5">
      <c r="A34" s="122"/>
      <c r="B34" s="119"/>
      <c r="C34" s="119"/>
      <c r="D34" s="119"/>
      <c r="E34" s="119"/>
      <c r="F34" s="119"/>
      <c r="G34" s="119"/>
      <c r="H34" s="119"/>
      <c r="I34" s="119"/>
      <c r="J34" s="119"/>
      <c r="K34" s="119"/>
      <c r="L34" s="119"/>
      <c r="M34" s="119"/>
      <c r="N34" s="119"/>
      <c r="O34" s="120"/>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row>
    <row r="35" spans="1:84" ht="16.5">
      <c r="A35" s="122"/>
      <c r="B35" s="119"/>
      <c r="C35" s="119"/>
      <c r="D35" s="119"/>
      <c r="E35" s="119"/>
      <c r="F35" s="119"/>
      <c r="G35" s="119"/>
      <c r="H35" s="119"/>
      <c r="I35" s="119"/>
      <c r="J35" s="119"/>
      <c r="K35" s="119"/>
      <c r="L35" s="119"/>
      <c r="M35" s="119"/>
      <c r="N35" s="119"/>
      <c r="O35" s="120"/>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row>
    <row r="36" spans="1:84" ht="16.5">
      <c r="A36" s="122"/>
      <c r="B36" s="119"/>
      <c r="C36" s="119"/>
      <c r="D36" s="119"/>
      <c r="E36" s="119"/>
      <c r="F36" s="119"/>
      <c r="G36" s="119"/>
      <c r="H36" s="119"/>
      <c r="I36" s="119"/>
      <c r="J36" s="119"/>
      <c r="K36" s="119"/>
      <c r="L36" s="119"/>
      <c r="M36" s="119"/>
      <c r="N36" s="119"/>
      <c r="O36" s="120"/>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row>
    <row r="37" spans="1:84" ht="16.5">
      <c r="A37" s="122"/>
      <c r="B37" s="119"/>
      <c r="C37" s="119"/>
      <c r="D37" s="119"/>
      <c r="E37" s="119"/>
      <c r="F37" s="119"/>
      <c r="G37" s="119"/>
      <c r="H37" s="119"/>
      <c r="I37" s="119"/>
      <c r="J37" s="119"/>
      <c r="K37" s="119"/>
      <c r="L37" s="119"/>
      <c r="M37" s="119"/>
      <c r="N37" s="119"/>
      <c r="O37" s="120"/>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row>
    <row r="38" spans="1:84" ht="16.5">
      <c r="A38" s="122"/>
      <c r="B38" s="119"/>
      <c r="C38" s="119"/>
      <c r="D38" s="119"/>
      <c r="E38" s="119"/>
      <c r="F38" s="119"/>
      <c r="G38" s="119"/>
      <c r="H38" s="119"/>
      <c r="I38" s="119"/>
      <c r="J38" s="119"/>
      <c r="K38" s="119"/>
      <c r="L38" s="119"/>
      <c r="M38" s="119"/>
      <c r="N38" s="119"/>
      <c r="O38" s="120"/>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row>
    <row r="39" spans="1:84" ht="16.5">
      <c r="A39" s="122"/>
      <c r="B39" s="119"/>
      <c r="C39" s="119"/>
      <c r="D39" s="119"/>
      <c r="E39" s="119"/>
      <c r="F39" s="119"/>
      <c r="G39" s="119"/>
      <c r="H39" s="119"/>
      <c r="I39" s="119"/>
      <c r="J39" s="119"/>
      <c r="K39" s="119"/>
      <c r="L39" s="119"/>
      <c r="M39" s="119"/>
      <c r="N39" s="119"/>
      <c r="O39" s="120"/>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row>
    <row r="40" spans="1:84" ht="16.5">
      <c r="A40" s="122"/>
      <c r="B40" s="119"/>
      <c r="C40" s="119"/>
      <c r="D40" s="119"/>
      <c r="E40" s="119"/>
      <c r="F40" s="119"/>
      <c r="G40" s="119"/>
      <c r="H40" s="119"/>
      <c r="I40" s="119"/>
      <c r="J40" s="119"/>
      <c r="K40" s="119"/>
      <c r="L40" s="119"/>
      <c r="M40" s="119"/>
      <c r="N40" s="119"/>
      <c r="O40" s="120"/>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row>
    <row r="41" spans="1:84" ht="16.5">
      <c r="A41" s="122"/>
      <c r="B41" s="119"/>
      <c r="C41" s="119"/>
      <c r="D41" s="119"/>
      <c r="E41" s="119"/>
      <c r="F41" s="119"/>
      <c r="G41" s="119"/>
      <c r="H41" s="119"/>
      <c r="I41" s="119"/>
      <c r="J41" s="119"/>
      <c r="K41" s="119"/>
      <c r="L41" s="119"/>
      <c r="M41" s="119"/>
      <c r="N41" s="119"/>
      <c r="O41" s="120"/>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row>
    <row r="42" spans="1:84" ht="16.5">
      <c r="A42" s="122"/>
      <c r="B42" s="119"/>
      <c r="C42" s="119"/>
      <c r="D42" s="119"/>
      <c r="E42" s="119"/>
      <c r="F42" s="119"/>
      <c r="G42" s="119"/>
      <c r="H42" s="119"/>
      <c r="I42" s="119"/>
      <c r="J42" s="119"/>
      <c r="K42" s="119"/>
      <c r="L42" s="119"/>
      <c r="M42" s="119"/>
      <c r="N42" s="119"/>
      <c r="O42" s="120"/>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row>
    <row r="43" spans="1:84" ht="16.5">
      <c r="A43" s="122"/>
      <c r="B43" s="119"/>
      <c r="C43" s="119"/>
      <c r="D43" s="119"/>
      <c r="E43" s="119"/>
      <c r="F43" s="119"/>
      <c r="G43" s="119"/>
      <c r="H43" s="119"/>
      <c r="I43" s="119"/>
      <c r="J43" s="119"/>
      <c r="K43" s="119"/>
      <c r="L43" s="119"/>
      <c r="M43" s="119"/>
      <c r="N43" s="119"/>
      <c r="O43" s="120"/>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row>
    <row r="44" spans="1:84" ht="16.5">
      <c r="A44" s="122"/>
      <c r="B44" s="119"/>
      <c r="C44" s="119"/>
      <c r="D44" s="119"/>
      <c r="E44" s="119"/>
      <c r="F44" s="119"/>
      <c r="G44" s="119"/>
      <c r="H44" s="119"/>
      <c r="I44" s="119"/>
      <c r="J44" s="119"/>
      <c r="K44" s="119"/>
      <c r="L44" s="119"/>
      <c r="M44" s="119"/>
      <c r="N44" s="119"/>
      <c r="O44" s="120"/>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row>
    <row r="45" spans="1:84" ht="16.5">
      <c r="A45" s="122"/>
      <c r="B45" s="119"/>
      <c r="C45" s="119"/>
      <c r="D45" s="119"/>
      <c r="E45" s="119"/>
      <c r="F45" s="119"/>
      <c r="G45" s="119"/>
      <c r="H45" s="119"/>
      <c r="I45" s="119"/>
      <c r="J45" s="119"/>
      <c r="K45" s="119"/>
      <c r="L45" s="119"/>
      <c r="M45" s="119"/>
      <c r="N45" s="119"/>
      <c r="O45" s="120"/>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row>
    <row r="46" spans="1:84" ht="16.5">
      <c r="A46" s="122"/>
      <c r="B46" s="119"/>
      <c r="C46" s="119"/>
      <c r="D46" s="119"/>
      <c r="E46" s="119"/>
      <c r="F46" s="119"/>
      <c r="G46" s="119"/>
      <c r="H46" s="119"/>
      <c r="I46" s="119"/>
      <c r="J46" s="119"/>
      <c r="K46" s="119"/>
      <c r="L46" s="119"/>
      <c r="M46" s="119"/>
      <c r="N46" s="119"/>
      <c r="O46" s="120"/>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row>
    <row r="47" spans="1:84" ht="16.5">
      <c r="A47" s="122"/>
      <c r="B47" s="119"/>
      <c r="C47" s="119"/>
      <c r="D47" s="119"/>
      <c r="E47" s="119"/>
      <c r="F47" s="119"/>
      <c r="G47" s="119"/>
      <c r="H47" s="119"/>
      <c r="I47" s="119"/>
      <c r="J47" s="119"/>
      <c r="K47" s="119"/>
      <c r="L47" s="119"/>
      <c r="M47" s="119"/>
      <c r="N47" s="119"/>
      <c r="O47" s="120"/>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row>
    <row r="48" spans="1:84" ht="16.5">
      <c r="A48" s="122"/>
      <c r="B48" s="119"/>
      <c r="C48" s="119"/>
      <c r="D48" s="119"/>
      <c r="E48" s="119"/>
      <c r="F48" s="119"/>
      <c r="G48" s="119"/>
      <c r="H48" s="119"/>
      <c r="I48" s="119"/>
      <c r="J48" s="119"/>
      <c r="K48" s="119"/>
      <c r="L48" s="119"/>
      <c r="M48" s="119"/>
      <c r="N48" s="119"/>
      <c r="O48" s="120"/>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row>
    <row r="49" spans="1:84" ht="16.5">
      <c r="A49" s="122"/>
      <c r="B49" s="119"/>
      <c r="C49" s="119"/>
      <c r="D49" s="119"/>
      <c r="E49" s="119"/>
      <c r="F49" s="119"/>
      <c r="G49" s="119"/>
      <c r="H49" s="119"/>
      <c r="I49" s="119"/>
      <c r="J49" s="119"/>
      <c r="K49" s="119"/>
      <c r="L49" s="119"/>
      <c r="M49" s="119"/>
      <c r="N49" s="119"/>
      <c r="O49" s="120"/>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row>
    <row r="50" spans="1:84" ht="16.5">
      <c r="A50" s="122"/>
      <c r="B50" s="119"/>
      <c r="C50" s="119"/>
      <c r="D50" s="119"/>
      <c r="E50" s="119"/>
      <c r="F50" s="119"/>
      <c r="G50" s="119"/>
      <c r="H50" s="119"/>
      <c r="I50" s="119"/>
      <c r="J50" s="119"/>
      <c r="K50" s="119"/>
      <c r="L50" s="119"/>
      <c r="M50" s="119"/>
      <c r="N50" s="119"/>
      <c r="O50" s="120"/>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row>
    <row r="51" spans="1:84" ht="16.5">
      <c r="A51" s="122"/>
      <c r="B51" s="119"/>
      <c r="C51" s="119"/>
      <c r="D51" s="119"/>
      <c r="E51" s="119"/>
      <c r="F51" s="119"/>
      <c r="G51" s="119"/>
      <c r="H51" s="119"/>
      <c r="I51" s="119"/>
      <c r="J51" s="119"/>
      <c r="K51" s="119"/>
      <c r="L51" s="119"/>
      <c r="M51" s="119"/>
      <c r="N51" s="119"/>
      <c r="O51" s="120"/>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row>
    <row r="52" spans="1:84" ht="16.5">
      <c r="A52" s="122"/>
      <c r="B52" s="119"/>
      <c r="C52" s="119"/>
      <c r="D52" s="119"/>
      <c r="E52" s="119"/>
      <c r="F52" s="119"/>
      <c r="G52" s="119"/>
      <c r="H52" s="119"/>
      <c r="I52" s="119"/>
      <c r="J52" s="119"/>
      <c r="K52" s="119"/>
      <c r="L52" s="119"/>
      <c r="M52" s="119"/>
      <c r="N52" s="119"/>
      <c r="O52" s="120"/>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c r="CA52" s="121"/>
      <c r="CB52" s="121"/>
      <c r="CC52" s="121"/>
      <c r="CD52" s="121"/>
      <c r="CE52" s="121"/>
      <c r="CF52" s="121"/>
    </row>
    <row r="53" spans="1:84" ht="16.5">
      <c r="A53" s="122"/>
      <c r="B53" s="119"/>
      <c r="C53" s="119"/>
      <c r="D53" s="119"/>
      <c r="E53" s="119"/>
      <c r="F53" s="119"/>
      <c r="G53" s="119"/>
      <c r="H53" s="119"/>
      <c r="I53" s="119"/>
      <c r="J53" s="119"/>
      <c r="K53" s="119"/>
      <c r="L53" s="119"/>
      <c r="M53" s="119"/>
      <c r="N53" s="119"/>
      <c r="O53" s="120"/>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row>
    <row r="54" spans="1:84" ht="16.5">
      <c r="A54" s="122"/>
      <c r="B54" s="119"/>
      <c r="C54" s="119"/>
      <c r="D54" s="119"/>
      <c r="E54" s="119"/>
      <c r="F54" s="119"/>
      <c r="G54" s="119"/>
      <c r="H54" s="119"/>
      <c r="I54" s="119"/>
      <c r="J54" s="119"/>
      <c r="K54" s="119"/>
      <c r="L54" s="119"/>
      <c r="M54" s="119"/>
      <c r="N54" s="119"/>
      <c r="O54" s="120"/>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row>
    <row r="55" spans="1:84" ht="16.5">
      <c r="A55" s="122"/>
      <c r="B55" s="119"/>
      <c r="C55" s="119"/>
      <c r="D55" s="119"/>
      <c r="E55" s="119"/>
      <c r="F55" s="119"/>
      <c r="G55" s="119"/>
      <c r="H55" s="119"/>
      <c r="I55" s="119"/>
      <c r="J55" s="119"/>
      <c r="K55" s="119"/>
      <c r="L55" s="119"/>
      <c r="M55" s="119"/>
      <c r="N55" s="119"/>
      <c r="O55" s="120"/>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row>
    <row r="56" spans="1:84" ht="16.5">
      <c r="A56" s="122"/>
      <c r="B56" s="119"/>
      <c r="C56" s="119"/>
      <c r="D56" s="119"/>
      <c r="E56" s="119"/>
      <c r="F56" s="119"/>
      <c r="G56" s="119"/>
      <c r="H56" s="119"/>
      <c r="I56" s="119"/>
      <c r="J56" s="119"/>
      <c r="K56" s="119"/>
      <c r="L56" s="119"/>
      <c r="M56" s="119"/>
      <c r="N56" s="119"/>
      <c r="O56" s="120"/>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row>
    <row r="57" spans="1:84" ht="16.5">
      <c r="A57" s="122"/>
      <c r="B57" s="119"/>
      <c r="C57" s="119"/>
      <c r="D57" s="119"/>
      <c r="E57" s="119"/>
      <c r="F57" s="119"/>
      <c r="G57" s="119"/>
      <c r="H57" s="119"/>
      <c r="I57" s="119"/>
      <c r="J57" s="119"/>
      <c r="K57" s="119"/>
      <c r="L57" s="119"/>
      <c r="M57" s="119"/>
      <c r="N57" s="119"/>
      <c r="O57" s="120"/>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row>
    <row r="58" spans="1:84" ht="16.5">
      <c r="A58" s="122"/>
      <c r="B58" s="119"/>
      <c r="C58" s="119"/>
      <c r="D58" s="119"/>
      <c r="E58" s="119"/>
      <c r="F58" s="119"/>
      <c r="G58" s="119"/>
      <c r="H58" s="119"/>
      <c r="I58" s="119"/>
      <c r="J58" s="119"/>
      <c r="K58" s="119"/>
      <c r="L58" s="119"/>
      <c r="M58" s="119"/>
      <c r="N58" s="119"/>
      <c r="O58" s="120"/>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c r="CA58" s="121"/>
      <c r="CB58" s="121"/>
      <c r="CC58" s="121"/>
      <c r="CD58" s="121"/>
      <c r="CE58" s="121"/>
      <c r="CF58" s="121"/>
    </row>
    <row r="59" spans="1:84" ht="16.5">
      <c r="A59" s="122"/>
      <c r="B59" s="119"/>
      <c r="C59" s="119"/>
      <c r="D59" s="119"/>
      <c r="E59" s="119"/>
      <c r="F59" s="119"/>
      <c r="G59" s="119"/>
      <c r="H59" s="119"/>
      <c r="I59" s="119"/>
      <c r="J59" s="119"/>
      <c r="K59" s="119"/>
      <c r="L59" s="119"/>
      <c r="M59" s="119"/>
      <c r="N59" s="119"/>
      <c r="O59" s="120"/>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c r="CA59" s="121"/>
      <c r="CB59" s="121"/>
      <c r="CC59" s="121"/>
      <c r="CD59" s="121"/>
      <c r="CE59" s="121"/>
      <c r="CF59" s="121"/>
    </row>
    <row r="60" spans="1:84" ht="16.5">
      <c r="A60" s="122"/>
      <c r="B60" s="119"/>
      <c r="C60" s="119"/>
      <c r="D60" s="119"/>
      <c r="E60" s="119"/>
      <c r="F60" s="119"/>
      <c r="G60" s="119"/>
      <c r="H60" s="119"/>
      <c r="I60" s="119"/>
      <c r="J60" s="119"/>
      <c r="K60" s="119"/>
      <c r="L60" s="119"/>
      <c r="M60" s="119"/>
      <c r="N60" s="119"/>
      <c r="O60" s="120"/>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c r="CD60" s="121"/>
      <c r="CE60" s="121"/>
      <c r="CF60" s="121"/>
    </row>
    <row r="61" spans="1:84" ht="16.5">
      <c r="A61" s="122"/>
      <c r="B61" s="119"/>
      <c r="C61" s="119"/>
      <c r="D61" s="119"/>
      <c r="E61" s="119"/>
      <c r="F61" s="119"/>
      <c r="G61" s="119"/>
      <c r="H61" s="119"/>
      <c r="I61" s="119"/>
      <c r="J61" s="119"/>
      <c r="K61" s="119"/>
      <c r="L61" s="119"/>
      <c r="M61" s="119"/>
      <c r="N61" s="119"/>
      <c r="O61" s="120"/>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c r="CA61" s="121"/>
      <c r="CB61" s="121"/>
      <c r="CC61" s="121"/>
      <c r="CD61" s="121"/>
      <c r="CE61" s="121"/>
      <c r="CF61" s="121"/>
    </row>
    <row r="62" spans="1:84" ht="16.5">
      <c r="A62" s="122"/>
      <c r="B62" s="119"/>
      <c r="C62" s="119"/>
      <c r="D62" s="119"/>
      <c r="E62" s="119"/>
      <c r="F62" s="119"/>
      <c r="G62" s="119"/>
      <c r="H62" s="119"/>
      <c r="I62" s="119"/>
      <c r="J62" s="119"/>
      <c r="K62" s="119"/>
      <c r="L62" s="119"/>
      <c r="M62" s="119"/>
      <c r="N62" s="119"/>
      <c r="O62" s="120"/>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c r="CA62" s="121"/>
      <c r="CB62" s="121"/>
      <c r="CC62" s="121"/>
      <c r="CD62" s="121"/>
      <c r="CE62" s="121"/>
      <c r="CF62" s="121"/>
    </row>
    <row r="63" spans="1:84" ht="16.5">
      <c r="A63" s="122"/>
      <c r="B63" s="119"/>
      <c r="C63" s="119"/>
      <c r="D63" s="119"/>
      <c r="E63" s="119"/>
      <c r="F63" s="119"/>
      <c r="G63" s="119"/>
      <c r="H63" s="119"/>
      <c r="I63" s="119"/>
      <c r="J63" s="119"/>
      <c r="K63" s="119"/>
      <c r="L63" s="119"/>
      <c r="M63" s="119"/>
      <c r="N63" s="119"/>
      <c r="O63" s="120"/>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c r="BO63" s="121"/>
      <c r="BP63" s="121"/>
      <c r="BQ63" s="121"/>
      <c r="BR63" s="121"/>
      <c r="BS63" s="121"/>
      <c r="BT63" s="121"/>
      <c r="BU63" s="121"/>
      <c r="BV63" s="121"/>
      <c r="BW63" s="121"/>
      <c r="BX63" s="121"/>
      <c r="BY63" s="121"/>
      <c r="BZ63" s="121"/>
      <c r="CA63" s="121"/>
      <c r="CB63" s="121"/>
      <c r="CC63" s="121"/>
      <c r="CD63" s="121"/>
      <c r="CE63" s="121"/>
      <c r="CF63" s="121"/>
    </row>
    <row r="64" spans="1:84" ht="16.5">
      <c r="A64" s="122"/>
      <c r="B64" s="119"/>
      <c r="C64" s="119"/>
      <c r="D64" s="119"/>
      <c r="E64" s="119"/>
      <c r="F64" s="119"/>
      <c r="G64" s="119"/>
      <c r="H64" s="119"/>
      <c r="I64" s="119"/>
      <c r="J64" s="119"/>
      <c r="K64" s="119"/>
      <c r="L64" s="119"/>
      <c r="M64" s="119"/>
      <c r="N64" s="119"/>
      <c r="O64" s="120"/>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c r="BR64" s="121"/>
      <c r="BS64" s="121"/>
      <c r="BT64" s="121"/>
      <c r="BU64" s="121"/>
      <c r="BV64" s="121"/>
      <c r="BW64" s="121"/>
      <c r="BX64" s="121"/>
      <c r="BY64" s="121"/>
      <c r="BZ64" s="121"/>
      <c r="CA64" s="121"/>
      <c r="CB64" s="121"/>
      <c r="CC64" s="121"/>
      <c r="CD64" s="121"/>
      <c r="CE64" s="121"/>
      <c r="CF64" s="121"/>
    </row>
    <row r="65" spans="1:84" ht="16.5">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1"/>
      <c r="BV65" s="121"/>
      <c r="BW65" s="121"/>
      <c r="BX65" s="121"/>
      <c r="BY65" s="121"/>
      <c r="BZ65" s="121"/>
      <c r="CA65" s="121"/>
      <c r="CB65" s="121"/>
      <c r="CC65" s="121"/>
      <c r="CD65" s="121"/>
      <c r="CE65" s="121"/>
      <c r="CF65" s="121"/>
    </row>
    <row r="66" spans="1:84" ht="16.5">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O66" s="121"/>
      <c r="BP66" s="121"/>
      <c r="BQ66" s="121"/>
      <c r="BR66" s="121"/>
      <c r="BS66" s="121"/>
      <c r="BT66" s="121"/>
      <c r="BU66" s="121"/>
      <c r="BV66" s="121"/>
      <c r="BW66" s="121"/>
      <c r="BX66" s="121"/>
      <c r="BY66" s="121"/>
      <c r="BZ66" s="121"/>
      <c r="CA66" s="121"/>
      <c r="CB66" s="121"/>
      <c r="CC66" s="121"/>
      <c r="CD66" s="121"/>
      <c r="CE66" s="121"/>
      <c r="CF66" s="121"/>
    </row>
    <row r="67" spans="1:84" ht="16.5">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row>
    <row r="68" spans="1:84" ht="16.5">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c r="BR68" s="121"/>
      <c r="BS68" s="121"/>
      <c r="BT68" s="121"/>
      <c r="BU68" s="121"/>
      <c r="BV68" s="121"/>
      <c r="BW68" s="121"/>
      <c r="BX68" s="121"/>
      <c r="BY68" s="121"/>
      <c r="BZ68" s="121"/>
      <c r="CA68" s="121"/>
      <c r="CB68" s="121"/>
      <c r="CC68" s="121"/>
      <c r="CD68" s="121"/>
      <c r="CE68" s="121"/>
      <c r="CF68" s="121"/>
    </row>
    <row r="69" spans="1:84" ht="16.5">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c r="BR69" s="121"/>
      <c r="BS69" s="121"/>
      <c r="BT69" s="121"/>
      <c r="BU69" s="121"/>
      <c r="BV69" s="121"/>
      <c r="BW69" s="121"/>
      <c r="BX69" s="121"/>
      <c r="BY69" s="121"/>
      <c r="BZ69" s="121"/>
      <c r="CA69" s="121"/>
      <c r="CB69" s="121"/>
      <c r="CC69" s="121"/>
      <c r="CD69" s="121"/>
      <c r="CE69" s="121"/>
      <c r="CF69" s="121"/>
    </row>
    <row r="70" spans="1:84" ht="16.5">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c r="BR70" s="121"/>
      <c r="BS70" s="121"/>
      <c r="BT70" s="121"/>
      <c r="BU70" s="121"/>
      <c r="BV70" s="121"/>
      <c r="BW70" s="121"/>
      <c r="BX70" s="121"/>
      <c r="BY70" s="121"/>
      <c r="BZ70" s="121"/>
      <c r="CA70" s="121"/>
      <c r="CB70" s="121"/>
      <c r="CC70" s="121"/>
      <c r="CD70" s="121"/>
      <c r="CE70" s="121"/>
      <c r="CF70" s="121"/>
    </row>
    <row r="71" spans="1:84" ht="16.5">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c r="BR71" s="121"/>
      <c r="BS71" s="121"/>
      <c r="BT71" s="121"/>
      <c r="BU71" s="121"/>
      <c r="BV71" s="121"/>
      <c r="BW71" s="121"/>
      <c r="BX71" s="121"/>
      <c r="BY71" s="121"/>
      <c r="BZ71" s="121"/>
      <c r="CA71" s="121"/>
      <c r="CB71" s="121"/>
      <c r="CC71" s="121"/>
      <c r="CD71" s="121"/>
      <c r="CE71" s="121"/>
      <c r="CF71" s="121"/>
    </row>
    <row r="72" spans="1:84" ht="16.5">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c r="BO72" s="121"/>
      <c r="BP72" s="121"/>
      <c r="BQ72" s="121"/>
      <c r="BR72" s="121"/>
      <c r="BS72" s="121"/>
      <c r="BT72" s="121"/>
      <c r="BU72" s="121"/>
      <c r="BV72" s="121"/>
      <c r="BW72" s="121"/>
      <c r="BX72" s="121"/>
      <c r="BY72" s="121"/>
      <c r="BZ72" s="121"/>
      <c r="CA72" s="121"/>
      <c r="CB72" s="121"/>
      <c r="CC72" s="121"/>
      <c r="CD72" s="121"/>
      <c r="CE72" s="121"/>
      <c r="CF72" s="121"/>
    </row>
    <row r="73" spans="1:84" ht="16.5">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c r="BO73" s="121"/>
      <c r="BP73" s="121"/>
      <c r="BQ73" s="121"/>
      <c r="BR73" s="121"/>
      <c r="BS73" s="121"/>
      <c r="BT73" s="121"/>
      <c r="BU73" s="121"/>
      <c r="BV73" s="121"/>
      <c r="BW73" s="121"/>
      <c r="BX73" s="121"/>
      <c r="BY73" s="121"/>
      <c r="BZ73" s="121"/>
      <c r="CA73" s="121"/>
      <c r="CB73" s="121"/>
      <c r="CC73" s="121"/>
      <c r="CD73" s="121"/>
      <c r="CE73" s="121"/>
      <c r="CF73" s="121"/>
    </row>
    <row r="74" spans="1:84" ht="16.5">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c r="BJ74" s="121"/>
      <c r="BK74" s="121"/>
      <c r="BL74" s="121"/>
      <c r="BM74" s="121"/>
      <c r="BN74" s="121"/>
      <c r="BO74" s="121"/>
      <c r="BP74" s="121"/>
      <c r="BQ74" s="121"/>
      <c r="BR74" s="121"/>
      <c r="BS74" s="121"/>
      <c r="BT74" s="121"/>
      <c r="BU74" s="121"/>
      <c r="BV74" s="121"/>
      <c r="BW74" s="121"/>
      <c r="BX74" s="121"/>
      <c r="BY74" s="121"/>
      <c r="BZ74" s="121"/>
      <c r="CA74" s="121"/>
      <c r="CB74" s="121"/>
      <c r="CC74" s="121"/>
      <c r="CD74" s="121"/>
      <c r="CE74" s="121"/>
      <c r="CF74" s="121"/>
    </row>
    <row r="75" spans="1:84" ht="16.5">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c r="BR75" s="121"/>
      <c r="BS75" s="121"/>
      <c r="BT75" s="121"/>
      <c r="BU75" s="121"/>
      <c r="BV75" s="121"/>
      <c r="BW75" s="121"/>
      <c r="BX75" s="121"/>
      <c r="BY75" s="121"/>
      <c r="BZ75" s="121"/>
      <c r="CA75" s="121"/>
      <c r="CB75" s="121"/>
      <c r="CC75" s="121"/>
      <c r="CD75" s="121"/>
      <c r="CE75" s="121"/>
      <c r="CF75" s="121"/>
    </row>
    <row r="76" spans="1:84" ht="16.5">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c r="BO76" s="121"/>
      <c r="BP76" s="121"/>
      <c r="BQ76" s="121"/>
      <c r="BR76" s="121"/>
      <c r="BS76" s="121"/>
      <c r="BT76" s="121"/>
      <c r="BU76" s="121"/>
      <c r="BV76" s="121"/>
      <c r="BW76" s="121"/>
      <c r="BX76" s="121"/>
      <c r="BY76" s="121"/>
      <c r="BZ76" s="121"/>
      <c r="CA76" s="121"/>
      <c r="CB76" s="121"/>
      <c r="CC76" s="121"/>
      <c r="CD76" s="121"/>
      <c r="CE76" s="121"/>
      <c r="CF76" s="121"/>
    </row>
    <row r="77" spans="1:84" ht="16.5">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O77" s="121"/>
      <c r="BP77" s="121"/>
      <c r="BQ77" s="121"/>
      <c r="BR77" s="121"/>
      <c r="BS77" s="121"/>
      <c r="BT77" s="121"/>
      <c r="BU77" s="121"/>
      <c r="BV77" s="121"/>
      <c r="BW77" s="121"/>
      <c r="BX77" s="121"/>
      <c r="BY77" s="121"/>
      <c r="BZ77" s="121"/>
      <c r="CA77" s="121"/>
      <c r="CB77" s="121"/>
      <c r="CC77" s="121"/>
      <c r="CD77" s="121"/>
      <c r="CE77" s="121"/>
      <c r="CF77" s="121"/>
    </row>
    <row r="78" spans="1:84" ht="16.5">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O78" s="121"/>
      <c r="BP78" s="121"/>
      <c r="BQ78" s="121"/>
      <c r="BR78" s="121"/>
      <c r="BS78" s="121"/>
      <c r="BT78" s="121"/>
      <c r="BU78" s="121"/>
      <c r="BV78" s="121"/>
      <c r="BW78" s="121"/>
      <c r="BX78" s="121"/>
      <c r="BY78" s="121"/>
      <c r="BZ78" s="121"/>
      <c r="CA78" s="121"/>
      <c r="CB78" s="121"/>
      <c r="CC78" s="121"/>
      <c r="CD78" s="121"/>
      <c r="CE78" s="121"/>
      <c r="CF78" s="121"/>
    </row>
    <row r="79" spans="1:84" ht="16.5">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1"/>
      <c r="BG79" s="121"/>
      <c r="BH79" s="121"/>
      <c r="BI79" s="121"/>
      <c r="BJ79" s="121"/>
      <c r="BK79" s="121"/>
      <c r="BL79" s="121"/>
      <c r="BM79" s="121"/>
      <c r="BN79" s="121"/>
      <c r="BO79" s="121"/>
      <c r="BP79" s="121"/>
      <c r="BQ79" s="121"/>
      <c r="BR79" s="121"/>
      <c r="BS79" s="121"/>
      <c r="BT79" s="121"/>
      <c r="BU79" s="121"/>
      <c r="BV79" s="121"/>
      <c r="BW79" s="121"/>
      <c r="BX79" s="121"/>
      <c r="BY79" s="121"/>
      <c r="BZ79" s="121"/>
      <c r="CA79" s="121"/>
      <c r="CB79" s="121"/>
      <c r="CC79" s="121"/>
      <c r="CD79" s="121"/>
      <c r="CE79" s="121"/>
      <c r="CF79" s="121"/>
    </row>
    <row r="80" spans="1:84" ht="16.5">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row>
    <row r="81" spans="1:84" ht="16.5">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c r="CA81" s="121"/>
      <c r="CB81" s="121"/>
      <c r="CC81" s="121"/>
      <c r="CD81" s="121"/>
      <c r="CE81" s="121"/>
      <c r="CF81" s="121"/>
    </row>
    <row r="82" spans="1:84" ht="16.5">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1"/>
      <c r="AY82" s="121"/>
      <c r="AZ82" s="121"/>
      <c r="BA82" s="121"/>
      <c r="BB82" s="121"/>
      <c r="BC82" s="121"/>
      <c r="BD82" s="121"/>
      <c r="BE82" s="121"/>
      <c r="BF82" s="121"/>
      <c r="BG82" s="121"/>
      <c r="BH82" s="121"/>
      <c r="BI82" s="121"/>
      <c r="BJ82" s="121"/>
      <c r="BK82" s="121"/>
      <c r="BL82" s="121"/>
      <c r="BM82" s="121"/>
      <c r="BN82" s="121"/>
      <c r="BO82" s="121"/>
      <c r="BP82" s="121"/>
      <c r="BQ82" s="121"/>
      <c r="BR82" s="121"/>
      <c r="BS82" s="121"/>
      <c r="BT82" s="121"/>
      <c r="BU82" s="121"/>
      <c r="BV82" s="121"/>
      <c r="BW82" s="121"/>
      <c r="BX82" s="121"/>
      <c r="BY82" s="121"/>
      <c r="BZ82" s="121"/>
      <c r="CA82" s="121"/>
      <c r="CB82" s="121"/>
      <c r="CC82" s="121"/>
      <c r="CD82" s="121"/>
      <c r="CE82" s="121"/>
      <c r="CF82" s="121"/>
    </row>
    <row r="83" spans="1:84" ht="16.5">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c r="BD83" s="121"/>
      <c r="BE83" s="121"/>
      <c r="BF83" s="121"/>
      <c r="BG83" s="121"/>
      <c r="BH83" s="121"/>
      <c r="BI83" s="121"/>
      <c r="BJ83" s="121"/>
      <c r="BK83" s="121"/>
      <c r="BL83" s="121"/>
      <c r="BM83" s="121"/>
      <c r="BN83" s="121"/>
      <c r="BO83" s="121"/>
      <c r="BP83" s="121"/>
      <c r="BQ83" s="121"/>
      <c r="BR83" s="121"/>
      <c r="BS83" s="121"/>
      <c r="BT83" s="121"/>
      <c r="BU83" s="121"/>
      <c r="BV83" s="121"/>
      <c r="BW83" s="121"/>
      <c r="BX83" s="121"/>
      <c r="BY83" s="121"/>
      <c r="BZ83" s="121"/>
      <c r="CA83" s="121"/>
      <c r="CB83" s="121"/>
      <c r="CC83" s="121"/>
      <c r="CD83" s="121"/>
      <c r="CE83" s="121"/>
      <c r="CF83" s="121"/>
    </row>
    <row r="84" spans="1:84" ht="16.5">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c r="AZ84" s="121"/>
      <c r="BA84" s="121"/>
      <c r="BB84" s="121"/>
      <c r="BC84" s="121"/>
      <c r="BD84" s="121"/>
      <c r="BE84" s="121"/>
      <c r="BF84" s="121"/>
      <c r="BG84" s="121"/>
      <c r="BH84" s="121"/>
      <c r="BI84" s="121"/>
      <c r="BJ84" s="121"/>
      <c r="BK84" s="121"/>
      <c r="BL84" s="121"/>
      <c r="BM84" s="121"/>
      <c r="BN84" s="121"/>
      <c r="BO84" s="121"/>
      <c r="BP84" s="121"/>
      <c r="BQ84" s="121"/>
      <c r="BR84" s="121"/>
      <c r="BS84" s="121"/>
      <c r="BT84" s="121"/>
      <c r="BU84" s="121"/>
      <c r="BV84" s="121"/>
      <c r="BW84" s="121"/>
      <c r="BX84" s="121"/>
      <c r="BY84" s="121"/>
      <c r="BZ84" s="121"/>
      <c r="CA84" s="121"/>
      <c r="CB84" s="121"/>
      <c r="CC84" s="121"/>
      <c r="CD84" s="121"/>
      <c r="CE84" s="121"/>
      <c r="CF84" s="121"/>
    </row>
    <row r="85" spans="1:84" ht="16.5">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c r="BE85" s="121"/>
      <c r="BF85" s="121"/>
      <c r="BG85" s="121"/>
      <c r="BH85" s="121"/>
      <c r="BI85" s="121"/>
      <c r="BJ85" s="121"/>
      <c r="BK85" s="121"/>
      <c r="BL85" s="121"/>
      <c r="BM85" s="121"/>
      <c r="BN85" s="121"/>
      <c r="BO85" s="121"/>
      <c r="BP85" s="121"/>
      <c r="BQ85" s="121"/>
      <c r="BR85" s="121"/>
      <c r="BS85" s="121"/>
      <c r="BT85" s="121"/>
      <c r="BU85" s="121"/>
      <c r="BV85" s="121"/>
      <c r="BW85" s="121"/>
      <c r="BX85" s="121"/>
      <c r="BY85" s="121"/>
      <c r="BZ85" s="121"/>
      <c r="CA85" s="121"/>
      <c r="CB85" s="121"/>
      <c r="CC85" s="121"/>
      <c r="CD85" s="121"/>
      <c r="CE85" s="121"/>
      <c r="CF85" s="121"/>
    </row>
    <row r="86" spans="1:84" ht="16.5">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c r="AZ86" s="121"/>
      <c r="BA86" s="121"/>
      <c r="BB86" s="121"/>
      <c r="BC86" s="121"/>
      <c r="BD86" s="121"/>
      <c r="BE86" s="121"/>
      <c r="BF86" s="121"/>
      <c r="BG86" s="121"/>
      <c r="BH86" s="121"/>
      <c r="BI86" s="121"/>
      <c r="BJ86" s="121"/>
      <c r="BK86" s="121"/>
      <c r="BL86" s="121"/>
      <c r="BM86" s="121"/>
      <c r="BN86" s="121"/>
      <c r="BO86" s="121"/>
      <c r="BP86" s="121"/>
      <c r="BQ86" s="121"/>
      <c r="BR86" s="121"/>
      <c r="BS86" s="121"/>
      <c r="BT86" s="121"/>
      <c r="BU86" s="121"/>
      <c r="BV86" s="121"/>
      <c r="BW86" s="121"/>
      <c r="BX86" s="121"/>
      <c r="BY86" s="121"/>
      <c r="BZ86" s="121"/>
      <c r="CA86" s="121"/>
      <c r="CB86" s="121"/>
      <c r="CC86" s="121"/>
      <c r="CD86" s="121"/>
      <c r="CE86" s="121"/>
      <c r="CF86" s="121"/>
    </row>
    <row r="87" spans="1:84" ht="16.5">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1"/>
      <c r="BA87" s="121"/>
      <c r="BB87" s="121"/>
      <c r="BC87" s="121"/>
      <c r="BD87" s="121"/>
      <c r="BE87" s="121"/>
      <c r="BF87" s="121"/>
      <c r="BG87" s="121"/>
      <c r="BH87" s="121"/>
      <c r="BI87" s="121"/>
      <c r="BJ87" s="121"/>
      <c r="BK87" s="121"/>
      <c r="BL87" s="121"/>
      <c r="BM87" s="121"/>
      <c r="BN87" s="121"/>
      <c r="BO87" s="121"/>
      <c r="BP87" s="121"/>
      <c r="BQ87" s="121"/>
      <c r="BR87" s="121"/>
      <c r="BS87" s="121"/>
      <c r="BT87" s="121"/>
      <c r="BU87" s="121"/>
      <c r="BV87" s="121"/>
      <c r="BW87" s="121"/>
      <c r="BX87" s="121"/>
      <c r="BY87" s="121"/>
      <c r="BZ87" s="121"/>
      <c r="CA87" s="121"/>
      <c r="CB87" s="121"/>
      <c r="CC87" s="121"/>
      <c r="CD87" s="121"/>
      <c r="CE87" s="121"/>
      <c r="CF87" s="121"/>
    </row>
    <row r="88" spans="1:84" ht="16.5">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1"/>
      <c r="BA88" s="121"/>
      <c r="BB88" s="121"/>
      <c r="BC88" s="121"/>
      <c r="BD88" s="121"/>
      <c r="BE88" s="121"/>
      <c r="BF88" s="121"/>
      <c r="BG88" s="121"/>
      <c r="BH88" s="121"/>
      <c r="BI88" s="121"/>
      <c r="BJ88" s="121"/>
      <c r="BK88" s="121"/>
      <c r="BL88" s="121"/>
      <c r="BM88" s="121"/>
      <c r="BN88" s="121"/>
      <c r="BO88" s="121"/>
      <c r="BP88" s="121"/>
      <c r="BQ88" s="121"/>
      <c r="BR88" s="121"/>
      <c r="BS88" s="121"/>
      <c r="BT88" s="121"/>
      <c r="BU88" s="121"/>
      <c r="BV88" s="121"/>
      <c r="BW88" s="121"/>
      <c r="BX88" s="121"/>
      <c r="BY88" s="121"/>
      <c r="BZ88" s="121"/>
      <c r="CA88" s="121"/>
      <c r="CB88" s="121"/>
      <c r="CC88" s="121"/>
      <c r="CD88" s="121"/>
      <c r="CE88" s="121"/>
      <c r="CF88" s="121"/>
    </row>
    <row r="89" spans="1:84" ht="16.5">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c r="AZ89" s="121"/>
      <c r="BA89" s="121"/>
      <c r="BB89" s="121"/>
      <c r="BC89" s="121"/>
      <c r="BD89" s="121"/>
      <c r="BE89" s="121"/>
      <c r="BF89" s="121"/>
      <c r="BG89" s="121"/>
      <c r="BH89" s="121"/>
      <c r="BI89" s="121"/>
      <c r="BJ89" s="121"/>
      <c r="BK89" s="121"/>
      <c r="BL89" s="121"/>
      <c r="BM89" s="121"/>
      <c r="BN89" s="121"/>
      <c r="BO89" s="121"/>
      <c r="BP89" s="121"/>
      <c r="BQ89" s="121"/>
      <c r="BR89" s="121"/>
      <c r="BS89" s="121"/>
      <c r="BT89" s="121"/>
      <c r="BU89" s="121"/>
      <c r="BV89" s="121"/>
      <c r="BW89" s="121"/>
      <c r="BX89" s="121"/>
      <c r="BY89" s="121"/>
      <c r="BZ89" s="121"/>
      <c r="CA89" s="121"/>
      <c r="CB89" s="121"/>
      <c r="CC89" s="121"/>
      <c r="CD89" s="121"/>
      <c r="CE89" s="121"/>
      <c r="CF89" s="121"/>
    </row>
    <row r="90" spans="1:84" ht="16.5">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c r="AW90" s="121"/>
      <c r="AX90" s="121"/>
      <c r="AY90" s="121"/>
      <c r="AZ90" s="121"/>
      <c r="BA90" s="121"/>
      <c r="BB90" s="121"/>
      <c r="BC90" s="121"/>
      <c r="BD90" s="121"/>
      <c r="BE90" s="121"/>
      <c r="BF90" s="121"/>
      <c r="BG90" s="121"/>
      <c r="BH90" s="121"/>
      <c r="BI90" s="121"/>
      <c r="BJ90" s="121"/>
      <c r="BK90" s="121"/>
      <c r="BL90" s="121"/>
      <c r="BM90" s="121"/>
      <c r="BN90" s="121"/>
      <c r="BO90" s="121"/>
      <c r="BP90" s="121"/>
      <c r="BQ90" s="121"/>
      <c r="BR90" s="121"/>
      <c r="BS90" s="121"/>
      <c r="BT90" s="121"/>
      <c r="BU90" s="121"/>
      <c r="BV90" s="121"/>
      <c r="BW90" s="121"/>
      <c r="BX90" s="121"/>
      <c r="BY90" s="121"/>
      <c r="BZ90" s="121"/>
      <c r="CA90" s="121"/>
      <c r="CB90" s="121"/>
      <c r="CC90" s="121"/>
      <c r="CD90" s="121"/>
      <c r="CE90" s="121"/>
      <c r="CF90" s="121"/>
    </row>
    <row r="91" spans="1:84" ht="16.5">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1"/>
      <c r="BG91" s="121"/>
      <c r="BH91" s="121"/>
      <c r="BI91" s="121"/>
      <c r="BJ91" s="121"/>
      <c r="BK91" s="121"/>
      <c r="BL91" s="121"/>
      <c r="BM91" s="121"/>
      <c r="BN91" s="121"/>
      <c r="BO91" s="121"/>
      <c r="BP91" s="121"/>
      <c r="BQ91" s="121"/>
      <c r="BR91" s="121"/>
      <c r="BS91" s="121"/>
      <c r="BT91" s="121"/>
      <c r="BU91" s="121"/>
      <c r="BV91" s="121"/>
      <c r="BW91" s="121"/>
      <c r="BX91" s="121"/>
      <c r="BY91" s="121"/>
      <c r="BZ91" s="121"/>
      <c r="CA91" s="121"/>
      <c r="CB91" s="121"/>
      <c r="CC91" s="121"/>
      <c r="CD91" s="121"/>
      <c r="CE91" s="121"/>
      <c r="CF91" s="121"/>
    </row>
    <row r="92" spans="1:84" ht="16.5">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c r="AW92" s="121"/>
      <c r="AX92" s="121"/>
      <c r="AY92" s="121"/>
      <c r="AZ92" s="121"/>
      <c r="BA92" s="121"/>
      <c r="BB92" s="121"/>
      <c r="BC92" s="121"/>
      <c r="BD92" s="121"/>
      <c r="BE92" s="121"/>
      <c r="BF92" s="121"/>
      <c r="BG92" s="121"/>
      <c r="BH92" s="121"/>
      <c r="BI92" s="121"/>
      <c r="BJ92" s="121"/>
      <c r="BK92" s="121"/>
      <c r="BL92" s="121"/>
      <c r="BM92" s="121"/>
      <c r="BN92" s="121"/>
      <c r="BO92" s="121"/>
      <c r="BP92" s="121"/>
      <c r="BQ92" s="121"/>
      <c r="BR92" s="121"/>
      <c r="BS92" s="121"/>
      <c r="BT92" s="121"/>
      <c r="BU92" s="121"/>
      <c r="BV92" s="121"/>
      <c r="BW92" s="121"/>
      <c r="BX92" s="121"/>
      <c r="BY92" s="121"/>
      <c r="BZ92" s="121"/>
      <c r="CA92" s="121"/>
      <c r="CB92" s="121"/>
      <c r="CC92" s="121"/>
      <c r="CD92" s="121"/>
      <c r="CE92" s="121"/>
      <c r="CF92" s="121"/>
    </row>
    <row r="93" spans="1:84" ht="16.5">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1"/>
      <c r="BG93" s="121"/>
      <c r="BH93" s="121"/>
      <c r="BI93" s="121"/>
      <c r="BJ93" s="121"/>
      <c r="BK93" s="121"/>
      <c r="BL93" s="121"/>
      <c r="BM93" s="121"/>
      <c r="BN93" s="121"/>
      <c r="BO93" s="121"/>
      <c r="BP93" s="121"/>
      <c r="BQ93" s="121"/>
      <c r="BR93" s="121"/>
      <c r="BS93" s="121"/>
      <c r="BT93" s="121"/>
      <c r="BU93" s="121"/>
      <c r="BV93" s="121"/>
      <c r="BW93" s="121"/>
      <c r="BX93" s="121"/>
      <c r="BY93" s="121"/>
      <c r="BZ93" s="121"/>
      <c r="CA93" s="121"/>
      <c r="CB93" s="121"/>
      <c r="CC93" s="121"/>
      <c r="CD93" s="121"/>
      <c r="CE93" s="121"/>
      <c r="CF93" s="121"/>
    </row>
    <row r="94" spans="1:84" ht="16.5">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c r="AW94" s="121"/>
      <c r="AX94" s="121"/>
      <c r="AY94" s="121"/>
      <c r="AZ94" s="121"/>
      <c r="BA94" s="121"/>
      <c r="BB94" s="121"/>
      <c r="BC94" s="121"/>
      <c r="BD94" s="121"/>
      <c r="BE94" s="121"/>
      <c r="BF94" s="121"/>
      <c r="BG94" s="121"/>
      <c r="BH94" s="121"/>
      <c r="BI94" s="121"/>
      <c r="BJ94" s="121"/>
      <c r="BK94" s="121"/>
      <c r="BL94" s="121"/>
      <c r="BM94" s="121"/>
      <c r="BN94" s="121"/>
      <c r="BO94" s="121"/>
      <c r="BP94" s="121"/>
      <c r="BQ94" s="121"/>
      <c r="BR94" s="121"/>
      <c r="BS94" s="121"/>
      <c r="BT94" s="121"/>
      <c r="BU94" s="121"/>
      <c r="BV94" s="121"/>
      <c r="BW94" s="121"/>
      <c r="BX94" s="121"/>
      <c r="BY94" s="121"/>
      <c r="BZ94" s="121"/>
      <c r="CA94" s="121"/>
      <c r="CB94" s="121"/>
      <c r="CC94" s="121"/>
      <c r="CD94" s="121"/>
      <c r="CE94" s="121"/>
      <c r="CF94" s="121"/>
    </row>
    <row r="95" spans="1:84" ht="16.5">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c r="AZ95" s="121"/>
      <c r="BA95" s="121"/>
      <c r="BB95" s="121"/>
      <c r="BC95" s="121"/>
      <c r="BD95" s="121"/>
      <c r="BE95" s="121"/>
      <c r="BF95" s="121"/>
      <c r="BG95" s="121"/>
      <c r="BH95" s="121"/>
      <c r="BI95" s="121"/>
      <c r="BJ95" s="121"/>
      <c r="BK95" s="121"/>
      <c r="BL95" s="121"/>
      <c r="BM95" s="121"/>
      <c r="BN95" s="121"/>
      <c r="BO95" s="121"/>
      <c r="BP95" s="121"/>
      <c r="BQ95" s="121"/>
      <c r="BR95" s="121"/>
      <c r="BS95" s="121"/>
      <c r="BT95" s="121"/>
      <c r="BU95" s="121"/>
      <c r="BV95" s="121"/>
      <c r="BW95" s="121"/>
      <c r="BX95" s="121"/>
      <c r="BY95" s="121"/>
      <c r="BZ95" s="121"/>
      <c r="CA95" s="121"/>
      <c r="CB95" s="121"/>
      <c r="CC95" s="121"/>
      <c r="CD95" s="121"/>
      <c r="CE95" s="121"/>
      <c r="CF95" s="121"/>
    </row>
    <row r="96" spans="1:84" ht="16.5">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c r="AZ96" s="121"/>
      <c r="BA96" s="121"/>
      <c r="BB96" s="121"/>
      <c r="BC96" s="121"/>
      <c r="BD96" s="121"/>
      <c r="BE96" s="121"/>
      <c r="BF96" s="121"/>
      <c r="BG96" s="121"/>
      <c r="BH96" s="121"/>
      <c r="BI96" s="121"/>
      <c r="BJ96" s="121"/>
      <c r="BK96" s="121"/>
      <c r="BL96" s="121"/>
      <c r="BM96" s="121"/>
      <c r="BN96" s="121"/>
      <c r="BO96" s="121"/>
      <c r="BP96" s="121"/>
      <c r="BQ96" s="121"/>
      <c r="BR96" s="121"/>
      <c r="BS96" s="121"/>
      <c r="BT96" s="121"/>
      <c r="BU96" s="121"/>
      <c r="BV96" s="121"/>
      <c r="BW96" s="121"/>
      <c r="BX96" s="121"/>
      <c r="BY96" s="121"/>
      <c r="BZ96" s="121"/>
      <c r="CA96" s="121"/>
      <c r="CB96" s="121"/>
      <c r="CC96" s="121"/>
      <c r="CD96" s="121"/>
      <c r="CE96" s="121"/>
      <c r="CF96" s="121"/>
    </row>
    <row r="97" spans="1:84" ht="16.5">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c r="AW97" s="121"/>
      <c r="AX97" s="121"/>
      <c r="AY97" s="121"/>
      <c r="AZ97" s="121"/>
      <c r="BA97" s="121"/>
      <c r="BB97" s="121"/>
      <c r="BC97" s="121"/>
      <c r="BD97" s="121"/>
      <c r="BE97" s="121"/>
      <c r="BF97" s="121"/>
      <c r="BG97" s="121"/>
      <c r="BH97" s="121"/>
      <c r="BI97" s="121"/>
      <c r="BJ97" s="121"/>
      <c r="BK97" s="121"/>
      <c r="BL97" s="121"/>
      <c r="BM97" s="121"/>
      <c r="BN97" s="121"/>
      <c r="BO97" s="121"/>
      <c r="BP97" s="121"/>
      <c r="BQ97" s="121"/>
      <c r="BR97" s="121"/>
      <c r="BS97" s="121"/>
      <c r="BT97" s="121"/>
      <c r="BU97" s="121"/>
      <c r="BV97" s="121"/>
      <c r="BW97" s="121"/>
      <c r="BX97" s="121"/>
      <c r="BY97" s="121"/>
      <c r="BZ97" s="121"/>
      <c r="CA97" s="121"/>
      <c r="CB97" s="121"/>
      <c r="CC97" s="121"/>
      <c r="CD97" s="121"/>
      <c r="CE97" s="121"/>
      <c r="CF97" s="121"/>
    </row>
    <row r="98" spans="1:84" ht="16.5">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21"/>
      <c r="BD98" s="121"/>
      <c r="BE98" s="121"/>
      <c r="BF98" s="121"/>
      <c r="BG98" s="121"/>
      <c r="BH98" s="121"/>
      <c r="BI98" s="121"/>
      <c r="BJ98" s="121"/>
      <c r="BK98" s="121"/>
      <c r="BL98" s="121"/>
      <c r="BM98" s="121"/>
      <c r="BN98" s="121"/>
      <c r="BO98" s="121"/>
      <c r="BP98" s="121"/>
      <c r="BQ98" s="121"/>
      <c r="BR98" s="121"/>
      <c r="BS98" s="121"/>
      <c r="BT98" s="121"/>
      <c r="BU98" s="121"/>
      <c r="BV98" s="121"/>
      <c r="BW98" s="121"/>
      <c r="BX98" s="121"/>
      <c r="BY98" s="121"/>
      <c r="BZ98" s="121"/>
      <c r="CA98" s="121"/>
      <c r="CB98" s="121"/>
      <c r="CC98" s="121"/>
      <c r="CD98" s="121"/>
      <c r="CE98" s="121"/>
      <c r="CF98" s="121"/>
    </row>
    <row r="99" spans="1:84" ht="16.5">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1"/>
      <c r="AY99" s="121"/>
      <c r="AZ99" s="121"/>
      <c r="BA99" s="121"/>
      <c r="BB99" s="121"/>
      <c r="BC99" s="121"/>
      <c r="BD99" s="121"/>
      <c r="BE99" s="121"/>
      <c r="BF99" s="121"/>
      <c r="BG99" s="121"/>
      <c r="BH99" s="121"/>
      <c r="BI99" s="121"/>
      <c r="BJ99" s="121"/>
      <c r="BK99" s="121"/>
      <c r="BL99" s="121"/>
      <c r="BM99" s="121"/>
      <c r="BN99" s="121"/>
      <c r="BO99" s="121"/>
      <c r="BP99" s="121"/>
      <c r="BQ99" s="121"/>
      <c r="BR99" s="121"/>
      <c r="BS99" s="121"/>
      <c r="BT99" s="121"/>
      <c r="BU99" s="121"/>
      <c r="BV99" s="121"/>
      <c r="BW99" s="121"/>
      <c r="BX99" s="121"/>
      <c r="BY99" s="121"/>
      <c r="BZ99" s="121"/>
      <c r="CA99" s="121"/>
      <c r="CB99" s="121"/>
      <c r="CC99" s="121"/>
      <c r="CD99" s="121"/>
      <c r="CE99" s="121"/>
      <c r="CF99" s="121"/>
    </row>
    <row r="100" spans="1:84" ht="16.5">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c r="AZ100" s="121"/>
      <c r="BA100" s="121"/>
      <c r="BB100" s="121"/>
      <c r="BC100" s="121"/>
      <c r="BD100" s="121"/>
      <c r="BE100" s="121"/>
      <c r="BF100" s="121"/>
      <c r="BG100" s="121"/>
      <c r="BH100" s="121"/>
      <c r="BI100" s="121"/>
      <c r="BJ100" s="121"/>
      <c r="BK100" s="121"/>
      <c r="BL100" s="121"/>
      <c r="BM100" s="121"/>
      <c r="BN100" s="121"/>
      <c r="BO100" s="121"/>
      <c r="BP100" s="121"/>
      <c r="BQ100" s="121"/>
      <c r="BR100" s="121"/>
      <c r="BS100" s="121"/>
      <c r="BT100" s="121"/>
      <c r="BU100" s="121"/>
      <c r="BV100" s="121"/>
      <c r="BW100" s="121"/>
      <c r="BX100" s="121"/>
      <c r="BY100" s="121"/>
      <c r="BZ100" s="121"/>
      <c r="CA100" s="121"/>
      <c r="CB100" s="121"/>
      <c r="CC100" s="121"/>
      <c r="CD100" s="121"/>
      <c r="CE100" s="121"/>
      <c r="CF100" s="121"/>
    </row>
    <row r="101" spans="1:84" ht="16.5">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1"/>
      <c r="BE101" s="121"/>
      <c r="BF101" s="121"/>
      <c r="BG101" s="121"/>
      <c r="BH101" s="121"/>
      <c r="BI101" s="121"/>
      <c r="BJ101" s="121"/>
      <c r="BK101" s="121"/>
      <c r="BL101" s="121"/>
      <c r="BM101" s="121"/>
      <c r="BN101" s="121"/>
      <c r="BO101" s="121"/>
      <c r="BP101" s="121"/>
      <c r="BQ101" s="121"/>
      <c r="BR101" s="121"/>
      <c r="BS101" s="121"/>
      <c r="BT101" s="121"/>
      <c r="BU101" s="121"/>
      <c r="BV101" s="121"/>
      <c r="BW101" s="121"/>
      <c r="BX101" s="121"/>
      <c r="BY101" s="121"/>
      <c r="BZ101" s="121"/>
      <c r="CA101" s="121"/>
      <c r="CB101" s="121"/>
      <c r="CC101" s="121"/>
      <c r="CD101" s="121"/>
      <c r="CE101" s="121"/>
      <c r="CF101" s="121"/>
    </row>
    <row r="102" spans="1:84" ht="16.5">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c r="AW102" s="121"/>
      <c r="AX102" s="121"/>
      <c r="AY102" s="121"/>
      <c r="AZ102" s="121"/>
      <c r="BA102" s="121"/>
      <c r="BB102" s="121"/>
      <c r="BC102" s="121"/>
      <c r="BD102" s="121"/>
      <c r="BE102" s="121"/>
      <c r="BF102" s="121"/>
      <c r="BG102" s="121"/>
      <c r="BH102" s="121"/>
      <c r="BI102" s="121"/>
      <c r="BJ102" s="121"/>
      <c r="BK102" s="121"/>
      <c r="BL102" s="121"/>
      <c r="BM102" s="121"/>
      <c r="BN102" s="121"/>
      <c r="BO102" s="121"/>
      <c r="BP102" s="121"/>
      <c r="BQ102" s="121"/>
      <c r="BR102" s="121"/>
      <c r="BS102" s="121"/>
      <c r="BT102" s="121"/>
      <c r="BU102" s="121"/>
      <c r="BV102" s="121"/>
      <c r="BW102" s="121"/>
      <c r="BX102" s="121"/>
      <c r="BY102" s="121"/>
      <c r="BZ102" s="121"/>
      <c r="CA102" s="121"/>
      <c r="CB102" s="121"/>
      <c r="CC102" s="121"/>
      <c r="CD102" s="121"/>
      <c r="CE102" s="121"/>
      <c r="CF102" s="121"/>
    </row>
    <row r="103" spans="1:84" ht="16.5">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1"/>
      <c r="BE103" s="121"/>
      <c r="BF103" s="121"/>
      <c r="BG103" s="121"/>
      <c r="BH103" s="121"/>
      <c r="BI103" s="121"/>
      <c r="BJ103" s="121"/>
      <c r="BK103" s="121"/>
      <c r="BL103" s="121"/>
      <c r="BM103" s="121"/>
      <c r="BN103" s="121"/>
      <c r="BO103" s="121"/>
      <c r="BP103" s="121"/>
      <c r="BQ103" s="121"/>
      <c r="BR103" s="121"/>
      <c r="BS103" s="121"/>
      <c r="BT103" s="121"/>
      <c r="BU103" s="121"/>
      <c r="BV103" s="121"/>
      <c r="BW103" s="121"/>
      <c r="BX103" s="121"/>
      <c r="BY103" s="121"/>
      <c r="BZ103" s="121"/>
      <c r="CA103" s="121"/>
      <c r="CB103" s="121"/>
      <c r="CC103" s="121"/>
      <c r="CD103" s="121"/>
      <c r="CE103" s="121"/>
      <c r="CF103" s="121"/>
    </row>
    <row r="104" spans="1:84" ht="16.5">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21"/>
      <c r="AO104" s="121"/>
      <c r="AP104" s="121"/>
      <c r="AQ104" s="121"/>
      <c r="AR104" s="121"/>
      <c r="AS104" s="121"/>
      <c r="AT104" s="121"/>
      <c r="AU104" s="121"/>
      <c r="AV104" s="121"/>
      <c r="AW104" s="121"/>
      <c r="AX104" s="121"/>
      <c r="AY104" s="121"/>
      <c r="AZ104" s="121"/>
      <c r="BA104" s="121"/>
      <c r="BB104" s="121"/>
      <c r="BC104" s="121"/>
      <c r="BD104" s="121"/>
      <c r="BE104" s="121"/>
      <c r="BF104" s="121"/>
      <c r="BG104" s="121"/>
      <c r="BH104" s="121"/>
      <c r="BI104" s="121"/>
      <c r="BJ104" s="121"/>
      <c r="BK104" s="121"/>
      <c r="BL104" s="121"/>
      <c r="BM104" s="121"/>
      <c r="BN104" s="121"/>
      <c r="BO104" s="121"/>
      <c r="BP104" s="121"/>
      <c r="BQ104" s="121"/>
      <c r="BR104" s="121"/>
      <c r="BS104" s="121"/>
      <c r="BT104" s="121"/>
      <c r="BU104" s="121"/>
      <c r="BV104" s="121"/>
      <c r="BW104" s="121"/>
      <c r="BX104" s="121"/>
      <c r="BY104" s="121"/>
      <c r="BZ104" s="121"/>
      <c r="CA104" s="121"/>
      <c r="CB104" s="121"/>
      <c r="CC104" s="121"/>
      <c r="CD104" s="121"/>
      <c r="CE104" s="121"/>
      <c r="CF104" s="121"/>
    </row>
    <row r="105" spans="1:84" ht="16.5">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1"/>
      <c r="BG105" s="121"/>
      <c r="BH105" s="121"/>
      <c r="BI105" s="121"/>
      <c r="BJ105" s="121"/>
      <c r="BK105" s="121"/>
      <c r="BL105" s="121"/>
      <c r="BM105" s="121"/>
      <c r="BN105" s="121"/>
      <c r="BO105" s="121"/>
      <c r="BP105" s="121"/>
      <c r="BQ105" s="121"/>
      <c r="BR105" s="121"/>
      <c r="BS105" s="121"/>
      <c r="BT105" s="121"/>
      <c r="BU105" s="121"/>
      <c r="BV105" s="121"/>
      <c r="BW105" s="121"/>
      <c r="BX105" s="121"/>
      <c r="BY105" s="121"/>
      <c r="BZ105" s="121"/>
      <c r="CA105" s="121"/>
      <c r="CB105" s="121"/>
      <c r="CC105" s="121"/>
      <c r="CD105" s="121"/>
      <c r="CE105" s="121"/>
      <c r="CF105" s="121"/>
    </row>
    <row r="106" spans="1:84" ht="16.5">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1"/>
      <c r="BA106" s="121"/>
      <c r="BB106" s="121"/>
      <c r="BC106" s="121"/>
      <c r="BD106" s="121"/>
      <c r="BE106" s="121"/>
      <c r="BF106" s="121"/>
      <c r="BG106" s="121"/>
      <c r="BH106" s="121"/>
      <c r="BI106" s="121"/>
      <c r="BJ106" s="121"/>
      <c r="BK106" s="121"/>
      <c r="BL106" s="121"/>
      <c r="BM106" s="121"/>
      <c r="BN106" s="121"/>
      <c r="BO106" s="121"/>
      <c r="BP106" s="121"/>
      <c r="BQ106" s="121"/>
      <c r="BR106" s="121"/>
      <c r="BS106" s="121"/>
      <c r="BT106" s="121"/>
      <c r="BU106" s="121"/>
      <c r="BV106" s="121"/>
      <c r="BW106" s="121"/>
      <c r="BX106" s="121"/>
      <c r="BY106" s="121"/>
      <c r="BZ106" s="121"/>
      <c r="CA106" s="121"/>
      <c r="CB106" s="121"/>
      <c r="CC106" s="121"/>
      <c r="CD106" s="121"/>
      <c r="CE106" s="121"/>
      <c r="CF106" s="121"/>
    </row>
    <row r="107" spans="1:84" ht="16.5">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c r="AZ107" s="121"/>
      <c r="BA107" s="121"/>
      <c r="BB107" s="121"/>
      <c r="BC107" s="121"/>
      <c r="BD107" s="121"/>
      <c r="BE107" s="121"/>
      <c r="BF107" s="121"/>
      <c r="BG107" s="121"/>
      <c r="BH107" s="121"/>
      <c r="BI107" s="121"/>
      <c r="BJ107" s="121"/>
      <c r="BK107" s="121"/>
      <c r="BL107" s="121"/>
      <c r="BM107" s="121"/>
      <c r="BN107" s="121"/>
      <c r="BO107" s="121"/>
      <c r="BP107" s="121"/>
      <c r="BQ107" s="121"/>
      <c r="BR107" s="121"/>
      <c r="BS107" s="121"/>
      <c r="BT107" s="121"/>
      <c r="BU107" s="121"/>
      <c r="BV107" s="121"/>
      <c r="BW107" s="121"/>
      <c r="BX107" s="121"/>
      <c r="BY107" s="121"/>
      <c r="BZ107" s="121"/>
      <c r="CA107" s="121"/>
      <c r="CB107" s="121"/>
      <c r="CC107" s="121"/>
      <c r="CD107" s="121"/>
      <c r="CE107" s="121"/>
      <c r="CF107" s="121"/>
    </row>
    <row r="108" spans="1:84" ht="16.5">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1"/>
      <c r="AP108" s="121"/>
      <c r="AQ108" s="121"/>
      <c r="AR108" s="121"/>
      <c r="AS108" s="121"/>
      <c r="AT108" s="121"/>
      <c r="AU108" s="121"/>
      <c r="AV108" s="121"/>
      <c r="AW108" s="121"/>
      <c r="AX108" s="121"/>
      <c r="AY108" s="121"/>
      <c r="AZ108" s="121"/>
      <c r="BA108" s="121"/>
      <c r="BB108" s="121"/>
      <c r="BC108" s="121"/>
      <c r="BD108" s="121"/>
      <c r="BE108" s="121"/>
      <c r="BF108" s="121"/>
      <c r="BG108" s="121"/>
      <c r="BH108" s="121"/>
      <c r="BI108" s="121"/>
      <c r="BJ108" s="121"/>
      <c r="BK108" s="121"/>
      <c r="BL108" s="121"/>
      <c r="BM108" s="121"/>
      <c r="BN108" s="121"/>
      <c r="BO108" s="121"/>
      <c r="BP108" s="121"/>
      <c r="BQ108" s="121"/>
      <c r="BR108" s="121"/>
      <c r="BS108" s="121"/>
      <c r="BT108" s="121"/>
      <c r="BU108" s="121"/>
      <c r="BV108" s="121"/>
      <c r="BW108" s="121"/>
      <c r="BX108" s="121"/>
      <c r="BY108" s="121"/>
      <c r="BZ108" s="121"/>
      <c r="CA108" s="121"/>
      <c r="CB108" s="121"/>
      <c r="CC108" s="121"/>
      <c r="CD108" s="121"/>
      <c r="CE108" s="121"/>
      <c r="CF108" s="121"/>
    </row>
    <row r="109" spans="1:84" ht="16.5">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1"/>
      <c r="AS109" s="121"/>
      <c r="AT109" s="121"/>
      <c r="AU109" s="121"/>
      <c r="AV109" s="121"/>
      <c r="AW109" s="121"/>
      <c r="AX109" s="121"/>
      <c r="AY109" s="121"/>
      <c r="AZ109" s="121"/>
      <c r="BA109" s="121"/>
      <c r="BB109" s="121"/>
      <c r="BC109" s="121"/>
      <c r="BD109" s="121"/>
      <c r="BE109" s="121"/>
      <c r="BF109" s="121"/>
      <c r="BG109" s="121"/>
      <c r="BH109" s="121"/>
      <c r="BI109" s="121"/>
      <c r="BJ109" s="121"/>
      <c r="BK109" s="121"/>
      <c r="BL109" s="121"/>
      <c r="BM109" s="121"/>
      <c r="BN109" s="121"/>
      <c r="BO109" s="121"/>
      <c r="BP109" s="121"/>
      <c r="BQ109" s="121"/>
      <c r="BR109" s="121"/>
      <c r="BS109" s="121"/>
      <c r="BT109" s="121"/>
      <c r="BU109" s="121"/>
      <c r="BV109" s="121"/>
      <c r="BW109" s="121"/>
      <c r="BX109" s="121"/>
      <c r="BY109" s="121"/>
      <c r="BZ109" s="121"/>
      <c r="CA109" s="121"/>
      <c r="CB109" s="121"/>
      <c r="CC109" s="121"/>
      <c r="CD109" s="121"/>
      <c r="CE109" s="121"/>
      <c r="CF109" s="121"/>
    </row>
    <row r="110" spans="1:84" ht="16.5">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21"/>
      <c r="AF110" s="121"/>
      <c r="AG110" s="121"/>
      <c r="AH110" s="121"/>
      <c r="AI110" s="121"/>
      <c r="AJ110" s="121"/>
      <c r="AK110" s="121"/>
      <c r="AL110" s="121"/>
      <c r="AM110" s="121"/>
      <c r="AN110" s="121"/>
      <c r="AO110" s="121"/>
      <c r="AP110" s="121"/>
      <c r="AQ110" s="121"/>
      <c r="AR110" s="121"/>
      <c r="AS110" s="121"/>
      <c r="AT110" s="121"/>
      <c r="AU110" s="121"/>
      <c r="AV110" s="121"/>
      <c r="AW110" s="121"/>
      <c r="AX110" s="121"/>
      <c r="AY110" s="121"/>
      <c r="AZ110" s="121"/>
      <c r="BA110" s="121"/>
      <c r="BB110" s="121"/>
      <c r="BC110" s="121"/>
      <c r="BD110" s="121"/>
      <c r="BE110" s="121"/>
      <c r="BF110" s="121"/>
      <c r="BG110" s="121"/>
      <c r="BH110" s="121"/>
      <c r="BI110" s="121"/>
      <c r="BJ110" s="121"/>
      <c r="BK110" s="121"/>
      <c r="BL110" s="121"/>
      <c r="BM110" s="121"/>
      <c r="BN110" s="121"/>
      <c r="BO110" s="121"/>
      <c r="BP110" s="121"/>
      <c r="BQ110" s="121"/>
      <c r="BR110" s="121"/>
      <c r="BS110" s="121"/>
      <c r="BT110" s="121"/>
      <c r="BU110" s="121"/>
      <c r="BV110" s="121"/>
      <c r="BW110" s="121"/>
      <c r="BX110" s="121"/>
      <c r="BY110" s="121"/>
      <c r="BZ110" s="121"/>
      <c r="CA110" s="121"/>
      <c r="CB110" s="121"/>
      <c r="CC110" s="121"/>
      <c r="CD110" s="121"/>
      <c r="CE110" s="121"/>
      <c r="CF110" s="121"/>
    </row>
    <row r="111" spans="1:84" ht="16.5">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1"/>
      <c r="AS111" s="121"/>
      <c r="AT111" s="121"/>
      <c r="AU111" s="121"/>
      <c r="AV111" s="121"/>
      <c r="AW111" s="121"/>
      <c r="AX111" s="121"/>
      <c r="AY111" s="121"/>
      <c r="AZ111" s="121"/>
      <c r="BA111" s="121"/>
      <c r="BB111" s="121"/>
      <c r="BC111" s="121"/>
      <c r="BD111" s="121"/>
      <c r="BE111" s="121"/>
      <c r="BF111" s="121"/>
      <c r="BG111" s="121"/>
      <c r="BH111" s="121"/>
      <c r="BI111" s="121"/>
      <c r="BJ111" s="121"/>
      <c r="BK111" s="121"/>
      <c r="BL111" s="121"/>
      <c r="BM111" s="121"/>
      <c r="BN111" s="121"/>
      <c r="BO111" s="121"/>
      <c r="BP111" s="121"/>
      <c r="BQ111" s="121"/>
      <c r="BR111" s="121"/>
      <c r="BS111" s="121"/>
      <c r="BT111" s="121"/>
      <c r="BU111" s="121"/>
      <c r="BV111" s="121"/>
      <c r="BW111" s="121"/>
      <c r="BX111" s="121"/>
      <c r="BY111" s="121"/>
      <c r="BZ111" s="121"/>
      <c r="CA111" s="121"/>
      <c r="CB111" s="121"/>
      <c r="CC111" s="121"/>
      <c r="CD111" s="121"/>
      <c r="CE111" s="121"/>
      <c r="CF111" s="121"/>
    </row>
    <row r="112" spans="1:84" ht="16.5">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c r="AZ112" s="121"/>
      <c r="BA112" s="121"/>
      <c r="BB112" s="121"/>
      <c r="BC112" s="121"/>
      <c r="BD112" s="121"/>
      <c r="BE112" s="121"/>
      <c r="BF112" s="121"/>
      <c r="BG112" s="121"/>
      <c r="BH112" s="121"/>
      <c r="BI112" s="121"/>
      <c r="BJ112" s="121"/>
      <c r="BK112" s="121"/>
      <c r="BL112" s="121"/>
      <c r="BM112" s="121"/>
      <c r="BN112" s="121"/>
      <c r="BO112" s="121"/>
      <c r="BP112" s="121"/>
      <c r="BQ112" s="121"/>
      <c r="BR112" s="121"/>
      <c r="BS112" s="121"/>
      <c r="BT112" s="121"/>
      <c r="BU112" s="121"/>
      <c r="BV112" s="121"/>
      <c r="BW112" s="121"/>
      <c r="BX112" s="121"/>
      <c r="BY112" s="121"/>
      <c r="BZ112" s="121"/>
      <c r="CA112" s="121"/>
      <c r="CB112" s="121"/>
      <c r="CC112" s="121"/>
      <c r="CD112" s="121"/>
      <c r="CE112" s="121"/>
      <c r="CF112" s="121"/>
    </row>
    <row r="113" spans="1:84" ht="16.5">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c r="BO113" s="121"/>
      <c r="BP113" s="121"/>
      <c r="BQ113" s="121"/>
      <c r="BR113" s="121"/>
      <c r="BS113" s="121"/>
      <c r="BT113" s="121"/>
      <c r="BU113" s="121"/>
      <c r="BV113" s="121"/>
      <c r="BW113" s="121"/>
      <c r="BX113" s="121"/>
      <c r="BY113" s="121"/>
      <c r="BZ113" s="121"/>
      <c r="CA113" s="121"/>
      <c r="CB113" s="121"/>
      <c r="CC113" s="121"/>
      <c r="CD113" s="121"/>
      <c r="CE113" s="121"/>
      <c r="CF113" s="121"/>
    </row>
    <row r="114" spans="1:84" ht="16.5">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c r="AZ114" s="121"/>
      <c r="BA114" s="121"/>
      <c r="BB114" s="121"/>
      <c r="BC114" s="121"/>
      <c r="BD114" s="121"/>
      <c r="BE114" s="121"/>
      <c r="BF114" s="121"/>
      <c r="BG114" s="121"/>
      <c r="BH114" s="121"/>
      <c r="BI114" s="121"/>
      <c r="BJ114" s="121"/>
      <c r="BK114" s="121"/>
      <c r="BL114" s="121"/>
      <c r="BM114" s="121"/>
      <c r="BN114" s="121"/>
      <c r="BO114" s="121"/>
      <c r="BP114" s="121"/>
      <c r="BQ114" s="121"/>
      <c r="BR114" s="121"/>
      <c r="BS114" s="121"/>
      <c r="BT114" s="121"/>
      <c r="BU114" s="121"/>
      <c r="BV114" s="121"/>
      <c r="BW114" s="121"/>
      <c r="BX114" s="121"/>
      <c r="BY114" s="121"/>
      <c r="BZ114" s="121"/>
      <c r="CA114" s="121"/>
      <c r="CB114" s="121"/>
      <c r="CC114" s="121"/>
      <c r="CD114" s="121"/>
      <c r="CE114" s="121"/>
      <c r="CF114" s="121"/>
    </row>
    <row r="115" spans="1:84" ht="16.5">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c r="AZ115" s="121"/>
      <c r="BA115" s="121"/>
      <c r="BB115" s="121"/>
      <c r="BC115" s="121"/>
      <c r="BD115" s="121"/>
      <c r="BE115" s="121"/>
      <c r="BF115" s="121"/>
      <c r="BG115" s="121"/>
      <c r="BH115" s="121"/>
      <c r="BI115" s="121"/>
      <c r="BJ115" s="121"/>
      <c r="BK115" s="121"/>
      <c r="BL115" s="121"/>
      <c r="BM115" s="121"/>
      <c r="BN115" s="121"/>
      <c r="BO115" s="121"/>
      <c r="BP115" s="121"/>
      <c r="BQ115" s="121"/>
      <c r="BR115" s="121"/>
      <c r="BS115" s="121"/>
      <c r="BT115" s="121"/>
      <c r="BU115" s="121"/>
      <c r="BV115" s="121"/>
      <c r="BW115" s="121"/>
      <c r="BX115" s="121"/>
      <c r="BY115" s="121"/>
      <c r="BZ115" s="121"/>
      <c r="CA115" s="121"/>
      <c r="CB115" s="121"/>
      <c r="CC115" s="121"/>
      <c r="CD115" s="121"/>
      <c r="CE115" s="121"/>
      <c r="CF115" s="121"/>
    </row>
    <row r="116" spans="1:84" ht="16.5">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1"/>
      <c r="BA116" s="121"/>
      <c r="BB116" s="121"/>
      <c r="BC116" s="121"/>
      <c r="BD116" s="121"/>
      <c r="BE116" s="121"/>
      <c r="BF116" s="121"/>
      <c r="BG116" s="121"/>
      <c r="BH116" s="121"/>
      <c r="BI116" s="121"/>
      <c r="BJ116" s="121"/>
      <c r="BK116" s="121"/>
      <c r="BL116" s="121"/>
      <c r="BM116" s="121"/>
      <c r="BN116" s="121"/>
      <c r="BO116" s="121"/>
      <c r="BP116" s="121"/>
      <c r="BQ116" s="121"/>
      <c r="BR116" s="121"/>
      <c r="BS116" s="121"/>
      <c r="BT116" s="121"/>
      <c r="BU116" s="121"/>
      <c r="BV116" s="121"/>
      <c r="BW116" s="121"/>
      <c r="BX116" s="121"/>
      <c r="BY116" s="121"/>
      <c r="BZ116" s="121"/>
      <c r="CA116" s="121"/>
      <c r="CB116" s="121"/>
      <c r="CC116" s="121"/>
      <c r="CD116" s="121"/>
      <c r="CE116" s="121"/>
      <c r="CF116" s="121"/>
    </row>
    <row r="117" spans="1:84" ht="16.5">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c r="AI117" s="121"/>
      <c r="AJ117" s="121"/>
      <c r="AK117" s="121"/>
      <c r="AL117" s="121"/>
      <c r="AM117" s="121"/>
      <c r="AN117" s="121"/>
      <c r="AO117" s="121"/>
      <c r="AP117" s="121"/>
      <c r="AQ117" s="121"/>
      <c r="AR117" s="121"/>
      <c r="AS117" s="121"/>
      <c r="AT117" s="121"/>
      <c r="AU117" s="121"/>
      <c r="AV117" s="121"/>
      <c r="AW117" s="121"/>
      <c r="AX117" s="121"/>
      <c r="AY117" s="121"/>
      <c r="AZ117" s="121"/>
      <c r="BA117" s="121"/>
      <c r="BB117" s="121"/>
      <c r="BC117" s="121"/>
      <c r="BD117" s="121"/>
      <c r="BE117" s="121"/>
      <c r="BF117" s="121"/>
      <c r="BG117" s="121"/>
      <c r="BH117" s="121"/>
      <c r="BI117" s="121"/>
      <c r="BJ117" s="121"/>
      <c r="BK117" s="121"/>
      <c r="BL117" s="121"/>
      <c r="BM117" s="121"/>
      <c r="BN117" s="121"/>
      <c r="BO117" s="121"/>
      <c r="BP117" s="121"/>
      <c r="BQ117" s="121"/>
      <c r="BR117" s="121"/>
      <c r="BS117" s="121"/>
      <c r="BT117" s="121"/>
      <c r="BU117" s="121"/>
      <c r="BV117" s="121"/>
      <c r="BW117" s="121"/>
      <c r="BX117" s="121"/>
      <c r="BY117" s="121"/>
      <c r="BZ117" s="121"/>
      <c r="CA117" s="121"/>
      <c r="CB117" s="121"/>
      <c r="CC117" s="121"/>
      <c r="CD117" s="121"/>
      <c r="CE117" s="121"/>
      <c r="CF117" s="121"/>
    </row>
    <row r="118" spans="1:84" ht="16.5">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c r="AE118" s="121"/>
      <c r="AF118" s="121"/>
      <c r="AG118" s="121"/>
      <c r="AH118" s="121"/>
      <c r="AI118" s="121"/>
      <c r="AJ118" s="121"/>
      <c r="AK118" s="121"/>
      <c r="AL118" s="121"/>
      <c r="AM118" s="121"/>
      <c r="AN118" s="121"/>
      <c r="AO118" s="121"/>
      <c r="AP118" s="121"/>
      <c r="AQ118" s="121"/>
      <c r="AR118" s="121"/>
      <c r="AS118" s="121"/>
      <c r="AT118" s="121"/>
      <c r="AU118" s="121"/>
      <c r="AV118" s="121"/>
      <c r="AW118" s="121"/>
      <c r="AX118" s="121"/>
      <c r="AY118" s="121"/>
      <c r="AZ118" s="121"/>
      <c r="BA118" s="121"/>
      <c r="BB118" s="121"/>
      <c r="BC118" s="121"/>
      <c r="BD118" s="121"/>
      <c r="BE118" s="121"/>
      <c r="BF118" s="121"/>
      <c r="BG118" s="121"/>
      <c r="BH118" s="121"/>
      <c r="BI118" s="121"/>
      <c r="BJ118" s="121"/>
      <c r="BK118" s="121"/>
      <c r="BL118" s="121"/>
      <c r="BM118" s="121"/>
      <c r="BN118" s="121"/>
      <c r="BO118" s="121"/>
      <c r="BP118" s="121"/>
      <c r="BQ118" s="121"/>
      <c r="BR118" s="121"/>
      <c r="BS118" s="121"/>
      <c r="BT118" s="121"/>
      <c r="BU118" s="121"/>
      <c r="BV118" s="121"/>
      <c r="BW118" s="121"/>
      <c r="BX118" s="121"/>
      <c r="BY118" s="121"/>
      <c r="BZ118" s="121"/>
      <c r="CA118" s="121"/>
      <c r="CB118" s="121"/>
      <c r="CC118" s="121"/>
      <c r="CD118" s="121"/>
      <c r="CE118" s="121"/>
      <c r="CF118" s="121"/>
    </row>
    <row r="119" spans="1:84" ht="16.5">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1"/>
      <c r="AP119" s="121"/>
      <c r="AQ119" s="121"/>
      <c r="AR119" s="121"/>
      <c r="AS119" s="121"/>
      <c r="AT119" s="121"/>
      <c r="AU119" s="121"/>
      <c r="AV119" s="121"/>
      <c r="AW119" s="121"/>
      <c r="AX119" s="121"/>
      <c r="AY119" s="121"/>
      <c r="AZ119" s="121"/>
      <c r="BA119" s="121"/>
      <c r="BB119" s="121"/>
      <c r="BC119" s="121"/>
      <c r="BD119" s="121"/>
      <c r="BE119" s="121"/>
      <c r="BF119" s="121"/>
      <c r="BG119" s="121"/>
      <c r="BH119" s="121"/>
      <c r="BI119" s="121"/>
      <c r="BJ119" s="121"/>
      <c r="BK119" s="121"/>
      <c r="BL119" s="121"/>
      <c r="BM119" s="121"/>
      <c r="BN119" s="121"/>
      <c r="BO119" s="121"/>
      <c r="BP119" s="121"/>
      <c r="BQ119" s="121"/>
      <c r="BR119" s="121"/>
      <c r="BS119" s="121"/>
      <c r="BT119" s="121"/>
      <c r="BU119" s="121"/>
      <c r="BV119" s="121"/>
      <c r="BW119" s="121"/>
      <c r="BX119" s="121"/>
      <c r="BY119" s="121"/>
      <c r="BZ119" s="121"/>
      <c r="CA119" s="121"/>
      <c r="CB119" s="121"/>
      <c r="CC119" s="121"/>
      <c r="CD119" s="121"/>
      <c r="CE119" s="121"/>
      <c r="CF119" s="121"/>
    </row>
    <row r="120" spans="1:84" ht="16.5">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c r="AI120" s="121"/>
      <c r="AJ120" s="121"/>
      <c r="AK120" s="121"/>
      <c r="AL120" s="121"/>
      <c r="AM120" s="121"/>
      <c r="AN120" s="121"/>
      <c r="AO120" s="121"/>
      <c r="AP120" s="121"/>
      <c r="AQ120" s="121"/>
      <c r="AR120" s="121"/>
      <c r="AS120" s="121"/>
      <c r="AT120" s="121"/>
      <c r="AU120" s="121"/>
      <c r="AV120" s="121"/>
      <c r="AW120" s="121"/>
      <c r="AX120" s="121"/>
      <c r="AY120" s="121"/>
      <c r="AZ120" s="121"/>
      <c r="BA120" s="121"/>
      <c r="BB120" s="121"/>
      <c r="BC120" s="121"/>
      <c r="BD120" s="121"/>
      <c r="BE120" s="121"/>
      <c r="BF120" s="121"/>
      <c r="BG120" s="121"/>
      <c r="BH120" s="121"/>
      <c r="BI120" s="121"/>
      <c r="BJ120" s="121"/>
      <c r="BK120" s="121"/>
      <c r="BL120" s="121"/>
      <c r="BM120" s="121"/>
      <c r="BN120" s="121"/>
      <c r="BO120" s="121"/>
      <c r="BP120" s="121"/>
      <c r="BQ120" s="121"/>
      <c r="BR120" s="121"/>
      <c r="BS120" s="121"/>
      <c r="BT120" s="121"/>
      <c r="BU120" s="121"/>
      <c r="BV120" s="121"/>
      <c r="BW120" s="121"/>
      <c r="BX120" s="121"/>
      <c r="BY120" s="121"/>
      <c r="BZ120" s="121"/>
      <c r="CA120" s="121"/>
      <c r="CB120" s="121"/>
      <c r="CC120" s="121"/>
      <c r="CD120" s="121"/>
      <c r="CE120" s="121"/>
      <c r="CF120" s="121"/>
    </row>
    <row r="121" spans="1:84" ht="16.5">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1"/>
      <c r="AY121" s="121"/>
      <c r="AZ121" s="121"/>
      <c r="BA121" s="121"/>
      <c r="BB121" s="121"/>
      <c r="BC121" s="121"/>
      <c r="BD121" s="121"/>
      <c r="BE121" s="121"/>
      <c r="BF121" s="121"/>
      <c r="BG121" s="121"/>
      <c r="BH121" s="121"/>
      <c r="BI121" s="121"/>
      <c r="BJ121" s="121"/>
      <c r="BK121" s="121"/>
      <c r="BL121" s="121"/>
      <c r="BM121" s="121"/>
      <c r="BN121" s="121"/>
      <c r="BO121" s="121"/>
      <c r="BP121" s="121"/>
      <c r="BQ121" s="121"/>
      <c r="BR121" s="121"/>
      <c r="BS121" s="121"/>
      <c r="BT121" s="121"/>
      <c r="BU121" s="121"/>
      <c r="BV121" s="121"/>
      <c r="BW121" s="121"/>
      <c r="BX121" s="121"/>
      <c r="BY121" s="121"/>
      <c r="BZ121" s="121"/>
      <c r="CA121" s="121"/>
      <c r="CB121" s="121"/>
      <c r="CC121" s="121"/>
      <c r="CD121" s="121"/>
      <c r="CE121" s="121"/>
      <c r="CF121" s="121"/>
    </row>
    <row r="122" spans="1:84" ht="16.5">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1"/>
      <c r="AP122" s="121"/>
      <c r="AQ122" s="121"/>
      <c r="AR122" s="121"/>
      <c r="AS122" s="121"/>
      <c r="AT122" s="121"/>
      <c r="AU122" s="121"/>
      <c r="AV122" s="121"/>
      <c r="AW122" s="121"/>
      <c r="AX122" s="121"/>
      <c r="AY122" s="121"/>
      <c r="AZ122" s="121"/>
      <c r="BA122" s="121"/>
      <c r="BB122" s="121"/>
      <c r="BC122" s="121"/>
      <c r="BD122" s="121"/>
      <c r="BE122" s="121"/>
      <c r="BF122" s="121"/>
      <c r="BG122" s="121"/>
      <c r="BH122" s="121"/>
      <c r="BI122" s="121"/>
      <c r="BJ122" s="121"/>
      <c r="BK122" s="121"/>
      <c r="BL122" s="121"/>
      <c r="BM122" s="121"/>
      <c r="BN122" s="121"/>
      <c r="BO122" s="121"/>
      <c r="BP122" s="121"/>
      <c r="BQ122" s="121"/>
      <c r="BR122" s="121"/>
      <c r="BS122" s="121"/>
      <c r="BT122" s="121"/>
      <c r="BU122" s="121"/>
      <c r="BV122" s="121"/>
      <c r="BW122" s="121"/>
      <c r="BX122" s="121"/>
      <c r="BY122" s="121"/>
      <c r="BZ122" s="121"/>
      <c r="CA122" s="121"/>
      <c r="CB122" s="121"/>
      <c r="CC122" s="121"/>
      <c r="CD122" s="121"/>
      <c r="CE122" s="121"/>
      <c r="CF122" s="121"/>
    </row>
    <row r="123" spans="1:84" ht="16.5">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1"/>
      <c r="AJ123" s="121"/>
      <c r="AK123" s="121"/>
      <c r="AL123" s="121"/>
      <c r="AM123" s="121"/>
      <c r="AN123" s="121"/>
      <c r="AO123" s="121"/>
      <c r="AP123" s="121"/>
      <c r="AQ123" s="121"/>
      <c r="AR123" s="121"/>
      <c r="AS123" s="121"/>
      <c r="AT123" s="121"/>
      <c r="AU123" s="121"/>
      <c r="AV123" s="121"/>
      <c r="AW123" s="121"/>
      <c r="AX123" s="121"/>
      <c r="AY123" s="121"/>
      <c r="AZ123" s="121"/>
      <c r="BA123" s="121"/>
      <c r="BB123" s="121"/>
      <c r="BC123" s="121"/>
      <c r="BD123" s="121"/>
      <c r="BE123" s="121"/>
      <c r="BF123" s="121"/>
      <c r="BG123" s="121"/>
      <c r="BH123" s="121"/>
      <c r="BI123" s="121"/>
      <c r="BJ123" s="121"/>
      <c r="BK123" s="121"/>
      <c r="BL123" s="121"/>
      <c r="BM123" s="121"/>
      <c r="BN123" s="121"/>
      <c r="BO123" s="121"/>
      <c r="BP123" s="121"/>
      <c r="BQ123" s="121"/>
      <c r="BR123" s="121"/>
      <c r="BS123" s="121"/>
      <c r="BT123" s="121"/>
      <c r="BU123" s="121"/>
      <c r="BV123" s="121"/>
      <c r="BW123" s="121"/>
      <c r="BX123" s="121"/>
      <c r="BY123" s="121"/>
      <c r="BZ123" s="121"/>
      <c r="CA123" s="121"/>
      <c r="CB123" s="121"/>
      <c r="CC123" s="121"/>
      <c r="CD123" s="121"/>
      <c r="CE123" s="121"/>
      <c r="CF123" s="121"/>
    </row>
    <row r="124" spans="1:84" ht="16.5">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1"/>
      <c r="AP124" s="121"/>
      <c r="AQ124" s="121"/>
      <c r="AR124" s="121"/>
      <c r="AS124" s="121"/>
      <c r="AT124" s="121"/>
      <c r="AU124" s="121"/>
      <c r="AV124" s="121"/>
      <c r="AW124" s="121"/>
      <c r="AX124" s="121"/>
      <c r="AY124" s="121"/>
      <c r="AZ124" s="121"/>
      <c r="BA124" s="121"/>
      <c r="BB124" s="121"/>
      <c r="BC124" s="121"/>
      <c r="BD124" s="121"/>
      <c r="BE124" s="121"/>
      <c r="BF124" s="121"/>
      <c r="BG124" s="121"/>
      <c r="BH124" s="121"/>
      <c r="BI124" s="121"/>
      <c r="BJ124" s="121"/>
      <c r="BK124" s="121"/>
      <c r="BL124" s="121"/>
      <c r="BM124" s="121"/>
      <c r="BN124" s="121"/>
      <c r="BO124" s="121"/>
      <c r="BP124" s="121"/>
      <c r="BQ124" s="121"/>
      <c r="BR124" s="121"/>
      <c r="BS124" s="121"/>
      <c r="BT124" s="121"/>
      <c r="BU124" s="121"/>
      <c r="BV124" s="121"/>
      <c r="BW124" s="121"/>
      <c r="BX124" s="121"/>
      <c r="BY124" s="121"/>
      <c r="BZ124" s="121"/>
      <c r="CA124" s="121"/>
      <c r="CB124" s="121"/>
      <c r="CC124" s="121"/>
      <c r="CD124" s="121"/>
      <c r="CE124" s="121"/>
      <c r="CF124" s="121"/>
    </row>
    <row r="125" spans="1:84" ht="16.5">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c r="AI125" s="121"/>
      <c r="AJ125" s="121"/>
      <c r="AK125" s="121"/>
      <c r="AL125" s="121"/>
      <c r="AM125" s="121"/>
      <c r="AN125" s="121"/>
      <c r="AO125" s="121"/>
      <c r="AP125" s="121"/>
      <c r="AQ125" s="121"/>
      <c r="AR125" s="121"/>
      <c r="AS125" s="121"/>
      <c r="AT125" s="121"/>
      <c r="AU125" s="121"/>
      <c r="AV125" s="121"/>
      <c r="AW125" s="121"/>
      <c r="AX125" s="121"/>
      <c r="AY125" s="121"/>
      <c r="AZ125" s="121"/>
      <c r="BA125" s="121"/>
      <c r="BB125" s="121"/>
      <c r="BC125" s="121"/>
      <c r="BD125" s="121"/>
      <c r="BE125" s="121"/>
      <c r="BF125" s="121"/>
      <c r="BG125" s="121"/>
      <c r="BH125" s="121"/>
      <c r="BI125" s="121"/>
      <c r="BJ125" s="121"/>
      <c r="BK125" s="121"/>
      <c r="BL125" s="121"/>
      <c r="BM125" s="121"/>
      <c r="BN125" s="121"/>
      <c r="BO125" s="121"/>
      <c r="BP125" s="121"/>
      <c r="BQ125" s="121"/>
      <c r="BR125" s="121"/>
      <c r="BS125" s="121"/>
      <c r="BT125" s="121"/>
      <c r="BU125" s="121"/>
      <c r="BV125" s="121"/>
      <c r="BW125" s="121"/>
      <c r="BX125" s="121"/>
      <c r="BY125" s="121"/>
      <c r="BZ125" s="121"/>
      <c r="CA125" s="121"/>
      <c r="CB125" s="121"/>
      <c r="CC125" s="121"/>
      <c r="CD125" s="121"/>
      <c r="CE125" s="121"/>
      <c r="CF125" s="121"/>
    </row>
    <row r="126" spans="1:84" ht="16.5">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c r="AZ126" s="121"/>
      <c r="BA126" s="121"/>
      <c r="BB126" s="121"/>
      <c r="BC126" s="121"/>
      <c r="BD126" s="121"/>
      <c r="BE126" s="121"/>
      <c r="BF126" s="121"/>
      <c r="BG126" s="121"/>
      <c r="BH126" s="121"/>
      <c r="BI126" s="121"/>
      <c r="BJ126" s="121"/>
      <c r="BK126" s="121"/>
      <c r="BL126" s="121"/>
      <c r="BM126" s="121"/>
      <c r="BN126" s="121"/>
      <c r="BO126" s="121"/>
      <c r="BP126" s="121"/>
      <c r="BQ126" s="121"/>
      <c r="BR126" s="121"/>
      <c r="BS126" s="121"/>
      <c r="BT126" s="121"/>
      <c r="BU126" s="121"/>
      <c r="BV126" s="121"/>
      <c r="BW126" s="121"/>
      <c r="BX126" s="121"/>
      <c r="BY126" s="121"/>
      <c r="BZ126" s="121"/>
      <c r="CA126" s="121"/>
      <c r="CB126" s="121"/>
      <c r="CC126" s="121"/>
      <c r="CD126" s="121"/>
      <c r="CE126" s="121"/>
      <c r="CF126" s="121"/>
    </row>
    <row r="127" spans="1:84" ht="16.5">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c r="AZ127" s="121"/>
      <c r="BA127" s="121"/>
      <c r="BB127" s="121"/>
      <c r="BC127" s="121"/>
      <c r="BD127" s="121"/>
      <c r="BE127" s="121"/>
      <c r="BF127" s="121"/>
      <c r="BG127" s="121"/>
      <c r="BH127" s="121"/>
      <c r="BI127" s="121"/>
      <c r="BJ127" s="121"/>
      <c r="BK127" s="121"/>
      <c r="BL127" s="121"/>
      <c r="BM127" s="121"/>
      <c r="BN127" s="121"/>
      <c r="BO127" s="121"/>
      <c r="BP127" s="121"/>
      <c r="BQ127" s="121"/>
      <c r="BR127" s="121"/>
      <c r="BS127" s="121"/>
      <c r="BT127" s="121"/>
      <c r="BU127" s="121"/>
      <c r="BV127" s="121"/>
      <c r="BW127" s="121"/>
      <c r="BX127" s="121"/>
      <c r="BY127" s="121"/>
      <c r="BZ127" s="121"/>
      <c r="CA127" s="121"/>
      <c r="CB127" s="121"/>
      <c r="CC127" s="121"/>
      <c r="CD127" s="121"/>
      <c r="CE127" s="121"/>
      <c r="CF127" s="121"/>
    </row>
    <row r="128" spans="1:84" ht="16.5">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21"/>
      <c r="BB128" s="121"/>
      <c r="BC128" s="121"/>
      <c r="BD128" s="121"/>
      <c r="BE128" s="121"/>
      <c r="BF128" s="121"/>
      <c r="BG128" s="121"/>
      <c r="BH128" s="121"/>
      <c r="BI128" s="121"/>
      <c r="BJ128" s="121"/>
      <c r="BK128" s="121"/>
      <c r="BL128" s="121"/>
      <c r="BM128" s="121"/>
      <c r="BN128" s="121"/>
      <c r="BO128" s="121"/>
      <c r="BP128" s="121"/>
      <c r="BQ128" s="121"/>
      <c r="BR128" s="121"/>
      <c r="BS128" s="121"/>
      <c r="BT128" s="121"/>
      <c r="BU128" s="121"/>
      <c r="BV128" s="121"/>
      <c r="BW128" s="121"/>
      <c r="BX128" s="121"/>
      <c r="BY128" s="121"/>
      <c r="BZ128" s="121"/>
      <c r="CA128" s="121"/>
      <c r="CB128" s="121"/>
      <c r="CC128" s="121"/>
      <c r="CD128" s="121"/>
      <c r="CE128" s="121"/>
      <c r="CF128" s="121"/>
    </row>
    <row r="129" spans="1:84" ht="16.5">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1"/>
      <c r="AS129" s="121"/>
      <c r="AT129" s="121"/>
      <c r="AU129" s="121"/>
      <c r="AV129" s="121"/>
      <c r="AW129" s="121"/>
      <c r="AX129" s="121"/>
      <c r="AY129" s="121"/>
      <c r="AZ129" s="121"/>
      <c r="BA129" s="121"/>
      <c r="BB129" s="121"/>
      <c r="BC129" s="121"/>
      <c r="BD129" s="121"/>
      <c r="BE129" s="121"/>
      <c r="BF129" s="121"/>
      <c r="BG129" s="121"/>
      <c r="BH129" s="121"/>
      <c r="BI129" s="121"/>
      <c r="BJ129" s="121"/>
      <c r="BK129" s="121"/>
      <c r="BL129" s="121"/>
      <c r="BM129" s="121"/>
      <c r="BN129" s="121"/>
      <c r="BO129" s="121"/>
      <c r="BP129" s="121"/>
      <c r="BQ129" s="121"/>
      <c r="BR129" s="121"/>
      <c r="BS129" s="121"/>
      <c r="BT129" s="121"/>
      <c r="BU129" s="121"/>
      <c r="BV129" s="121"/>
      <c r="BW129" s="121"/>
      <c r="BX129" s="121"/>
      <c r="BY129" s="121"/>
      <c r="BZ129" s="121"/>
      <c r="CA129" s="121"/>
      <c r="CB129" s="121"/>
      <c r="CC129" s="121"/>
      <c r="CD129" s="121"/>
      <c r="CE129" s="121"/>
      <c r="CF129" s="121"/>
    </row>
    <row r="130" spans="1:84" ht="16.5">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1"/>
      <c r="AP130" s="121"/>
      <c r="AQ130" s="121"/>
      <c r="AR130" s="121"/>
      <c r="AS130" s="121"/>
      <c r="AT130" s="121"/>
      <c r="AU130" s="121"/>
      <c r="AV130" s="121"/>
      <c r="AW130" s="121"/>
      <c r="AX130" s="121"/>
      <c r="AY130" s="121"/>
      <c r="AZ130" s="121"/>
      <c r="BA130" s="121"/>
      <c r="BB130" s="121"/>
      <c r="BC130" s="121"/>
      <c r="BD130" s="121"/>
      <c r="BE130" s="121"/>
      <c r="BF130" s="121"/>
      <c r="BG130" s="121"/>
      <c r="BH130" s="121"/>
      <c r="BI130" s="121"/>
      <c r="BJ130" s="121"/>
      <c r="BK130" s="121"/>
      <c r="BL130" s="121"/>
      <c r="BM130" s="121"/>
      <c r="BN130" s="121"/>
      <c r="BO130" s="121"/>
      <c r="BP130" s="121"/>
      <c r="BQ130" s="121"/>
      <c r="BR130" s="121"/>
      <c r="BS130" s="121"/>
      <c r="BT130" s="121"/>
      <c r="BU130" s="121"/>
      <c r="BV130" s="121"/>
      <c r="BW130" s="121"/>
      <c r="BX130" s="121"/>
      <c r="BY130" s="121"/>
      <c r="BZ130" s="121"/>
      <c r="CA130" s="121"/>
      <c r="CB130" s="121"/>
      <c r="CC130" s="121"/>
      <c r="CD130" s="121"/>
      <c r="CE130" s="121"/>
      <c r="CF130" s="121"/>
    </row>
    <row r="131" spans="1:84" ht="16.5">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1"/>
      <c r="AP131" s="121"/>
      <c r="AQ131" s="121"/>
      <c r="AR131" s="121"/>
      <c r="AS131" s="121"/>
      <c r="AT131" s="121"/>
      <c r="AU131" s="121"/>
      <c r="AV131" s="121"/>
      <c r="AW131" s="121"/>
      <c r="AX131" s="121"/>
      <c r="AY131" s="121"/>
      <c r="AZ131" s="121"/>
      <c r="BA131" s="121"/>
      <c r="BB131" s="121"/>
      <c r="BC131" s="121"/>
      <c r="BD131" s="121"/>
      <c r="BE131" s="121"/>
      <c r="BF131" s="121"/>
      <c r="BG131" s="121"/>
      <c r="BH131" s="121"/>
      <c r="BI131" s="121"/>
      <c r="BJ131" s="121"/>
      <c r="BK131" s="121"/>
      <c r="BL131" s="121"/>
      <c r="BM131" s="121"/>
      <c r="BN131" s="121"/>
      <c r="BO131" s="121"/>
      <c r="BP131" s="121"/>
      <c r="BQ131" s="121"/>
      <c r="BR131" s="121"/>
      <c r="BS131" s="121"/>
      <c r="BT131" s="121"/>
      <c r="BU131" s="121"/>
      <c r="BV131" s="121"/>
      <c r="BW131" s="121"/>
      <c r="BX131" s="121"/>
      <c r="BY131" s="121"/>
      <c r="BZ131" s="121"/>
      <c r="CA131" s="121"/>
      <c r="CB131" s="121"/>
      <c r="CC131" s="121"/>
      <c r="CD131" s="121"/>
      <c r="CE131" s="121"/>
      <c r="CF131" s="121"/>
    </row>
  </sheetData>
  <sheetProtection sheet="1"/>
  <customSheetViews>
    <customSheetView guid="{D1431318-1DB8-4C45-813B-5A8065DFC797}" showPageBreaks="1" printArea="1" view="pageBreakPreview">
      <selection activeCell="E3" sqref="E3:G3"/>
      <pageMargins left="0" right="0" top="0" bottom="0" header="0" footer="0"/>
      <printOptions horizontalCentered="1"/>
      <pageSetup orientation="portrait" blackAndWhite="1" r:id="rId1"/>
      <headerFooter alignWithMargins="0"/>
    </customSheetView>
  </customSheetViews>
  <mergeCells count="11">
    <mergeCell ref="B1:D1"/>
    <mergeCell ref="E7:G9"/>
    <mergeCell ref="A10:G10"/>
    <mergeCell ref="A11:B11"/>
    <mergeCell ref="E3:G3"/>
    <mergeCell ref="E5:G5"/>
    <mergeCell ref="E11:G11"/>
    <mergeCell ref="A7:A9"/>
    <mergeCell ref="A4:G4"/>
    <mergeCell ref="A6:G6"/>
    <mergeCell ref="F2:G2"/>
  </mergeCells>
  <phoneticPr fontId="26" type="noConversion"/>
  <printOptions horizontalCentered="1"/>
  <pageMargins left="0.25" right="0.25" top="0.5" bottom="1" header="0.5" footer="0.5"/>
  <pageSetup orientation="portrait" blackAndWhite="1" r:id="rId2"/>
  <headerFooter alignWithMargins="0"/>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2875-312E-4C58-A2BE-297EC3486AC4}">
  <sheetPr codeName="Sheet6">
    <tabColor rgb="FFC00000"/>
    <pageSetUpPr fitToPage="1"/>
  </sheetPr>
  <dimension ref="A1:AS311"/>
  <sheetViews>
    <sheetView view="pageBreakPreview" zoomScaleNormal="100" zoomScaleSheetLayoutView="100" workbookViewId="0">
      <selection activeCell="C4" sqref="C4:E4"/>
    </sheetView>
  </sheetViews>
  <sheetFormatPr defaultColWidth="9.140625" defaultRowHeight="15"/>
  <cols>
    <col min="1" max="1" width="10.42578125" style="613" customWidth="1"/>
    <col min="2" max="2" width="11.42578125" style="613" customWidth="1"/>
    <col min="3" max="3" width="7.85546875" style="613" customWidth="1"/>
    <col min="4" max="7" width="7.42578125" style="613" customWidth="1"/>
    <col min="8" max="8" width="14" style="613" customWidth="1"/>
    <col min="9" max="9" width="11.140625" style="613" customWidth="1"/>
    <col min="10" max="10" width="11.42578125" style="613" customWidth="1"/>
    <col min="11" max="11" width="14.7109375" style="613" customWidth="1"/>
    <col min="12" max="12" width="12.7109375" style="613" customWidth="1"/>
    <col min="13" max="13" width="9.140625" style="613"/>
    <col min="14" max="14" width="13.140625" style="614" customWidth="1"/>
    <col min="15" max="15" width="7.85546875" style="614" customWidth="1"/>
    <col min="16" max="27" width="9.140625" style="614"/>
    <col min="28" max="16384" width="9.140625" style="613"/>
  </cols>
  <sheetData>
    <row r="1" spans="1:45" ht="45.75" customHeight="1" thickBot="1">
      <c r="B1" s="1623"/>
      <c r="C1" s="2503" t="s">
        <v>682</v>
      </c>
      <c r="D1" s="2503"/>
      <c r="E1" s="2503"/>
      <c r="F1" s="2503"/>
      <c r="G1" s="2503"/>
      <c r="H1" s="2503"/>
      <c r="I1" s="1139" t="s">
        <v>551</v>
      </c>
      <c r="J1" s="2504" t="str">
        <f>IF(ISBLANK(Prelim!S5)," ",Prelim!S5)</f>
        <v xml:space="preserve"> </v>
      </c>
      <c r="K1" s="2504"/>
      <c r="L1" s="2504" t="str">
        <f>'Drop-Down Lists'!A2</f>
        <v>v 05.01.2026</v>
      </c>
      <c r="M1" s="2504"/>
      <c r="AB1" s="615"/>
      <c r="AC1" s="615"/>
      <c r="AD1" s="615"/>
      <c r="AE1" s="615"/>
      <c r="AF1" s="615"/>
      <c r="AG1" s="615"/>
      <c r="AH1" s="615"/>
      <c r="AI1" s="615"/>
      <c r="AJ1" s="615"/>
      <c r="AK1" s="615"/>
      <c r="AL1" s="615"/>
      <c r="AM1" s="615"/>
      <c r="AN1" s="615"/>
      <c r="AO1" s="615"/>
      <c r="AP1" s="615"/>
      <c r="AQ1" s="615"/>
      <c r="AR1" s="615"/>
      <c r="AS1" s="615"/>
    </row>
    <row r="2" spans="1:45" ht="18" customHeight="1">
      <c r="A2" s="1188" t="s">
        <v>683</v>
      </c>
      <c r="B2" s="2505" t="str">
        <f>IF(ISBLANK(Prelim!G3),"  ", Prelim!G3)</f>
        <v xml:space="preserve">  </v>
      </c>
      <c r="C2" s="2505"/>
      <c r="D2" s="2505"/>
      <c r="E2" s="2505"/>
      <c r="F2" s="2505"/>
      <c r="G2" s="2505"/>
      <c r="H2" s="2506" t="s">
        <v>684</v>
      </c>
      <c r="I2" s="2507"/>
      <c r="J2" s="2508" t="str">
        <f>IF(ISBLANK(Prelim!G5), " ", Prelim!G5)</f>
        <v xml:space="preserve"> </v>
      </c>
      <c r="K2" s="2508"/>
      <c r="L2" s="2508"/>
      <c r="M2" s="2509"/>
      <c r="AB2" s="615"/>
      <c r="AC2" s="615"/>
      <c r="AD2" s="615"/>
      <c r="AE2" s="615"/>
      <c r="AF2" s="615"/>
      <c r="AG2" s="615"/>
      <c r="AH2" s="615"/>
      <c r="AI2" s="615"/>
      <c r="AJ2" s="615"/>
      <c r="AK2" s="615"/>
      <c r="AL2" s="615"/>
      <c r="AM2" s="615"/>
      <c r="AN2" s="615"/>
      <c r="AO2" s="615"/>
      <c r="AP2" s="615"/>
      <c r="AQ2" s="615"/>
      <c r="AR2" s="615"/>
      <c r="AS2" s="615"/>
    </row>
    <row r="3" spans="1:45" ht="20.100000000000001" customHeight="1">
      <c r="A3" s="1140" t="s">
        <v>685</v>
      </c>
      <c r="M3" s="1141"/>
      <c r="AB3" s="615"/>
      <c r="AC3" s="615"/>
      <c r="AD3" s="615"/>
      <c r="AE3" s="615"/>
      <c r="AF3" s="615"/>
      <c r="AG3" s="615"/>
      <c r="AH3" s="615"/>
      <c r="AI3" s="615"/>
      <c r="AJ3" s="615"/>
      <c r="AK3" s="615"/>
      <c r="AL3" s="615"/>
      <c r="AM3" s="615"/>
      <c r="AN3" s="615"/>
      <c r="AO3" s="615"/>
      <c r="AP3" s="615"/>
      <c r="AQ3" s="615"/>
      <c r="AR3" s="615"/>
      <c r="AS3" s="615"/>
    </row>
    <row r="4" spans="1:45" ht="19.5" customHeight="1">
      <c r="A4" s="2517" t="s">
        <v>686</v>
      </c>
      <c r="B4" s="2518"/>
      <c r="C4" s="2519"/>
      <c r="D4" s="2519"/>
      <c r="E4" s="2520"/>
      <c r="F4" s="1142" t="s">
        <v>687</v>
      </c>
      <c r="G4" s="1143"/>
      <c r="H4" s="1624" t="s">
        <v>650</v>
      </c>
      <c r="I4" s="2510"/>
      <c r="J4" s="2511"/>
      <c r="K4" s="2513" t="s">
        <v>688</v>
      </c>
      <c r="L4" s="2513"/>
      <c r="M4" s="1219"/>
      <c r="P4" s="2521"/>
      <c r="Q4" s="2521"/>
      <c r="R4" s="1621"/>
      <c r="S4" s="613"/>
      <c r="T4" s="613"/>
      <c r="AB4" s="615"/>
      <c r="AC4" s="615"/>
      <c r="AD4" s="615"/>
      <c r="AE4" s="615"/>
      <c r="AF4" s="615"/>
      <c r="AG4" s="615"/>
      <c r="AH4" s="615"/>
      <c r="AI4" s="615"/>
      <c r="AJ4" s="615"/>
      <c r="AK4" s="615"/>
      <c r="AL4" s="615"/>
      <c r="AM4" s="615"/>
      <c r="AN4" s="615"/>
      <c r="AO4" s="615"/>
      <c r="AP4" s="615"/>
      <c r="AQ4" s="615"/>
      <c r="AR4" s="615"/>
      <c r="AS4" s="615"/>
    </row>
    <row r="5" spans="1:45" ht="19.5" customHeight="1">
      <c r="A5" s="1218" t="s">
        <v>689</v>
      </c>
      <c r="B5" s="2510"/>
      <c r="C5" s="2510"/>
      <c r="D5" s="2511"/>
      <c r="E5" s="2512" t="s">
        <v>690</v>
      </c>
      <c r="F5" s="2513"/>
      <c r="G5" s="2513"/>
      <c r="H5" s="2510"/>
      <c r="I5" s="2511"/>
      <c r="J5" s="2514" t="s">
        <v>691</v>
      </c>
      <c r="K5" s="2515"/>
      <c r="L5" s="2515"/>
      <c r="M5" s="1562"/>
      <c r="O5" s="613"/>
      <c r="P5" s="2516"/>
      <c r="Q5" s="2516"/>
      <c r="R5" s="1622"/>
      <c r="S5" s="613"/>
      <c r="T5" s="613"/>
      <c r="AB5" s="615"/>
      <c r="AC5" s="615"/>
      <c r="AD5" s="615"/>
      <c r="AE5" s="615"/>
      <c r="AF5" s="615"/>
      <c r="AG5" s="615"/>
      <c r="AH5" s="615"/>
      <c r="AI5" s="615"/>
      <c r="AJ5" s="615"/>
      <c r="AK5" s="615"/>
      <c r="AL5" s="615"/>
      <c r="AM5" s="615"/>
      <c r="AN5" s="615"/>
      <c r="AO5" s="615"/>
      <c r="AP5" s="615"/>
      <c r="AQ5" s="615"/>
      <c r="AR5" s="615"/>
      <c r="AS5" s="615"/>
    </row>
    <row r="6" spans="1:45" ht="19.5" customHeight="1">
      <c r="A6" s="2517" t="s">
        <v>692</v>
      </c>
      <c r="B6" s="2518"/>
      <c r="C6" s="2518"/>
      <c r="D6" s="2529"/>
      <c r="E6" s="2530"/>
      <c r="F6" s="2511"/>
      <c r="G6" s="2530"/>
      <c r="H6" s="2511"/>
      <c r="I6" s="2530"/>
      <c r="J6" s="2511"/>
      <c r="K6" s="2512" t="s">
        <v>693</v>
      </c>
      <c r="L6" s="2513"/>
      <c r="M6" s="1620"/>
      <c r="O6" s="1087"/>
      <c r="R6" s="613"/>
      <c r="S6" s="613"/>
      <c r="T6" s="613"/>
      <c r="AB6" s="615"/>
      <c r="AC6" s="615"/>
      <c r="AD6" s="615"/>
      <c r="AE6" s="615"/>
      <c r="AF6" s="615"/>
      <c r="AG6" s="615"/>
      <c r="AH6" s="615"/>
      <c r="AI6" s="615"/>
      <c r="AJ6" s="615"/>
      <c r="AK6" s="615"/>
      <c r="AL6" s="615"/>
      <c r="AM6" s="615"/>
      <c r="AN6" s="615"/>
      <c r="AO6" s="615"/>
      <c r="AP6" s="615"/>
      <c r="AQ6" s="615"/>
      <c r="AR6" s="615"/>
      <c r="AS6" s="615"/>
    </row>
    <row r="7" spans="1:45" ht="19.5" customHeight="1" thickBot="1">
      <c r="A7" s="2522" t="s">
        <v>694</v>
      </c>
      <c r="B7" s="2523"/>
      <c r="C7" s="2524"/>
      <c r="D7" s="2524"/>
      <c r="E7" s="2524"/>
      <c r="F7" s="2524"/>
      <c r="G7" s="2524"/>
      <c r="H7" s="2524"/>
      <c r="I7" s="2525" t="s">
        <v>695</v>
      </c>
      <c r="J7" s="2526"/>
      <c r="K7" s="2527"/>
      <c r="L7" s="2527"/>
      <c r="M7" s="2528"/>
      <c r="Y7" s="615"/>
      <c r="Z7" s="615"/>
      <c r="AA7" s="615"/>
      <c r="AB7" s="615"/>
      <c r="AC7" s="615"/>
      <c r="AD7" s="615"/>
      <c r="AE7" s="615"/>
      <c r="AF7" s="615"/>
      <c r="AG7" s="615"/>
      <c r="AH7" s="615"/>
      <c r="AI7" s="615"/>
      <c r="AJ7" s="615"/>
      <c r="AK7" s="615"/>
      <c r="AL7" s="615"/>
      <c r="AM7" s="615"/>
      <c r="AN7" s="615"/>
      <c r="AO7" s="615"/>
      <c r="AP7" s="615"/>
    </row>
    <row r="8" spans="1:45" ht="14.1" customHeight="1">
      <c r="A8" s="2545" t="s">
        <v>696</v>
      </c>
      <c r="B8" s="2531" t="s">
        <v>697</v>
      </c>
      <c r="C8" s="2547" t="s">
        <v>698</v>
      </c>
      <c r="D8" s="2549" t="s">
        <v>699</v>
      </c>
      <c r="E8" s="2550"/>
      <c r="F8" s="2549" t="s">
        <v>700</v>
      </c>
      <c r="G8" s="2553"/>
      <c r="H8" s="2531" t="s">
        <v>701</v>
      </c>
      <c r="I8" s="2531" t="s">
        <v>702</v>
      </c>
      <c r="J8" s="2533" t="s">
        <v>703</v>
      </c>
      <c r="K8" s="2533"/>
      <c r="L8" s="2533"/>
      <c r="M8" s="2534"/>
      <c r="AB8" s="615"/>
      <c r="AC8" s="615"/>
      <c r="AD8" s="615"/>
      <c r="AE8" s="615"/>
      <c r="AF8" s="615"/>
      <c r="AG8" s="615"/>
      <c r="AH8" s="615"/>
      <c r="AI8" s="615"/>
      <c r="AJ8" s="615"/>
      <c r="AK8" s="615"/>
      <c r="AL8" s="615"/>
      <c r="AM8" s="615"/>
      <c r="AN8" s="615"/>
      <c r="AO8" s="615"/>
      <c r="AP8" s="615"/>
      <c r="AQ8" s="615"/>
      <c r="AR8" s="615"/>
      <c r="AS8" s="615"/>
    </row>
    <row r="9" spans="1:45" ht="14.1" customHeight="1" thickBot="1">
      <c r="A9" s="2546"/>
      <c r="B9" s="2532"/>
      <c r="C9" s="2548"/>
      <c r="D9" s="2551"/>
      <c r="E9" s="2552"/>
      <c r="F9" s="2554"/>
      <c r="G9" s="2555"/>
      <c r="H9" s="2532"/>
      <c r="I9" s="2532"/>
      <c r="J9" s="1217" t="s">
        <v>704</v>
      </c>
      <c r="K9" s="1217" t="s">
        <v>705</v>
      </c>
      <c r="L9" s="2532" t="s">
        <v>706</v>
      </c>
      <c r="M9" s="2535"/>
      <c r="R9" s="616"/>
      <c r="S9" s="615"/>
      <c r="AB9" s="615"/>
      <c r="AC9" s="615"/>
      <c r="AD9" s="615"/>
      <c r="AE9" s="615"/>
      <c r="AF9" s="615"/>
      <c r="AG9" s="615"/>
      <c r="AH9" s="615"/>
      <c r="AI9" s="615"/>
      <c r="AJ9" s="615"/>
      <c r="AK9" s="615"/>
      <c r="AL9" s="615"/>
      <c r="AM9" s="615"/>
      <c r="AN9" s="615"/>
      <c r="AO9" s="615"/>
      <c r="AP9" s="615"/>
      <c r="AQ9" s="615"/>
      <c r="AR9" s="615"/>
      <c r="AS9" s="615"/>
    </row>
    <row r="10" spans="1:45" ht="18" customHeight="1" thickTop="1">
      <c r="A10" s="2536"/>
      <c r="B10" s="2538"/>
      <c r="C10" s="2538"/>
      <c r="D10" s="1403"/>
      <c r="E10" s="1404"/>
      <c r="F10" s="1403"/>
      <c r="G10" s="1404"/>
      <c r="H10" s="1469"/>
      <c r="I10" s="1470"/>
      <c r="J10" s="2541"/>
      <c r="K10" s="2541"/>
      <c r="L10" s="2541"/>
      <c r="M10" s="2543"/>
      <c r="N10" s="617"/>
      <c r="O10" s="2556" t="s">
        <v>707</v>
      </c>
      <c r="P10" s="2557"/>
      <c r="Q10" s="2557"/>
      <c r="R10" s="2557"/>
      <c r="S10" s="2557"/>
      <c r="T10" s="2557"/>
      <c r="U10" s="1471"/>
      <c r="V10" s="1471"/>
      <c r="W10" s="1472"/>
      <c r="AB10" s="614"/>
      <c r="AC10" s="615"/>
      <c r="AD10" s="615"/>
      <c r="AE10" s="615"/>
      <c r="AF10" s="615"/>
      <c r="AG10" s="615"/>
      <c r="AH10" s="615"/>
      <c r="AI10" s="615"/>
      <c r="AJ10" s="615"/>
      <c r="AK10" s="615"/>
      <c r="AL10" s="615"/>
      <c r="AM10" s="615"/>
      <c r="AN10" s="615"/>
      <c r="AO10" s="615"/>
      <c r="AP10" s="615"/>
      <c r="AQ10" s="615"/>
      <c r="AR10" s="615"/>
      <c r="AS10" s="615"/>
    </row>
    <row r="11" spans="1:45" ht="18" customHeight="1">
      <c r="A11" s="2537"/>
      <c r="B11" s="2539"/>
      <c r="C11" s="2540"/>
      <c r="D11" s="1401"/>
      <c r="E11" s="1402"/>
      <c r="F11" s="1403"/>
      <c r="G11" s="1402"/>
      <c r="H11" s="1470"/>
      <c r="I11" s="1470"/>
      <c r="J11" s="2542"/>
      <c r="K11" s="2542"/>
      <c r="L11" s="2542"/>
      <c r="M11" s="2544"/>
      <c r="N11" s="617"/>
      <c r="O11" s="627" t="s">
        <v>708</v>
      </c>
      <c r="P11" s="1226"/>
      <c r="Q11" s="1226"/>
      <c r="R11" s="1238"/>
      <c r="S11" s="1238"/>
      <c r="T11" s="1238"/>
      <c r="W11" s="1473"/>
      <c r="AB11" s="614"/>
      <c r="AC11" s="615"/>
      <c r="AD11" s="615"/>
      <c r="AE11" s="615"/>
      <c r="AF11" s="615"/>
      <c r="AG11" s="615"/>
      <c r="AH11" s="615"/>
      <c r="AI11" s="615"/>
      <c r="AJ11" s="615"/>
      <c r="AK11" s="615"/>
      <c r="AL11" s="615"/>
      <c r="AM11" s="615"/>
      <c r="AN11" s="615"/>
      <c r="AO11" s="615"/>
      <c r="AP11" s="615"/>
      <c r="AQ11" s="615"/>
      <c r="AR11" s="615"/>
      <c r="AS11" s="615"/>
    </row>
    <row r="12" spans="1:45" ht="18" customHeight="1">
      <c r="A12" s="2537"/>
      <c r="B12" s="2539"/>
      <c r="C12" s="2538"/>
      <c r="D12" s="1401"/>
      <c r="E12" s="1402"/>
      <c r="F12" s="1403"/>
      <c r="G12" s="1402"/>
      <c r="H12" s="1470"/>
      <c r="I12" s="1470"/>
      <c r="J12" s="2542"/>
      <c r="K12" s="2542"/>
      <c r="L12" s="2542"/>
      <c r="M12" s="2544"/>
      <c r="N12" s="617"/>
      <c r="O12" s="627" t="s">
        <v>709</v>
      </c>
      <c r="P12" s="1226"/>
      <c r="Q12" s="1226"/>
      <c r="R12" s="1238"/>
      <c r="S12" s="1238"/>
      <c r="T12" s="1238"/>
      <c r="W12" s="1473"/>
      <c r="AB12" s="614"/>
      <c r="AC12" s="615"/>
      <c r="AD12" s="615"/>
      <c r="AE12" s="615"/>
      <c r="AF12" s="615"/>
      <c r="AG12" s="615"/>
      <c r="AH12" s="615"/>
      <c r="AI12" s="615"/>
      <c r="AJ12" s="615"/>
      <c r="AK12" s="615"/>
      <c r="AL12" s="615"/>
      <c r="AM12" s="615"/>
      <c r="AN12" s="615"/>
      <c r="AO12" s="615"/>
      <c r="AP12" s="615"/>
      <c r="AQ12" s="615"/>
      <c r="AR12" s="615"/>
      <c r="AS12" s="615"/>
    </row>
    <row r="13" spans="1:45" ht="18" customHeight="1">
      <c r="A13" s="2537"/>
      <c r="B13" s="2539"/>
      <c r="C13" s="2540"/>
      <c r="D13" s="1401"/>
      <c r="E13" s="1402"/>
      <c r="F13" s="1403"/>
      <c r="G13" s="1402"/>
      <c r="H13" s="1470"/>
      <c r="I13" s="1470"/>
      <c r="J13" s="2542"/>
      <c r="K13" s="2542"/>
      <c r="L13" s="2542"/>
      <c r="M13" s="2544"/>
      <c r="N13" s="617"/>
      <c r="O13" s="627" t="s">
        <v>710</v>
      </c>
      <c r="P13" s="1226"/>
      <c r="Q13" s="1226"/>
      <c r="R13" s="1238"/>
      <c r="S13" s="1238"/>
      <c r="T13" s="1238"/>
      <c r="W13" s="1473"/>
      <c r="AB13" s="614"/>
      <c r="AC13" s="615"/>
      <c r="AD13" s="615"/>
      <c r="AE13" s="615"/>
      <c r="AF13" s="615"/>
      <c r="AG13" s="615"/>
      <c r="AH13" s="615"/>
      <c r="AI13" s="615"/>
      <c r="AJ13" s="615"/>
      <c r="AK13" s="615"/>
      <c r="AL13" s="615"/>
      <c r="AM13" s="615"/>
      <c r="AN13" s="615"/>
      <c r="AO13" s="615"/>
      <c r="AP13" s="615"/>
      <c r="AQ13" s="615"/>
      <c r="AR13" s="615"/>
      <c r="AS13" s="615"/>
    </row>
    <row r="14" spans="1:45" ht="18" customHeight="1">
      <c r="A14" s="2537"/>
      <c r="B14" s="2539"/>
      <c r="C14" s="2538"/>
      <c r="D14" s="1401"/>
      <c r="E14" s="1402"/>
      <c r="F14" s="1403"/>
      <c r="G14" s="1402"/>
      <c r="H14" s="1470"/>
      <c r="I14" s="1470"/>
      <c r="J14" s="2542"/>
      <c r="K14" s="2542"/>
      <c r="L14" s="2542"/>
      <c r="M14" s="2544"/>
      <c r="N14" s="617"/>
      <c r="O14" s="628" t="s">
        <v>711</v>
      </c>
      <c r="P14" s="1468"/>
      <c r="Q14" s="1468"/>
      <c r="R14" s="629"/>
      <c r="S14" s="629"/>
      <c r="T14" s="629"/>
      <c r="U14" s="1474"/>
      <c r="V14" s="1474"/>
      <c r="W14" s="1475"/>
      <c r="AB14" s="614"/>
      <c r="AC14" s="615"/>
      <c r="AD14" s="615"/>
      <c r="AE14" s="615"/>
      <c r="AF14" s="615"/>
      <c r="AG14" s="615"/>
      <c r="AH14" s="615"/>
      <c r="AI14" s="615"/>
      <c r="AJ14" s="615"/>
      <c r="AK14" s="615"/>
      <c r="AL14" s="615"/>
      <c r="AM14" s="615"/>
      <c r="AN14" s="615"/>
      <c r="AO14" s="615"/>
      <c r="AP14" s="615"/>
      <c r="AQ14" s="615"/>
      <c r="AR14" s="615"/>
      <c r="AS14" s="615"/>
    </row>
    <row r="15" spans="1:45" ht="18" customHeight="1">
      <c r="A15" s="2537"/>
      <c r="B15" s="2539"/>
      <c r="C15" s="2540"/>
      <c r="D15" s="1401"/>
      <c r="E15" s="1402"/>
      <c r="F15" s="1403"/>
      <c r="G15" s="1402"/>
      <c r="H15" s="1470"/>
      <c r="I15" s="1470"/>
      <c r="J15" s="2542"/>
      <c r="K15" s="2542"/>
      <c r="L15" s="2542"/>
      <c r="M15" s="2544"/>
      <c r="N15" s="617"/>
      <c r="O15" s="2558" t="s">
        <v>712</v>
      </c>
      <c r="P15" s="2559"/>
      <c r="Q15" s="2559"/>
      <c r="R15" s="2560"/>
      <c r="S15" s="613"/>
      <c r="AB15" s="614"/>
      <c r="AC15" s="615"/>
      <c r="AD15" s="615"/>
      <c r="AE15" s="615"/>
      <c r="AF15" s="615"/>
      <c r="AG15" s="615"/>
      <c r="AH15" s="615"/>
      <c r="AI15" s="615"/>
      <c r="AJ15" s="615"/>
      <c r="AK15" s="615"/>
      <c r="AL15" s="615"/>
      <c r="AM15" s="615"/>
      <c r="AN15" s="615"/>
      <c r="AO15" s="615"/>
      <c r="AP15" s="615"/>
      <c r="AQ15" s="615"/>
      <c r="AR15" s="615"/>
      <c r="AS15" s="615"/>
    </row>
    <row r="16" spans="1:45" ht="18" customHeight="1">
      <c r="A16" s="2537"/>
      <c r="B16" s="2539"/>
      <c r="C16" s="2538"/>
      <c r="D16" s="1401"/>
      <c r="E16" s="1402"/>
      <c r="F16" s="1403"/>
      <c r="G16" s="1402"/>
      <c r="H16" s="1470"/>
      <c r="I16" s="1470"/>
      <c r="J16" s="2542"/>
      <c r="K16" s="2542"/>
      <c r="L16" s="2542"/>
      <c r="M16" s="2544"/>
      <c r="N16" s="617"/>
      <c r="O16" s="2561" t="s">
        <v>713</v>
      </c>
      <c r="P16" s="2562"/>
      <c r="Q16" s="2562"/>
      <c r="R16" s="2563"/>
      <c r="S16" s="615"/>
      <c r="AB16" s="614"/>
      <c r="AC16" s="615"/>
      <c r="AD16" s="615"/>
      <c r="AE16" s="615"/>
      <c r="AF16" s="615"/>
      <c r="AG16" s="615"/>
      <c r="AH16" s="615"/>
      <c r="AI16" s="615"/>
      <c r="AJ16" s="615"/>
      <c r="AK16" s="615"/>
      <c r="AL16" s="615"/>
      <c r="AM16" s="615"/>
      <c r="AN16" s="615"/>
      <c r="AO16" s="615"/>
      <c r="AP16" s="615"/>
      <c r="AQ16" s="615"/>
      <c r="AR16" s="615"/>
      <c r="AS16" s="615"/>
    </row>
    <row r="17" spans="1:45" ht="18" customHeight="1">
      <c r="A17" s="2537"/>
      <c r="B17" s="2539"/>
      <c r="C17" s="2540"/>
      <c r="D17" s="1401"/>
      <c r="E17" s="1402"/>
      <c r="F17" s="1403"/>
      <c r="G17" s="1402"/>
      <c r="H17" s="1470"/>
      <c r="I17" s="1470"/>
      <c r="J17" s="2542"/>
      <c r="K17" s="2542"/>
      <c r="L17" s="2542"/>
      <c r="M17" s="2544"/>
      <c r="N17" s="617"/>
      <c r="O17" s="2564" t="s">
        <v>714</v>
      </c>
      <c r="P17" s="2565"/>
      <c r="Q17" s="2565"/>
      <c r="R17" s="2566"/>
      <c r="S17" s="613"/>
      <c r="AB17" s="614"/>
      <c r="AC17" s="615"/>
      <c r="AD17" s="615"/>
      <c r="AE17" s="615"/>
      <c r="AF17" s="615"/>
      <c r="AG17" s="615"/>
      <c r="AH17" s="615"/>
      <c r="AI17" s="615"/>
      <c r="AJ17" s="615"/>
      <c r="AK17" s="615"/>
      <c r="AL17" s="615"/>
      <c r="AM17" s="615"/>
      <c r="AN17" s="615"/>
      <c r="AO17" s="615"/>
      <c r="AP17" s="615"/>
      <c r="AQ17" s="615"/>
      <c r="AR17" s="615"/>
      <c r="AS17" s="615"/>
    </row>
    <row r="18" spans="1:45" ht="18" customHeight="1">
      <c r="A18" s="2537"/>
      <c r="B18" s="2539"/>
      <c r="C18" s="2538"/>
      <c r="D18" s="1401"/>
      <c r="E18" s="1402"/>
      <c r="F18" s="1403"/>
      <c r="G18" s="1402"/>
      <c r="H18" s="1470"/>
      <c r="I18" s="1470"/>
      <c r="J18" s="2542"/>
      <c r="K18" s="2542"/>
      <c r="L18" s="2542"/>
      <c r="M18" s="2544"/>
      <c r="N18" s="617"/>
      <c r="O18" s="2564" t="s">
        <v>715</v>
      </c>
      <c r="P18" s="2565"/>
      <c r="Q18" s="2565"/>
      <c r="R18" s="2566"/>
      <c r="S18" s="615"/>
      <c r="AB18" s="614"/>
      <c r="AC18" s="615"/>
      <c r="AD18" s="615"/>
      <c r="AE18" s="615"/>
      <c r="AF18" s="615"/>
      <c r="AG18" s="615"/>
      <c r="AH18" s="615"/>
      <c r="AI18" s="615"/>
      <c r="AJ18" s="615"/>
      <c r="AK18" s="615"/>
      <c r="AL18" s="615"/>
      <c r="AM18" s="615"/>
      <c r="AN18" s="615"/>
      <c r="AO18" s="615"/>
      <c r="AP18" s="615"/>
      <c r="AQ18" s="615"/>
      <c r="AR18" s="615"/>
      <c r="AS18" s="615"/>
    </row>
    <row r="19" spans="1:45" ht="18" customHeight="1">
      <c r="A19" s="2537"/>
      <c r="B19" s="2539"/>
      <c r="C19" s="2540"/>
      <c r="D19" s="1401"/>
      <c r="E19" s="1402"/>
      <c r="F19" s="1403"/>
      <c r="G19" s="1402"/>
      <c r="H19" s="1470"/>
      <c r="I19" s="1400"/>
      <c r="J19" s="2542"/>
      <c r="K19" s="2542"/>
      <c r="L19" s="2542"/>
      <c r="M19" s="2544"/>
      <c r="N19" s="617"/>
      <c r="O19" s="2564" t="s">
        <v>716</v>
      </c>
      <c r="P19" s="2565"/>
      <c r="Q19" s="2565"/>
      <c r="R19" s="2566"/>
      <c r="S19" s="613"/>
      <c r="AB19" s="614"/>
      <c r="AC19" s="615"/>
      <c r="AD19" s="615"/>
      <c r="AE19" s="615"/>
      <c r="AF19" s="615"/>
      <c r="AG19" s="615"/>
      <c r="AH19" s="615"/>
      <c r="AI19" s="615"/>
      <c r="AJ19" s="615"/>
      <c r="AK19" s="615"/>
      <c r="AL19" s="615"/>
      <c r="AM19" s="615"/>
      <c r="AN19" s="615"/>
      <c r="AO19" s="615"/>
      <c r="AP19" s="615"/>
      <c r="AQ19" s="615"/>
      <c r="AR19" s="615"/>
      <c r="AS19" s="615"/>
    </row>
    <row r="20" spans="1:45" ht="18" customHeight="1">
      <c r="A20" s="2537"/>
      <c r="B20" s="2539"/>
      <c r="C20" s="2538"/>
      <c r="D20" s="1401"/>
      <c r="E20" s="1402"/>
      <c r="F20" s="1403"/>
      <c r="G20" s="1402"/>
      <c r="H20" s="1470"/>
      <c r="I20" s="1400"/>
      <c r="J20" s="2542"/>
      <c r="K20" s="2542"/>
      <c r="L20" s="2542"/>
      <c r="M20" s="2544"/>
      <c r="N20" s="617"/>
      <c r="O20" s="2564" t="s">
        <v>717</v>
      </c>
      <c r="P20" s="2565"/>
      <c r="Q20" s="2565"/>
      <c r="R20" s="2566"/>
      <c r="S20" s="615"/>
      <c r="AB20" s="614"/>
      <c r="AC20" s="615"/>
      <c r="AD20" s="615"/>
      <c r="AE20" s="615"/>
      <c r="AF20" s="615"/>
      <c r="AG20" s="615"/>
      <c r="AH20" s="615"/>
      <c r="AI20" s="615"/>
      <c r="AJ20" s="615"/>
      <c r="AK20" s="615"/>
      <c r="AL20" s="615"/>
      <c r="AM20" s="615"/>
      <c r="AN20" s="615"/>
      <c r="AO20" s="615"/>
      <c r="AP20" s="615"/>
      <c r="AQ20" s="615"/>
      <c r="AR20" s="615"/>
      <c r="AS20" s="615"/>
    </row>
    <row r="21" spans="1:45" ht="18" customHeight="1">
      <c r="A21" s="2537"/>
      <c r="B21" s="2539"/>
      <c r="C21" s="2540"/>
      <c r="D21" s="1401"/>
      <c r="E21" s="1402"/>
      <c r="F21" s="1403"/>
      <c r="G21" s="1402"/>
      <c r="H21" s="1470"/>
      <c r="I21" s="1400"/>
      <c r="J21" s="2542"/>
      <c r="K21" s="2542"/>
      <c r="L21" s="2542"/>
      <c r="M21" s="2544"/>
      <c r="N21" s="617"/>
      <c r="O21" s="2567" t="s">
        <v>718</v>
      </c>
      <c r="P21" s="2568"/>
      <c r="Q21" s="2568"/>
      <c r="R21" s="2569"/>
      <c r="S21" s="613"/>
      <c r="AB21" s="614"/>
      <c r="AC21" s="615"/>
      <c r="AD21" s="615"/>
      <c r="AE21" s="615"/>
      <c r="AF21" s="615"/>
      <c r="AG21" s="615"/>
      <c r="AH21" s="615"/>
      <c r="AI21" s="615"/>
      <c r="AJ21" s="615"/>
      <c r="AK21" s="615"/>
      <c r="AL21" s="615"/>
      <c r="AM21" s="615"/>
      <c r="AN21" s="615"/>
      <c r="AO21" s="615"/>
      <c r="AP21" s="615"/>
      <c r="AQ21" s="615"/>
      <c r="AR21" s="615"/>
      <c r="AS21" s="615"/>
    </row>
    <row r="22" spans="1:45" ht="18" customHeight="1">
      <c r="A22" s="2537"/>
      <c r="B22" s="2539"/>
      <c r="C22" s="2538"/>
      <c r="D22" s="1401"/>
      <c r="E22" s="1402"/>
      <c r="F22" s="1403"/>
      <c r="G22" s="1402"/>
      <c r="H22" s="1470"/>
      <c r="I22" s="1400"/>
      <c r="J22" s="2542"/>
      <c r="K22" s="2542"/>
      <c r="L22" s="2542"/>
      <c r="M22" s="2544"/>
      <c r="N22" s="617"/>
      <c r="R22" s="1087"/>
      <c r="S22" s="615"/>
      <c r="AB22" s="614"/>
      <c r="AC22" s="615"/>
      <c r="AD22" s="615"/>
      <c r="AE22" s="615"/>
      <c r="AF22" s="615"/>
      <c r="AG22" s="615"/>
      <c r="AH22" s="615"/>
      <c r="AI22" s="615"/>
      <c r="AJ22" s="615"/>
      <c r="AK22" s="615"/>
      <c r="AL22" s="615"/>
      <c r="AM22" s="615"/>
      <c r="AN22" s="615"/>
      <c r="AO22" s="615"/>
      <c r="AP22" s="615"/>
      <c r="AQ22" s="615"/>
      <c r="AR22" s="615"/>
      <c r="AS22" s="615"/>
    </row>
    <row r="23" spans="1:45" ht="18" customHeight="1" thickBot="1">
      <c r="A23" s="2574"/>
      <c r="B23" s="2575"/>
      <c r="C23" s="2540"/>
      <c r="D23" s="1405"/>
      <c r="E23" s="1402"/>
      <c r="F23" s="1403"/>
      <c r="G23" s="1406"/>
      <c r="H23" s="1470"/>
      <c r="I23" s="1400"/>
      <c r="J23" s="2576"/>
      <c r="K23" s="2576"/>
      <c r="L23" s="2576"/>
      <c r="M23" s="2577"/>
      <c r="N23" s="617"/>
      <c r="O23" s="613"/>
      <c r="P23" s="613"/>
      <c r="Q23" s="613"/>
      <c r="R23" s="613"/>
      <c r="S23" s="613"/>
      <c r="AB23" s="614"/>
      <c r="AC23" s="615"/>
      <c r="AD23" s="615"/>
      <c r="AE23" s="615"/>
      <c r="AF23" s="615"/>
      <c r="AG23" s="615"/>
      <c r="AH23" s="615"/>
      <c r="AI23" s="615"/>
      <c r="AJ23" s="615"/>
      <c r="AK23" s="615"/>
      <c r="AL23" s="615"/>
      <c r="AM23" s="615"/>
      <c r="AN23" s="615"/>
      <c r="AO23" s="615"/>
      <c r="AP23" s="615"/>
      <c r="AQ23" s="615"/>
      <c r="AR23" s="615"/>
      <c r="AS23" s="615"/>
    </row>
    <row r="24" spans="1:45" s="621" customFormat="1" ht="6" customHeight="1">
      <c r="A24" s="2578" t="s">
        <v>719</v>
      </c>
      <c r="B24" s="2580"/>
      <c r="C24" s="2580"/>
      <c r="D24" s="2580"/>
      <c r="E24" s="2580"/>
      <c r="F24" s="2580"/>
      <c r="G24" s="2580"/>
      <c r="H24" s="2580"/>
      <c r="I24" s="2580"/>
      <c r="J24" s="2580"/>
      <c r="K24" s="2580"/>
      <c r="L24" s="2580"/>
      <c r="M24" s="2581"/>
      <c r="N24" s="618"/>
      <c r="O24" s="614"/>
      <c r="P24" s="614"/>
      <c r="Q24" s="614"/>
      <c r="R24" s="614"/>
      <c r="S24" s="614"/>
      <c r="T24" s="614"/>
      <c r="U24" s="614"/>
      <c r="V24" s="614"/>
      <c r="W24" s="614"/>
      <c r="X24" s="614"/>
      <c r="Y24" s="614"/>
      <c r="Z24" s="614"/>
      <c r="AA24" s="619"/>
      <c r="AB24" s="619"/>
      <c r="AC24" s="620"/>
      <c r="AD24" s="620"/>
      <c r="AE24" s="620"/>
      <c r="AF24" s="620"/>
      <c r="AG24" s="620"/>
      <c r="AH24" s="620"/>
      <c r="AI24" s="620"/>
      <c r="AJ24" s="620"/>
      <c r="AK24" s="620"/>
      <c r="AL24" s="620"/>
      <c r="AM24" s="620"/>
      <c r="AN24" s="620"/>
      <c r="AO24" s="620"/>
      <c r="AP24" s="620"/>
      <c r="AQ24" s="620"/>
      <c r="AR24" s="620"/>
      <c r="AS24" s="620"/>
    </row>
    <row r="25" spans="1:45" ht="39.950000000000003" customHeight="1" thickBot="1">
      <c r="A25" s="2579"/>
      <c r="B25" s="2582"/>
      <c r="C25" s="2582"/>
      <c r="D25" s="2582"/>
      <c r="E25" s="2582"/>
      <c r="F25" s="2582"/>
      <c r="G25" s="2582"/>
      <c r="H25" s="2582"/>
      <c r="I25" s="2582"/>
      <c r="J25" s="2582"/>
      <c r="K25" s="2582"/>
      <c r="L25" s="2582"/>
      <c r="M25" s="2583"/>
      <c r="N25" s="617"/>
      <c r="AB25" s="614"/>
      <c r="AC25" s="615"/>
      <c r="AD25" s="615"/>
      <c r="AE25" s="615"/>
      <c r="AF25" s="615"/>
      <c r="AG25" s="615"/>
      <c r="AH25" s="615"/>
      <c r="AI25" s="615"/>
      <c r="AJ25" s="615"/>
      <c r="AK25" s="615"/>
      <c r="AL25" s="615"/>
      <c r="AM25" s="615"/>
      <c r="AN25" s="615"/>
      <c r="AO25" s="615"/>
      <c r="AP25" s="615"/>
      <c r="AQ25" s="615"/>
      <c r="AR25" s="615"/>
      <c r="AS25" s="615"/>
    </row>
    <row r="26" spans="1:45" s="608" customFormat="1" ht="14.1" customHeight="1">
      <c r="A26" s="1407" t="s">
        <v>720</v>
      </c>
      <c r="B26" s="1408"/>
      <c r="D26" s="1116"/>
      <c r="E26" s="1116"/>
      <c r="F26" s="1116"/>
      <c r="G26" s="1116"/>
      <c r="H26" s="1116"/>
      <c r="I26" s="1116"/>
      <c r="J26" s="1116"/>
      <c r="K26" s="1116"/>
      <c r="L26" s="1116"/>
      <c r="M26" s="1409"/>
      <c r="N26" s="1116"/>
      <c r="O26" s="614"/>
      <c r="P26" s="614"/>
      <c r="Q26" s="614"/>
      <c r="R26" s="614"/>
      <c r="S26" s="614"/>
      <c r="T26" s="614"/>
      <c r="U26" s="614"/>
      <c r="V26" s="614"/>
      <c r="W26" s="614"/>
      <c r="X26" s="614"/>
      <c r="Y26" s="614"/>
      <c r="Z26" s="614"/>
    </row>
    <row r="27" spans="1:45" s="608" customFormat="1" ht="21.95" customHeight="1" thickBot="1">
      <c r="A27" s="2584"/>
      <c r="B27" s="2585"/>
      <c r="C27" s="2585"/>
      <c r="D27" s="610"/>
      <c r="E27" s="2586"/>
      <c r="F27" s="2586"/>
      <c r="G27" s="2586"/>
      <c r="H27" s="2586"/>
      <c r="J27" s="1564"/>
      <c r="L27" s="2587"/>
      <c r="M27" s="2588"/>
      <c r="N27" s="622"/>
      <c r="O27" s="614"/>
      <c r="P27" s="614"/>
      <c r="Q27" s="614"/>
      <c r="R27" s="614"/>
      <c r="S27" s="614"/>
      <c r="T27" s="614"/>
      <c r="U27" s="614"/>
      <c r="V27" s="614"/>
      <c r="W27" s="614"/>
      <c r="X27" s="614"/>
      <c r="Y27" s="614"/>
      <c r="Z27" s="614"/>
    </row>
    <row r="28" spans="1:45" s="608" customFormat="1" ht="12" customHeight="1">
      <c r="A28" s="2570" t="s">
        <v>721</v>
      </c>
      <c r="B28" s="2571"/>
      <c r="C28" s="2571"/>
      <c r="D28" s="611"/>
      <c r="E28" s="2571" t="s">
        <v>722</v>
      </c>
      <c r="F28" s="2571"/>
      <c r="G28" s="2571"/>
      <c r="H28" s="2572"/>
      <c r="J28" s="1491" t="s">
        <v>723</v>
      </c>
      <c r="L28" s="2465" t="s">
        <v>724</v>
      </c>
      <c r="M28" s="2573"/>
      <c r="N28" s="622"/>
      <c r="O28" s="614"/>
      <c r="P28" s="614"/>
      <c r="Q28" s="614"/>
      <c r="R28" s="614"/>
      <c r="S28" s="614"/>
      <c r="T28" s="614"/>
      <c r="U28" s="614"/>
      <c r="V28" s="614"/>
      <c r="W28" s="614"/>
      <c r="X28" s="614"/>
      <c r="Y28" s="614"/>
      <c r="Z28" s="614"/>
    </row>
    <row r="29" spans="1:45">
      <c r="L29" s="615"/>
      <c r="M29" s="615"/>
      <c r="AB29" s="615"/>
      <c r="AC29" s="615"/>
      <c r="AD29" s="615"/>
      <c r="AE29" s="615"/>
      <c r="AF29" s="615"/>
      <c r="AG29" s="615"/>
      <c r="AH29" s="615"/>
      <c r="AI29" s="615"/>
      <c r="AJ29" s="615"/>
      <c r="AK29" s="615"/>
      <c r="AL29" s="615"/>
      <c r="AM29" s="615"/>
      <c r="AN29" s="615"/>
      <c r="AO29" s="615"/>
      <c r="AP29" s="615"/>
      <c r="AQ29" s="615"/>
      <c r="AR29" s="615"/>
      <c r="AS29" s="615"/>
    </row>
    <row r="30" spans="1:45">
      <c r="L30" s="615"/>
      <c r="M30" s="615"/>
      <c r="AB30" s="615"/>
      <c r="AC30" s="615"/>
      <c r="AD30" s="615"/>
      <c r="AE30" s="615"/>
      <c r="AF30" s="615"/>
      <c r="AG30" s="615"/>
      <c r="AH30" s="615"/>
      <c r="AI30" s="615"/>
      <c r="AJ30" s="615"/>
      <c r="AK30" s="615"/>
      <c r="AL30" s="615"/>
      <c r="AM30" s="615"/>
      <c r="AN30" s="615"/>
      <c r="AO30" s="615"/>
      <c r="AP30" s="615"/>
      <c r="AQ30" s="615"/>
      <c r="AR30" s="615"/>
      <c r="AS30" s="615"/>
    </row>
    <row r="31" spans="1:45">
      <c r="L31" s="615"/>
      <c r="M31" s="615"/>
      <c r="AB31" s="615"/>
      <c r="AC31" s="615"/>
      <c r="AD31" s="615"/>
      <c r="AE31" s="615"/>
      <c r="AF31" s="615"/>
      <c r="AG31" s="615"/>
      <c r="AH31" s="615"/>
      <c r="AI31" s="615"/>
      <c r="AJ31" s="615"/>
      <c r="AK31" s="615"/>
      <c r="AL31" s="615"/>
      <c r="AM31" s="615"/>
      <c r="AN31" s="615"/>
      <c r="AO31" s="615"/>
      <c r="AP31" s="615"/>
      <c r="AQ31" s="615"/>
      <c r="AR31" s="615"/>
      <c r="AS31" s="615"/>
    </row>
    <row r="32" spans="1:45">
      <c r="L32" s="615"/>
      <c r="M32" s="615"/>
      <c r="AB32" s="615"/>
      <c r="AC32" s="615"/>
      <c r="AD32" s="615"/>
      <c r="AE32" s="615"/>
      <c r="AF32" s="615"/>
      <c r="AG32" s="615"/>
      <c r="AH32" s="615"/>
      <c r="AI32" s="615"/>
      <c r="AJ32" s="615"/>
      <c r="AK32" s="615"/>
      <c r="AL32" s="615"/>
      <c r="AM32" s="615"/>
      <c r="AN32" s="615"/>
      <c r="AO32" s="615"/>
      <c r="AP32" s="615"/>
      <c r="AQ32" s="615"/>
      <c r="AR32" s="615"/>
      <c r="AS32" s="615"/>
    </row>
    <row r="33" spans="12:45">
      <c r="L33" s="615"/>
      <c r="M33" s="615"/>
      <c r="AB33" s="615"/>
      <c r="AC33" s="615"/>
      <c r="AD33" s="615"/>
      <c r="AE33" s="615"/>
      <c r="AF33" s="615"/>
      <c r="AG33" s="615"/>
      <c r="AH33" s="615"/>
      <c r="AI33" s="615"/>
      <c r="AJ33" s="615"/>
      <c r="AK33" s="615"/>
      <c r="AL33" s="615"/>
      <c r="AM33" s="615"/>
      <c r="AN33" s="615"/>
      <c r="AO33" s="615"/>
      <c r="AP33" s="615"/>
      <c r="AQ33" s="615"/>
      <c r="AR33" s="615"/>
      <c r="AS33" s="615"/>
    </row>
    <row r="34" spans="12:45">
      <c r="L34" s="615"/>
      <c r="M34" s="615"/>
      <c r="AB34" s="615"/>
      <c r="AC34" s="615"/>
      <c r="AD34" s="615"/>
      <c r="AE34" s="615"/>
      <c r="AF34" s="615"/>
      <c r="AG34" s="615"/>
      <c r="AH34" s="615"/>
      <c r="AI34" s="615"/>
      <c r="AJ34" s="615"/>
      <c r="AK34" s="615"/>
      <c r="AL34" s="615"/>
      <c r="AM34" s="615"/>
      <c r="AN34" s="615"/>
      <c r="AO34" s="615"/>
      <c r="AP34" s="615"/>
      <c r="AQ34" s="615"/>
      <c r="AR34" s="615"/>
      <c r="AS34" s="615"/>
    </row>
    <row r="35" spans="12:45">
      <c r="L35" s="615"/>
      <c r="M35" s="615"/>
      <c r="AB35" s="615"/>
      <c r="AC35" s="615"/>
      <c r="AD35" s="615"/>
      <c r="AE35" s="615"/>
      <c r="AF35" s="615"/>
      <c r="AG35" s="615"/>
      <c r="AH35" s="615"/>
      <c r="AI35" s="615"/>
      <c r="AJ35" s="615"/>
      <c r="AK35" s="615"/>
      <c r="AL35" s="615"/>
      <c r="AM35" s="615"/>
      <c r="AN35" s="615"/>
      <c r="AO35" s="615"/>
      <c r="AP35" s="615"/>
      <c r="AQ35" s="615"/>
      <c r="AR35" s="615"/>
      <c r="AS35" s="615"/>
    </row>
    <row r="36" spans="12:45">
      <c r="L36" s="615"/>
      <c r="M36" s="615"/>
      <c r="AB36" s="615"/>
      <c r="AC36" s="615"/>
      <c r="AD36" s="615"/>
      <c r="AE36" s="615"/>
      <c r="AF36" s="615"/>
      <c r="AG36" s="615"/>
      <c r="AH36" s="615"/>
      <c r="AI36" s="615"/>
      <c r="AJ36" s="615"/>
      <c r="AK36" s="615"/>
      <c r="AL36" s="615"/>
      <c r="AM36" s="615"/>
      <c r="AN36" s="615"/>
      <c r="AO36" s="615"/>
      <c r="AP36" s="615"/>
      <c r="AQ36" s="615"/>
      <c r="AR36" s="615"/>
      <c r="AS36" s="615"/>
    </row>
    <row r="37" spans="12:45">
      <c r="L37" s="615"/>
      <c r="M37" s="615"/>
      <c r="AB37" s="615"/>
      <c r="AC37" s="615"/>
      <c r="AD37" s="615"/>
      <c r="AE37" s="615"/>
      <c r="AF37" s="615"/>
      <c r="AG37" s="615"/>
      <c r="AH37" s="615"/>
      <c r="AI37" s="615"/>
      <c r="AJ37" s="615"/>
      <c r="AK37" s="615"/>
      <c r="AL37" s="615"/>
      <c r="AM37" s="615"/>
      <c r="AN37" s="615"/>
      <c r="AO37" s="615"/>
      <c r="AP37" s="615"/>
      <c r="AQ37" s="615"/>
      <c r="AR37" s="615"/>
      <c r="AS37" s="615"/>
    </row>
    <row r="38" spans="12:45">
      <c r="L38" s="615"/>
      <c r="M38" s="615"/>
      <c r="AB38" s="615"/>
      <c r="AC38" s="615"/>
      <c r="AD38" s="615"/>
      <c r="AE38" s="615"/>
      <c r="AF38" s="615"/>
      <c r="AG38" s="615"/>
      <c r="AH38" s="615"/>
      <c r="AI38" s="615"/>
      <c r="AJ38" s="615"/>
      <c r="AK38" s="615"/>
      <c r="AL38" s="615"/>
      <c r="AM38" s="615"/>
      <c r="AN38" s="615"/>
      <c r="AO38" s="615"/>
      <c r="AP38" s="615"/>
      <c r="AQ38" s="615"/>
      <c r="AR38" s="615"/>
      <c r="AS38" s="615"/>
    </row>
    <row r="39" spans="12:45">
      <c r="L39" s="615"/>
      <c r="M39" s="615"/>
      <c r="AB39" s="615"/>
      <c r="AC39" s="615"/>
      <c r="AD39" s="615"/>
      <c r="AE39" s="615"/>
      <c r="AF39" s="615"/>
      <c r="AG39" s="615"/>
      <c r="AH39" s="615"/>
      <c r="AI39" s="615"/>
      <c r="AJ39" s="615"/>
      <c r="AK39" s="615"/>
      <c r="AL39" s="615"/>
      <c r="AM39" s="615"/>
      <c r="AN39" s="615"/>
      <c r="AO39" s="615"/>
      <c r="AP39" s="615"/>
      <c r="AQ39" s="615"/>
      <c r="AR39" s="615"/>
      <c r="AS39" s="615"/>
    </row>
    <row r="40" spans="12:45">
      <c r="L40" s="615"/>
      <c r="M40" s="615"/>
      <c r="AB40" s="615"/>
      <c r="AC40" s="615"/>
      <c r="AD40" s="615"/>
      <c r="AE40" s="615"/>
      <c r="AF40" s="615"/>
      <c r="AG40" s="615"/>
      <c r="AH40" s="615"/>
      <c r="AI40" s="615"/>
      <c r="AJ40" s="615"/>
      <c r="AK40" s="615"/>
      <c r="AL40" s="615"/>
      <c r="AM40" s="615"/>
      <c r="AN40" s="615"/>
      <c r="AO40" s="615"/>
      <c r="AP40" s="615"/>
      <c r="AQ40" s="615"/>
      <c r="AR40" s="615"/>
      <c r="AS40" s="615"/>
    </row>
    <row r="41" spans="12:45">
      <c r="L41" s="615"/>
      <c r="M41" s="615"/>
      <c r="AB41" s="615"/>
      <c r="AC41" s="615"/>
      <c r="AD41" s="615"/>
      <c r="AE41" s="615"/>
      <c r="AF41" s="615"/>
      <c r="AG41" s="615"/>
      <c r="AH41" s="615"/>
      <c r="AI41" s="615"/>
      <c r="AJ41" s="615"/>
      <c r="AK41" s="615"/>
      <c r="AL41" s="615"/>
      <c r="AM41" s="615"/>
      <c r="AN41" s="615"/>
      <c r="AO41" s="615"/>
      <c r="AP41" s="615"/>
      <c r="AQ41" s="615"/>
      <c r="AR41" s="615"/>
      <c r="AS41" s="615"/>
    </row>
    <row r="42" spans="12:45">
      <c r="L42" s="615"/>
      <c r="M42" s="615"/>
      <c r="AB42" s="615"/>
      <c r="AC42" s="615"/>
      <c r="AD42" s="615"/>
      <c r="AE42" s="615"/>
      <c r="AF42" s="615"/>
      <c r="AG42" s="615"/>
      <c r="AH42" s="615"/>
      <c r="AI42" s="615"/>
      <c r="AJ42" s="615"/>
      <c r="AK42" s="615"/>
      <c r="AL42" s="615"/>
      <c r="AM42" s="615"/>
      <c r="AN42" s="615"/>
      <c r="AO42" s="615"/>
      <c r="AP42" s="615"/>
      <c r="AQ42" s="615"/>
      <c r="AR42" s="615"/>
      <c r="AS42" s="615"/>
    </row>
    <row r="43" spans="12:45">
      <c r="L43" s="615"/>
      <c r="M43" s="615"/>
      <c r="AB43" s="615"/>
      <c r="AC43" s="615"/>
      <c r="AD43" s="615"/>
      <c r="AE43" s="615"/>
      <c r="AF43" s="615"/>
      <c r="AG43" s="615"/>
      <c r="AH43" s="615"/>
      <c r="AI43" s="615"/>
      <c r="AJ43" s="615"/>
      <c r="AK43" s="615"/>
      <c r="AL43" s="615"/>
      <c r="AM43" s="615"/>
      <c r="AN43" s="615"/>
      <c r="AO43" s="615"/>
      <c r="AP43" s="615"/>
      <c r="AQ43" s="615"/>
      <c r="AR43" s="615"/>
      <c r="AS43" s="615"/>
    </row>
    <row r="44" spans="12:45">
      <c r="L44" s="615"/>
      <c r="M44" s="615"/>
      <c r="AB44" s="615"/>
      <c r="AC44" s="615"/>
      <c r="AD44" s="615"/>
      <c r="AE44" s="615"/>
      <c r="AF44" s="615"/>
      <c r="AG44" s="615"/>
      <c r="AH44" s="615"/>
      <c r="AI44" s="615"/>
      <c r="AJ44" s="615"/>
      <c r="AK44" s="615"/>
      <c r="AL44" s="615"/>
      <c r="AM44" s="615"/>
      <c r="AN44" s="615"/>
      <c r="AO44" s="615"/>
      <c r="AP44" s="615"/>
      <c r="AQ44" s="615"/>
      <c r="AR44" s="615"/>
      <c r="AS44" s="615"/>
    </row>
    <row r="45" spans="12:45">
      <c r="L45" s="615"/>
      <c r="M45" s="615"/>
      <c r="AB45" s="615"/>
      <c r="AC45" s="615"/>
      <c r="AD45" s="615"/>
      <c r="AE45" s="615"/>
      <c r="AF45" s="615"/>
      <c r="AG45" s="615"/>
      <c r="AH45" s="615"/>
      <c r="AI45" s="615"/>
      <c r="AJ45" s="615"/>
      <c r="AK45" s="615"/>
      <c r="AL45" s="615"/>
      <c r="AM45" s="615"/>
      <c r="AN45" s="615"/>
      <c r="AO45" s="615"/>
      <c r="AP45" s="615"/>
      <c r="AQ45" s="615"/>
      <c r="AR45" s="615"/>
      <c r="AS45" s="615"/>
    </row>
    <row r="46" spans="12:45">
      <c r="L46" s="615"/>
      <c r="M46" s="615"/>
      <c r="AB46" s="615"/>
      <c r="AC46" s="615"/>
      <c r="AD46" s="615"/>
      <c r="AE46" s="615"/>
      <c r="AF46" s="615"/>
      <c r="AG46" s="615"/>
      <c r="AH46" s="615"/>
      <c r="AI46" s="615"/>
      <c r="AJ46" s="615"/>
      <c r="AK46" s="615"/>
      <c r="AL46" s="615"/>
      <c r="AM46" s="615"/>
      <c r="AN46" s="615"/>
      <c r="AO46" s="615"/>
      <c r="AP46" s="615"/>
      <c r="AQ46" s="615"/>
      <c r="AR46" s="615"/>
      <c r="AS46" s="615"/>
    </row>
    <row r="47" spans="12:45">
      <c r="L47" s="615"/>
      <c r="M47" s="615"/>
      <c r="AB47" s="615"/>
      <c r="AC47" s="615"/>
      <c r="AD47" s="615"/>
      <c r="AE47" s="615"/>
      <c r="AF47" s="615"/>
      <c r="AG47" s="615"/>
      <c r="AH47" s="615"/>
      <c r="AI47" s="615"/>
      <c r="AJ47" s="615"/>
      <c r="AK47" s="615"/>
      <c r="AL47" s="615"/>
      <c r="AM47" s="615"/>
      <c r="AN47" s="615"/>
      <c r="AO47" s="615"/>
      <c r="AP47" s="615"/>
      <c r="AQ47" s="615"/>
      <c r="AR47" s="615"/>
      <c r="AS47" s="615"/>
    </row>
    <row r="48" spans="12:45">
      <c r="L48" s="615"/>
      <c r="M48" s="615"/>
      <c r="AB48" s="615"/>
      <c r="AC48" s="615"/>
      <c r="AD48" s="615"/>
      <c r="AE48" s="615"/>
      <c r="AF48" s="615"/>
      <c r="AG48" s="615"/>
      <c r="AH48" s="615"/>
      <c r="AI48" s="615"/>
      <c r="AJ48" s="615"/>
      <c r="AK48" s="615"/>
      <c r="AL48" s="615"/>
      <c r="AM48" s="615"/>
      <c r="AN48" s="615"/>
      <c r="AO48" s="615"/>
      <c r="AP48" s="615"/>
      <c r="AQ48" s="615"/>
      <c r="AR48" s="615"/>
      <c r="AS48" s="615"/>
    </row>
    <row r="49" spans="12:45">
      <c r="L49" s="615"/>
      <c r="M49" s="615"/>
      <c r="AB49" s="615"/>
      <c r="AC49" s="615"/>
      <c r="AD49" s="615"/>
      <c r="AE49" s="615"/>
      <c r="AF49" s="615"/>
      <c r="AG49" s="615"/>
      <c r="AH49" s="615"/>
      <c r="AI49" s="615"/>
      <c r="AJ49" s="615"/>
      <c r="AK49" s="615"/>
      <c r="AL49" s="615"/>
      <c r="AM49" s="615"/>
      <c r="AN49" s="615"/>
      <c r="AO49" s="615"/>
      <c r="AP49" s="615"/>
      <c r="AQ49" s="615"/>
      <c r="AR49" s="615"/>
      <c r="AS49" s="615"/>
    </row>
    <row r="50" spans="12:45">
      <c r="L50" s="615"/>
      <c r="M50" s="615"/>
      <c r="AB50" s="615"/>
      <c r="AC50" s="615"/>
      <c r="AD50" s="615"/>
      <c r="AE50" s="615"/>
      <c r="AF50" s="615"/>
      <c r="AG50" s="615"/>
      <c r="AH50" s="615"/>
      <c r="AI50" s="615"/>
      <c r="AJ50" s="615"/>
      <c r="AK50" s="615"/>
      <c r="AL50" s="615"/>
      <c r="AM50" s="615"/>
      <c r="AN50" s="615"/>
      <c r="AO50" s="615"/>
      <c r="AP50" s="615"/>
      <c r="AQ50" s="615"/>
      <c r="AR50" s="615"/>
      <c r="AS50" s="615"/>
    </row>
    <row r="51" spans="12:45">
      <c r="L51" s="615"/>
      <c r="M51" s="615"/>
      <c r="AB51" s="615"/>
      <c r="AC51" s="615"/>
      <c r="AD51" s="615"/>
      <c r="AE51" s="615"/>
      <c r="AF51" s="615"/>
      <c r="AG51" s="615"/>
      <c r="AH51" s="615"/>
      <c r="AI51" s="615"/>
      <c r="AJ51" s="615"/>
      <c r="AK51" s="615"/>
      <c r="AL51" s="615"/>
      <c r="AM51" s="615"/>
      <c r="AN51" s="615"/>
      <c r="AO51" s="615"/>
      <c r="AP51" s="615"/>
      <c r="AQ51" s="615"/>
      <c r="AR51" s="615"/>
      <c r="AS51" s="615"/>
    </row>
    <row r="52" spans="12:45">
      <c r="L52" s="615"/>
      <c r="M52" s="615"/>
      <c r="AB52" s="615"/>
      <c r="AC52" s="615"/>
      <c r="AD52" s="615"/>
      <c r="AE52" s="615"/>
      <c r="AF52" s="615"/>
      <c r="AG52" s="615"/>
      <c r="AH52" s="615"/>
      <c r="AI52" s="615"/>
      <c r="AJ52" s="615"/>
      <c r="AK52" s="615"/>
      <c r="AL52" s="615"/>
      <c r="AM52" s="615"/>
      <c r="AN52" s="615"/>
      <c r="AO52" s="615"/>
      <c r="AP52" s="615"/>
      <c r="AQ52" s="615"/>
      <c r="AR52" s="615"/>
      <c r="AS52" s="615"/>
    </row>
    <row r="53" spans="12:45">
      <c r="L53" s="615"/>
      <c r="M53" s="615"/>
      <c r="AB53" s="615"/>
      <c r="AC53" s="615"/>
      <c r="AD53" s="615"/>
      <c r="AE53" s="615"/>
      <c r="AF53" s="615"/>
      <c r="AG53" s="615"/>
      <c r="AH53" s="615"/>
      <c r="AI53" s="615"/>
      <c r="AJ53" s="615"/>
      <c r="AK53" s="615"/>
      <c r="AL53" s="615"/>
      <c r="AM53" s="615"/>
      <c r="AN53" s="615"/>
      <c r="AO53" s="615"/>
      <c r="AP53" s="615"/>
      <c r="AQ53" s="615"/>
      <c r="AR53" s="615"/>
      <c r="AS53" s="615"/>
    </row>
    <row r="54" spans="12:45">
      <c r="L54" s="615"/>
      <c r="M54" s="615"/>
      <c r="AB54" s="615"/>
      <c r="AC54" s="615"/>
      <c r="AD54" s="615"/>
      <c r="AE54" s="615"/>
      <c r="AF54" s="615"/>
      <c r="AG54" s="615"/>
      <c r="AH54" s="615"/>
      <c r="AI54" s="615"/>
      <c r="AJ54" s="615"/>
      <c r="AK54" s="615"/>
      <c r="AL54" s="615"/>
      <c r="AM54" s="615"/>
      <c r="AN54" s="615"/>
      <c r="AO54" s="615"/>
      <c r="AP54" s="615"/>
      <c r="AQ54" s="615"/>
      <c r="AR54" s="615"/>
      <c r="AS54" s="615"/>
    </row>
    <row r="55" spans="12:45">
      <c r="L55" s="615"/>
      <c r="M55" s="615"/>
      <c r="AB55" s="615"/>
      <c r="AC55" s="615"/>
      <c r="AD55" s="615"/>
      <c r="AE55" s="615"/>
      <c r="AF55" s="615"/>
      <c r="AG55" s="615"/>
      <c r="AH55" s="615"/>
      <c r="AI55" s="615"/>
      <c r="AJ55" s="615"/>
      <c r="AK55" s="615"/>
      <c r="AL55" s="615"/>
      <c r="AM55" s="615"/>
      <c r="AN55" s="615"/>
      <c r="AO55" s="615"/>
      <c r="AP55" s="615"/>
      <c r="AQ55" s="615"/>
      <c r="AR55" s="615"/>
      <c r="AS55" s="615"/>
    </row>
    <row r="56" spans="12:45">
      <c r="L56" s="615"/>
      <c r="M56" s="615"/>
      <c r="AB56" s="615"/>
      <c r="AC56" s="615"/>
      <c r="AD56" s="615"/>
      <c r="AE56" s="615"/>
      <c r="AF56" s="615"/>
      <c r="AG56" s="615"/>
      <c r="AH56" s="615"/>
      <c r="AI56" s="615"/>
      <c r="AJ56" s="615"/>
      <c r="AK56" s="615"/>
      <c r="AL56" s="615"/>
      <c r="AM56" s="615"/>
      <c r="AN56" s="615"/>
      <c r="AO56" s="615"/>
      <c r="AP56" s="615"/>
      <c r="AQ56" s="615"/>
      <c r="AR56" s="615"/>
      <c r="AS56" s="615"/>
    </row>
    <row r="57" spans="12:45">
      <c r="L57" s="615"/>
      <c r="M57" s="615"/>
      <c r="AB57" s="615"/>
      <c r="AC57" s="615"/>
      <c r="AD57" s="615"/>
      <c r="AE57" s="615"/>
      <c r="AF57" s="615"/>
      <c r="AG57" s="615"/>
      <c r="AH57" s="615"/>
      <c r="AI57" s="615"/>
      <c r="AJ57" s="615"/>
      <c r="AK57" s="615"/>
      <c r="AL57" s="615"/>
      <c r="AM57" s="615"/>
      <c r="AN57" s="615"/>
      <c r="AO57" s="615"/>
      <c r="AP57" s="615"/>
      <c r="AQ57" s="615"/>
      <c r="AR57" s="615"/>
      <c r="AS57" s="615"/>
    </row>
    <row r="58" spans="12:45">
      <c r="L58" s="615"/>
      <c r="M58" s="615"/>
      <c r="AB58" s="615"/>
      <c r="AC58" s="615"/>
      <c r="AD58" s="615"/>
      <c r="AE58" s="615"/>
      <c r="AF58" s="615"/>
      <c r="AG58" s="615"/>
      <c r="AH58" s="615"/>
      <c r="AI58" s="615"/>
      <c r="AJ58" s="615"/>
      <c r="AK58" s="615"/>
      <c r="AL58" s="615"/>
      <c r="AM58" s="615"/>
      <c r="AN58" s="615"/>
      <c r="AO58" s="615"/>
      <c r="AP58" s="615"/>
      <c r="AQ58" s="615"/>
      <c r="AR58" s="615"/>
      <c r="AS58" s="615"/>
    </row>
    <row r="59" spans="12:45">
      <c r="L59" s="615"/>
      <c r="M59" s="615"/>
      <c r="AB59" s="615"/>
      <c r="AC59" s="615"/>
      <c r="AD59" s="615"/>
      <c r="AE59" s="615"/>
      <c r="AF59" s="615"/>
      <c r="AG59" s="615"/>
      <c r="AH59" s="615"/>
      <c r="AI59" s="615"/>
      <c r="AJ59" s="615"/>
      <c r="AK59" s="615"/>
      <c r="AL59" s="615"/>
      <c r="AM59" s="615"/>
      <c r="AN59" s="615"/>
      <c r="AO59" s="615"/>
      <c r="AP59" s="615"/>
      <c r="AQ59" s="615"/>
      <c r="AR59" s="615"/>
      <c r="AS59" s="615"/>
    </row>
    <row r="60" spans="12:45">
      <c r="L60" s="615"/>
      <c r="M60" s="615"/>
      <c r="AB60" s="615"/>
      <c r="AC60" s="615"/>
      <c r="AD60" s="615"/>
      <c r="AE60" s="615"/>
      <c r="AF60" s="615"/>
      <c r="AG60" s="615"/>
      <c r="AH60" s="615"/>
      <c r="AI60" s="615"/>
      <c r="AJ60" s="615"/>
      <c r="AK60" s="615"/>
      <c r="AL60" s="615"/>
      <c r="AM60" s="615"/>
      <c r="AN60" s="615"/>
      <c r="AO60" s="615"/>
      <c r="AP60" s="615"/>
      <c r="AQ60" s="615"/>
      <c r="AR60" s="615"/>
      <c r="AS60" s="615"/>
    </row>
    <row r="61" spans="12:45">
      <c r="L61" s="615"/>
      <c r="M61" s="615"/>
      <c r="AB61" s="615"/>
      <c r="AC61" s="615"/>
      <c r="AD61" s="615"/>
      <c r="AE61" s="615"/>
      <c r="AF61" s="615"/>
      <c r="AG61" s="615"/>
      <c r="AH61" s="615"/>
      <c r="AI61" s="615"/>
      <c r="AJ61" s="615"/>
      <c r="AK61" s="615"/>
      <c r="AL61" s="615"/>
      <c r="AM61" s="615"/>
      <c r="AN61" s="615"/>
      <c r="AO61" s="615"/>
      <c r="AP61" s="615"/>
      <c r="AQ61" s="615"/>
      <c r="AR61" s="615"/>
      <c r="AS61" s="615"/>
    </row>
    <row r="62" spans="12:45">
      <c r="L62" s="615"/>
      <c r="M62" s="615"/>
      <c r="AB62" s="615"/>
      <c r="AC62" s="615"/>
      <c r="AD62" s="615"/>
      <c r="AE62" s="615"/>
      <c r="AF62" s="615"/>
      <c r="AG62" s="615"/>
      <c r="AH62" s="615"/>
      <c r="AI62" s="615"/>
      <c r="AJ62" s="615"/>
      <c r="AK62" s="615"/>
      <c r="AL62" s="615"/>
      <c r="AM62" s="615"/>
      <c r="AN62" s="615"/>
      <c r="AO62" s="615"/>
      <c r="AP62" s="615"/>
      <c r="AQ62" s="615"/>
      <c r="AR62" s="615"/>
      <c r="AS62" s="615"/>
    </row>
    <row r="63" spans="12:45">
      <c r="L63" s="615"/>
      <c r="M63" s="615"/>
      <c r="AB63" s="615"/>
      <c r="AC63" s="615"/>
      <c r="AD63" s="615"/>
      <c r="AE63" s="615"/>
      <c r="AF63" s="615"/>
      <c r="AG63" s="615"/>
      <c r="AH63" s="615"/>
      <c r="AI63" s="615"/>
      <c r="AJ63" s="615"/>
      <c r="AK63" s="615"/>
      <c r="AL63" s="615"/>
      <c r="AM63" s="615"/>
      <c r="AN63" s="615"/>
      <c r="AO63" s="615"/>
      <c r="AP63" s="615"/>
      <c r="AQ63" s="615"/>
      <c r="AR63" s="615"/>
      <c r="AS63" s="615"/>
    </row>
    <row r="64" spans="12:45">
      <c r="L64" s="615"/>
      <c r="M64" s="615"/>
      <c r="AB64" s="615"/>
      <c r="AC64" s="615"/>
      <c r="AD64" s="615"/>
      <c r="AE64" s="615"/>
      <c r="AF64" s="615"/>
      <c r="AG64" s="615"/>
      <c r="AH64" s="615"/>
      <c r="AI64" s="615"/>
      <c r="AJ64" s="615"/>
      <c r="AK64" s="615"/>
      <c r="AL64" s="615"/>
      <c r="AM64" s="615"/>
      <c r="AN64" s="615"/>
      <c r="AO64" s="615"/>
      <c r="AP64" s="615"/>
      <c r="AQ64" s="615"/>
      <c r="AR64" s="615"/>
      <c r="AS64" s="615"/>
    </row>
    <row r="65" spans="12:45">
      <c r="L65" s="615"/>
      <c r="M65" s="615"/>
      <c r="AB65" s="615"/>
      <c r="AC65" s="615"/>
      <c r="AD65" s="615"/>
      <c r="AE65" s="615"/>
      <c r="AF65" s="615"/>
      <c r="AG65" s="615"/>
      <c r="AH65" s="615"/>
      <c r="AI65" s="615"/>
      <c r="AJ65" s="615"/>
      <c r="AK65" s="615"/>
      <c r="AL65" s="615"/>
      <c r="AM65" s="615"/>
      <c r="AN65" s="615"/>
      <c r="AO65" s="615"/>
      <c r="AP65" s="615"/>
      <c r="AQ65" s="615"/>
      <c r="AR65" s="615"/>
      <c r="AS65" s="615"/>
    </row>
    <row r="66" spans="12:45">
      <c r="L66" s="615"/>
      <c r="M66" s="615"/>
      <c r="AB66" s="615"/>
      <c r="AC66" s="615"/>
      <c r="AD66" s="615"/>
      <c r="AE66" s="615"/>
      <c r="AF66" s="615"/>
      <c r="AG66" s="615"/>
      <c r="AH66" s="615"/>
      <c r="AI66" s="615"/>
      <c r="AJ66" s="615"/>
      <c r="AK66" s="615"/>
      <c r="AL66" s="615"/>
      <c r="AM66" s="615"/>
      <c r="AN66" s="615"/>
      <c r="AO66" s="615"/>
      <c r="AP66" s="615"/>
      <c r="AQ66" s="615"/>
      <c r="AR66" s="615"/>
      <c r="AS66" s="615"/>
    </row>
    <row r="67" spans="12:45">
      <c r="L67" s="615"/>
      <c r="M67" s="615"/>
      <c r="AB67" s="615"/>
      <c r="AC67" s="615"/>
      <c r="AD67" s="615"/>
      <c r="AE67" s="615"/>
      <c r="AF67" s="615"/>
      <c r="AG67" s="615"/>
      <c r="AH67" s="615"/>
      <c r="AI67" s="615"/>
      <c r="AJ67" s="615"/>
      <c r="AK67" s="615"/>
      <c r="AL67" s="615"/>
      <c r="AM67" s="615"/>
      <c r="AN67" s="615"/>
      <c r="AO67" s="615"/>
      <c r="AP67" s="615"/>
      <c r="AQ67" s="615"/>
      <c r="AR67" s="615"/>
      <c r="AS67" s="615"/>
    </row>
    <row r="68" spans="12:45">
      <c r="L68" s="615"/>
      <c r="M68" s="615"/>
      <c r="AB68" s="615"/>
      <c r="AC68" s="615"/>
      <c r="AD68" s="615"/>
      <c r="AE68" s="615"/>
      <c r="AF68" s="615"/>
      <c r="AG68" s="615"/>
      <c r="AH68" s="615"/>
      <c r="AI68" s="615"/>
      <c r="AJ68" s="615"/>
      <c r="AK68" s="615"/>
      <c r="AL68" s="615"/>
      <c r="AM68" s="615"/>
      <c r="AN68" s="615"/>
      <c r="AO68" s="615"/>
      <c r="AP68" s="615"/>
      <c r="AQ68" s="615"/>
      <c r="AR68" s="615"/>
      <c r="AS68" s="615"/>
    </row>
    <row r="69" spans="12:45">
      <c r="L69" s="615"/>
      <c r="M69" s="615"/>
      <c r="AB69" s="615"/>
      <c r="AC69" s="615"/>
      <c r="AD69" s="615"/>
      <c r="AE69" s="615"/>
      <c r="AF69" s="615"/>
      <c r="AG69" s="615"/>
      <c r="AH69" s="615"/>
      <c r="AI69" s="615"/>
      <c r="AJ69" s="615"/>
      <c r="AK69" s="615"/>
      <c r="AL69" s="615"/>
      <c r="AM69" s="615"/>
      <c r="AN69" s="615"/>
      <c r="AO69" s="615"/>
      <c r="AP69" s="615"/>
      <c r="AQ69" s="615"/>
      <c r="AR69" s="615"/>
      <c r="AS69" s="615"/>
    </row>
    <row r="70" spans="12:45">
      <c r="L70" s="615"/>
      <c r="M70" s="615"/>
      <c r="AB70" s="615"/>
      <c r="AC70" s="615"/>
      <c r="AD70" s="615"/>
      <c r="AE70" s="615"/>
      <c r="AF70" s="615"/>
      <c r="AG70" s="615"/>
      <c r="AH70" s="615"/>
      <c r="AI70" s="615"/>
      <c r="AJ70" s="615"/>
      <c r="AK70" s="615"/>
      <c r="AL70" s="615"/>
      <c r="AM70" s="615"/>
      <c r="AN70" s="615"/>
      <c r="AO70" s="615"/>
      <c r="AP70" s="615"/>
      <c r="AQ70" s="615"/>
      <c r="AR70" s="615"/>
      <c r="AS70" s="615"/>
    </row>
    <row r="71" spans="12:45">
      <c r="L71" s="615"/>
      <c r="M71" s="615"/>
      <c r="AB71" s="615"/>
      <c r="AC71" s="615"/>
      <c r="AD71" s="615"/>
      <c r="AE71" s="615"/>
      <c r="AF71" s="615"/>
      <c r="AG71" s="615"/>
      <c r="AH71" s="615"/>
      <c r="AI71" s="615"/>
      <c r="AJ71" s="615"/>
      <c r="AK71" s="615"/>
      <c r="AL71" s="615"/>
      <c r="AM71" s="615"/>
      <c r="AN71" s="615"/>
      <c r="AO71" s="615"/>
      <c r="AP71" s="615"/>
      <c r="AQ71" s="615"/>
      <c r="AR71" s="615"/>
      <c r="AS71" s="615"/>
    </row>
    <row r="72" spans="12:45">
      <c r="L72" s="615"/>
      <c r="M72" s="615"/>
      <c r="AB72" s="615"/>
      <c r="AC72" s="615"/>
      <c r="AD72" s="615"/>
      <c r="AE72" s="615"/>
      <c r="AF72" s="615"/>
      <c r="AG72" s="615"/>
      <c r="AH72" s="615"/>
      <c r="AI72" s="615"/>
      <c r="AJ72" s="615"/>
      <c r="AK72" s="615"/>
      <c r="AL72" s="615"/>
      <c r="AM72" s="615"/>
      <c r="AN72" s="615"/>
      <c r="AO72" s="615"/>
      <c r="AP72" s="615"/>
      <c r="AQ72" s="615"/>
      <c r="AR72" s="615"/>
      <c r="AS72" s="615"/>
    </row>
    <row r="73" spans="12:45">
      <c r="L73" s="615"/>
      <c r="M73" s="615"/>
      <c r="AB73" s="615"/>
      <c r="AC73" s="615"/>
      <c r="AD73" s="615"/>
      <c r="AE73" s="615"/>
      <c r="AF73" s="615"/>
      <c r="AG73" s="615"/>
      <c r="AH73" s="615"/>
      <c r="AI73" s="615"/>
      <c r="AJ73" s="615"/>
      <c r="AK73" s="615"/>
      <c r="AL73" s="615"/>
      <c r="AM73" s="615"/>
      <c r="AN73" s="615"/>
      <c r="AO73" s="615"/>
      <c r="AP73" s="615"/>
      <c r="AQ73" s="615"/>
      <c r="AR73" s="615"/>
      <c r="AS73" s="615"/>
    </row>
    <row r="74" spans="12:45">
      <c r="L74" s="615"/>
      <c r="M74" s="615"/>
      <c r="AB74" s="615"/>
      <c r="AC74" s="615"/>
      <c r="AD74" s="615"/>
      <c r="AE74" s="615"/>
      <c r="AF74" s="615"/>
      <c r="AG74" s="615"/>
      <c r="AH74" s="615"/>
      <c r="AI74" s="615"/>
      <c r="AJ74" s="615"/>
      <c r="AK74" s="615"/>
      <c r="AL74" s="615"/>
      <c r="AM74" s="615"/>
      <c r="AN74" s="615"/>
      <c r="AO74" s="615"/>
      <c r="AP74" s="615"/>
      <c r="AQ74" s="615"/>
      <c r="AR74" s="615"/>
      <c r="AS74" s="615"/>
    </row>
    <row r="75" spans="12:45">
      <c r="L75" s="615"/>
      <c r="M75" s="615"/>
      <c r="AB75" s="615"/>
      <c r="AC75" s="615"/>
      <c r="AD75" s="615"/>
      <c r="AE75" s="615"/>
      <c r="AF75" s="615"/>
      <c r="AG75" s="615"/>
      <c r="AH75" s="615"/>
      <c r="AI75" s="615"/>
      <c r="AJ75" s="615"/>
      <c r="AK75" s="615"/>
      <c r="AL75" s="615"/>
      <c r="AM75" s="615"/>
      <c r="AN75" s="615"/>
      <c r="AO75" s="615"/>
      <c r="AP75" s="615"/>
      <c r="AQ75" s="615"/>
      <c r="AR75" s="615"/>
      <c r="AS75" s="615"/>
    </row>
    <row r="76" spans="12:45">
      <c r="L76" s="615"/>
      <c r="M76" s="615"/>
      <c r="AB76" s="615"/>
      <c r="AC76" s="615"/>
      <c r="AD76" s="615"/>
      <c r="AE76" s="615"/>
      <c r="AF76" s="615"/>
      <c r="AG76" s="615"/>
      <c r="AH76" s="615"/>
      <c r="AI76" s="615"/>
      <c r="AJ76" s="615"/>
      <c r="AK76" s="615"/>
      <c r="AL76" s="615"/>
      <c r="AM76" s="615"/>
      <c r="AN76" s="615"/>
      <c r="AO76" s="615"/>
      <c r="AP76" s="615"/>
      <c r="AQ76" s="615"/>
      <c r="AR76" s="615"/>
      <c r="AS76" s="615"/>
    </row>
    <row r="77" spans="12:45">
      <c r="L77" s="615"/>
      <c r="M77" s="615"/>
      <c r="AB77" s="615"/>
      <c r="AC77" s="615"/>
      <c r="AD77" s="615"/>
      <c r="AE77" s="615"/>
      <c r="AF77" s="615"/>
      <c r="AG77" s="615"/>
      <c r="AH77" s="615"/>
      <c r="AI77" s="615"/>
      <c r="AJ77" s="615"/>
      <c r="AK77" s="615"/>
      <c r="AL77" s="615"/>
      <c r="AM77" s="615"/>
      <c r="AN77" s="615"/>
      <c r="AO77" s="615"/>
      <c r="AP77" s="615"/>
      <c r="AQ77" s="615"/>
      <c r="AR77" s="615"/>
      <c r="AS77" s="615"/>
    </row>
    <row r="78" spans="12:45">
      <c r="L78" s="615"/>
      <c r="M78" s="615"/>
      <c r="AB78" s="615"/>
      <c r="AC78" s="615"/>
      <c r="AD78" s="615"/>
      <c r="AE78" s="615"/>
      <c r="AF78" s="615"/>
      <c r="AG78" s="615"/>
      <c r="AH78" s="615"/>
      <c r="AI78" s="615"/>
      <c r="AJ78" s="615"/>
      <c r="AK78" s="615"/>
      <c r="AL78" s="615"/>
      <c r="AM78" s="615"/>
      <c r="AN78" s="615"/>
      <c r="AO78" s="615"/>
      <c r="AP78" s="615"/>
      <c r="AQ78" s="615"/>
      <c r="AR78" s="615"/>
      <c r="AS78" s="615"/>
    </row>
    <row r="79" spans="12:45">
      <c r="L79" s="615"/>
      <c r="M79" s="615"/>
      <c r="AB79" s="615"/>
      <c r="AC79" s="615"/>
      <c r="AD79" s="615"/>
      <c r="AE79" s="615"/>
      <c r="AF79" s="615"/>
      <c r="AG79" s="615"/>
      <c r="AH79" s="615"/>
      <c r="AI79" s="615"/>
      <c r="AJ79" s="615"/>
      <c r="AK79" s="615"/>
      <c r="AL79" s="615"/>
      <c r="AM79" s="615"/>
      <c r="AN79" s="615"/>
      <c r="AO79" s="615"/>
      <c r="AP79" s="615"/>
      <c r="AQ79" s="615"/>
      <c r="AR79" s="615"/>
      <c r="AS79" s="615"/>
    </row>
    <row r="80" spans="12:45">
      <c r="L80" s="615"/>
      <c r="M80" s="615"/>
      <c r="AB80" s="615"/>
      <c r="AC80" s="615"/>
      <c r="AD80" s="615"/>
      <c r="AE80" s="615"/>
      <c r="AF80" s="615"/>
      <c r="AG80" s="615"/>
      <c r="AH80" s="615"/>
      <c r="AI80" s="615"/>
      <c r="AJ80" s="615"/>
      <c r="AK80" s="615"/>
      <c r="AL80" s="615"/>
      <c r="AM80" s="615"/>
      <c r="AN80" s="615"/>
      <c r="AO80" s="615"/>
      <c r="AP80" s="615"/>
      <c r="AQ80" s="615"/>
      <c r="AR80" s="615"/>
      <c r="AS80" s="615"/>
    </row>
    <row r="81" spans="12:45">
      <c r="L81" s="615"/>
      <c r="M81" s="615"/>
      <c r="AB81" s="615"/>
      <c r="AC81" s="615"/>
      <c r="AD81" s="615"/>
      <c r="AE81" s="615"/>
      <c r="AF81" s="615"/>
      <c r="AG81" s="615"/>
      <c r="AH81" s="615"/>
      <c r="AI81" s="615"/>
      <c r="AJ81" s="615"/>
      <c r="AK81" s="615"/>
      <c r="AL81" s="615"/>
      <c r="AM81" s="615"/>
      <c r="AN81" s="615"/>
      <c r="AO81" s="615"/>
      <c r="AP81" s="615"/>
      <c r="AQ81" s="615"/>
      <c r="AR81" s="615"/>
      <c r="AS81" s="615"/>
    </row>
    <row r="82" spans="12:45">
      <c r="L82" s="615"/>
      <c r="M82" s="615"/>
      <c r="AB82" s="615"/>
      <c r="AC82" s="615"/>
      <c r="AD82" s="615"/>
      <c r="AE82" s="615"/>
      <c r="AF82" s="615"/>
      <c r="AG82" s="615"/>
      <c r="AH82" s="615"/>
      <c r="AI82" s="615"/>
      <c r="AJ82" s="615"/>
      <c r="AK82" s="615"/>
      <c r="AL82" s="615"/>
      <c r="AM82" s="615"/>
      <c r="AN82" s="615"/>
      <c r="AO82" s="615"/>
      <c r="AP82" s="615"/>
      <c r="AQ82" s="615"/>
      <c r="AR82" s="615"/>
      <c r="AS82" s="615"/>
    </row>
    <row r="83" spans="12:45">
      <c r="L83" s="615"/>
      <c r="M83" s="615"/>
      <c r="AB83" s="615"/>
      <c r="AC83" s="615"/>
      <c r="AD83" s="615"/>
      <c r="AE83" s="615"/>
      <c r="AF83" s="615"/>
      <c r="AG83" s="615"/>
      <c r="AH83" s="615"/>
      <c r="AI83" s="615"/>
      <c r="AJ83" s="615"/>
      <c r="AK83" s="615"/>
      <c r="AL83" s="615"/>
      <c r="AM83" s="615"/>
      <c r="AN83" s="615"/>
      <c r="AO83" s="615"/>
      <c r="AP83" s="615"/>
      <c r="AQ83" s="615"/>
      <c r="AR83" s="615"/>
      <c r="AS83" s="615"/>
    </row>
    <row r="84" spans="12:45">
      <c r="L84" s="615"/>
      <c r="M84" s="615"/>
      <c r="AB84" s="615"/>
      <c r="AC84" s="615"/>
      <c r="AD84" s="615"/>
      <c r="AE84" s="615"/>
      <c r="AF84" s="615"/>
      <c r="AG84" s="615"/>
      <c r="AH84" s="615"/>
      <c r="AI84" s="615"/>
      <c r="AJ84" s="615"/>
      <c r="AK84" s="615"/>
      <c r="AL84" s="615"/>
      <c r="AM84" s="615"/>
      <c r="AN84" s="615"/>
      <c r="AO84" s="615"/>
      <c r="AP84" s="615"/>
      <c r="AQ84" s="615"/>
      <c r="AR84" s="615"/>
      <c r="AS84" s="615"/>
    </row>
    <row r="85" spans="12:45">
      <c r="L85" s="615"/>
      <c r="M85" s="615"/>
      <c r="AB85" s="615"/>
      <c r="AC85" s="615"/>
      <c r="AD85" s="615"/>
      <c r="AE85" s="615"/>
      <c r="AF85" s="615"/>
      <c r="AG85" s="615"/>
      <c r="AH85" s="615"/>
      <c r="AI85" s="615"/>
      <c r="AJ85" s="615"/>
      <c r="AK85" s="615"/>
      <c r="AL85" s="615"/>
      <c r="AM85" s="615"/>
      <c r="AN85" s="615"/>
      <c r="AO85" s="615"/>
      <c r="AP85" s="615"/>
      <c r="AQ85" s="615"/>
      <c r="AR85" s="615"/>
      <c r="AS85" s="615"/>
    </row>
    <row r="86" spans="12:45">
      <c r="L86" s="615"/>
      <c r="M86" s="615"/>
      <c r="AB86" s="615"/>
      <c r="AC86" s="615"/>
      <c r="AD86" s="615"/>
      <c r="AE86" s="615"/>
      <c r="AF86" s="615"/>
      <c r="AG86" s="615"/>
      <c r="AH86" s="615"/>
      <c r="AI86" s="615"/>
      <c r="AJ86" s="615"/>
      <c r="AK86" s="615"/>
      <c r="AL86" s="615"/>
      <c r="AM86" s="615"/>
      <c r="AN86" s="615"/>
      <c r="AO86" s="615"/>
      <c r="AP86" s="615"/>
      <c r="AQ86" s="615"/>
      <c r="AR86" s="615"/>
      <c r="AS86" s="615"/>
    </row>
    <row r="87" spans="12:45">
      <c r="L87" s="615"/>
      <c r="M87" s="615"/>
      <c r="AB87" s="615"/>
      <c r="AC87" s="615"/>
      <c r="AD87" s="615"/>
      <c r="AE87" s="615"/>
      <c r="AF87" s="615"/>
      <c r="AG87" s="615"/>
      <c r="AH87" s="615"/>
      <c r="AI87" s="615"/>
      <c r="AJ87" s="615"/>
      <c r="AK87" s="615"/>
      <c r="AL87" s="615"/>
      <c r="AM87" s="615"/>
      <c r="AN87" s="615"/>
      <c r="AO87" s="615"/>
      <c r="AP87" s="615"/>
      <c r="AQ87" s="615"/>
      <c r="AR87" s="615"/>
      <c r="AS87" s="615"/>
    </row>
    <row r="88" spans="12:45">
      <c r="L88" s="615"/>
      <c r="M88" s="615"/>
      <c r="AB88" s="615"/>
      <c r="AC88" s="615"/>
      <c r="AD88" s="615"/>
      <c r="AE88" s="615"/>
      <c r="AF88" s="615"/>
      <c r="AG88" s="615"/>
      <c r="AH88" s="615"/>
      <c r="AI88" s="615"/>
      <c r="AJ88" s="615"/>
      <c r="AK88" s="615"/>
      <c r="AL88" s="615"/>
      <c r="AM88" s="615"/>
      <c r="AN88" s="615"/>
      <c r="AO88" s="615"/>
      <c r="AP88" s="615"/>
      <c r="AQ88" s="615"/>
      <c r="AR88" s="615"/>
      <c r="AS88" s="615"/>
    </row>
    <row r="89" spans="12:45">
      <c r="L89" s="615"/>
      <c r="M89" s="615"/>
      <c r="AB89" s="615"/>
      <c r="AC89" s="615"/>
      <c r="AD89" s="615"/>
      <c r="AE89" s="615"/>
      <c r="AF89" s="615"/>
      <c r="AG89" s="615"/>
      <c r="AH89" s="615"/>
      <c r="AI89" s="615"/>
      <c r="AJ89" s="615"/>
      <c r="AK89" s="615"/>
      <c r="AL89" s="615"/>
      <c r="AM89" s="615"/>
      <c r="AN89" s="615"/>
      <c r="AO89" s="615"/>
      <c r="AP89" s="615"/>
      <c r="AQ89" s="615"/>
      <c r="AR89" s="615"/>
      <c r="AS89" s="615"/>
    </row>
    <row r="90" spans="12:45">
      <c r="L90" s="615"/>
      <c r="M90" s="615"/>
      <c r="AB90" s="615"/>
      <c r="AC90" s="615"/>
      <c r="AD90" s="615"/>
      <c r="AE90" s="615"/>
      <c r="AF90" s="615"/>
      <c r="AG90" s="615"/>
      <c r="AH90" s="615"/>
      <c r="AI90" s="615"/>
      <c r="AJ90" s="615"/>
      <c r="AK90" s="615"/>
      <c r="AL90" s="615"/>
      <c r="AM90" s="615"/>
      <c r="AN90" s="615"/>
      <c r="AO90" s="615"/>
      <c r="AP90" s="615"/>
      <c r="AQ90" s="615"/>
      <c r="AR90" s="615"/>
      <c r="AS90" s="615"/>
    </row>
    <row r="91" spans="12:45">
      <c r="L91" s="615"/>
      <c r="M91" s="615"/>
      <c r="AB91" s="615"/>
      <c r="AC91" s="615"/>
      <c r="AD91" s="615"/>
      <c r="AE91" s="615"/>
      <c r="AF91" s="615"/>
      <c r="AG91" s="615"/>
      <c r="AH91" s="615"/>
      <c r="AI91" s="615"/>
      <c r="AJ91" s="615"/>
      <c r="AK91" s="615"/>
      <c r="AL91" s="615"/>
      <c r="AM91" s="615"/>
      <c r="AN91" s="615"/>
      <c r="AO91" s="615"/>
      <c r="AP91" s="615"/>
      <c r="AQ91" s="615"/>
      <c r="AR91" s="615"/>
      <c r="AS91" s="615"/>
    </row>
    <row r="92" spans="12:45">
      <c r="L92" s="615"/>
      <c r="M92" s="615"/>
      <c r="AB92" s="615"/>
      <c r="AC92" s="615"/>
      <c r="AD92" s="615"/>
      <c r="AE92" s="615"/>
      <c r="AF92" s="615"/>
      <c r="AG92" s="615"/>
      <c r="AH92" s="615"/>
      <c r="AI92" s="615"/>
      <c r="AJ92" s="615"/>
      <c r="AK92" s="615"/>
      <c r="AL92" s="615"/>
      <c r="AM92" s="615"/>
      <c r="AN92" s="615"/>
      <c r="AO92" s="615"/>
      <c r="AP92" s="615"/>
      <c r="AQ92" s="615"/>
      <c r="AR92" s="615"/>
      <c r="AS92" s="615"/>
    </row>
    <row r="93" spans="12:45">
      <c r="L93" s="615"/>
      <c r="M93" s="615"/>
      <c r="AB93" s="615"/>
      <c r="AC93" s="615"/>
      <c r="AD93" s="615"/>
      <c r="AE93" s="615"/>
      <c r="AF93" s="615"/>
      <c r="AG93" s="615"/>
      <c r="AH93" s="615"/>
      <c r="AI93" s="615"/>
      <c r="AJ93" s="615"/>
      <c r="AK93" s="615"/>
      <c r="AL93" s="615"/>
      <c r="AM93" s="615"/>
      <c r="AN93" s="615"/>
      <c r="AO93" s="615"/>
      <c r="AP93" s="615"/>
      <c r="AQ93" s="615"/>
      <c r="AR93" s="615"/>
      <c r="AS93" s="615"/>
    </row>
    <row r="94" spans="12:45">
      <c r="L94" s="615"/>
      <c r="M94" s="615"/>
      <c r="AB94" s="615"/>
      <c r="AC94" s="615"/>
      <c r="AD94" s="615"/>
      <c r="AE94" s="615"/>
      <c r="AF94" s="615"/>
      <c r="AG94" s="615"/>
      <c r="AH94" s="615"/>
      <c r="AI94" s="615"/>
      <c r="AJ94" s="615"/>
      <c r="AK94" s="615"/>
      <c r="AL94" s="615"/>
      <c r="AM94" s="615"/>
      <c r="AN94" s="615"/>
      <c r="AO94" s="615"/>
      <c r="AP94" s="615"/>
      <c r="AQ94" s="615"/>
      <c r="AR94" s="615"/>
      <c r="AS94" s="615"/>
    </row>
    <row r="95" spans="12:45">
      <c r="L95" s="615"/>
      <c r="M95" s="615"/>
      <c r="AB95" s="615"/>
      <c r="AC95" s="615"/>
      <c r="AD95" s="615"/>
      <c r="AE95" s="615"/>
      <c r="AF95" s="615"/>
      <c r="AG95" s="615"/>
      <c r="AH95" s="615"/>
      <c r="AI95" s="615"/>
      <c r="AJ95" s="615"/>
      <c r="AK95" s="615"/>
      <c r="AL95" s="615"/>
      <c r="AM95" s="615"/>
      <c r="AN95" s="615"/>
      <c r="AO95" s="615"/>
      <c r="AP95" s="615"/>
      <c r="AQ95" s="615"/>
      <c r="AR95" s="615"/>
      <c r="AS95" s="615"/>
    </row>
    <row r="96" spans="12:45">
      <c r="L96" s="615"/>
      <c r="M96" s="615"/>
      <c r="AB96" s="615"/>
      <c r="AC96" s="615"/>
      <c r="AD96" s="615"/>
      <c r="AE96" s="615"/>
      <c r="AF96" s="615"/>
      <c r="AG96" s="615"/>
      <c r="AH96" s="615"/>
      <c r="AI96" s="615"/>
      <c r="AJ96" s="615"/>
      <c r="AK96" s="615"/>
      <c r="AL96" s="615"/>
      <c r="AM96" s="615"/>
      <c r="AN96" s="615"/>
      <c r="AO96" s="615"/>
      <c r="AP96" s="615"/>
      <c r="AQ96" s="615"/>
      <c r="AR96" s="615"/>
      <c r="AS96" s="615"/>
    </row>
    <row r="97" spans="12:45">
      <c r="L97" s="615"/>
      <c r="M97" s="615"/>
      <c r="AB97" s="615"/>
      <c r="AC97" s="615"/>
      <c r="AD97" s="615"/>
      <c r="AE97" s="615"/>
      <c r="AF97" s="615"/>
      <c r="AG97" s="615"/>
      <c r="AH97" s="615"/>
      <c r="AI97" s="615"/>
      <c r="AJ97" s="615"/>
      <c r="AK97" s="615"/>
      <c r="AL97" s="615"/>
      <c r="AM97" s="615"/>
      <c r="AN97" s="615"/>
      <c r="AO97" s="615"/>
      <c r="AP97" s="615"/>
      <c r="AQ97" s="615"/>
      <c r="AR97" s="615"/>
      <c r="AS97" s="615"/>
    </row>
    <row r="98" spans="12:45">
      <c r="L98" s="615"/>
      <c r="M98" s="615"/>
      <c r="AB98" s="615"/>
      <c r="AC98" s="615"/>
      <c r="AD98" s="615"/>
      <c r="AE98" s="615"/>
      <c r="AF98" s="615"/>
      <c r="AG98" s="615"/>
      <c r="AH98" s="615"/>
      <c r="AI98" s="615"/>
      <c r="AJ98" s="615"/>
      <c r="AK98" s="615"/>
      <c r="AL98" s="615"/>
      <c r="AM98" s="615"/>
      <c r="AN98" s="615"/>
      <c r="AO98" s="615"/>
      <c r="AP98" s="615"/>
      <c r="AQ98" s="615"/>
      <c r="AR98" s="615"/>
      <c r="AS98" s="615"/>
    </row>
    <row r="99" spans="12:45">
      <c r="L99" s="615"/>
      <c r="M99" s="615"/>
      <c r="AB99" s="615"/>
      <c r="AC99" s="615"/>
      <c r="AD99" s="615"/>
      <c r="AE99" s="615"/>
      <c r="AF99" s="615"/>
      <c r="AG99" s="615"/>
      <c r="AH99" s="615"/>
      <c r="AI99" s="615"/>
      <c r="AJ99" s="615"/>
      <c r="AK99" s="615"/>
      <c r="AL99" s="615"/>
      <c r="AM99" s="615"/>
      <c r="AN99" s="615"/>
      <c r="AO99" s="615"/>
      <c r="AP99" s="615"/>
      <c r="AQ99" s="615"/>
      <c r="AR99" s="615"/>
      <c r="AS99" s="615"/>
    </row>
    <row r="100" spans="12:45">
      <c r="L100" s="615"/>
      <c r="M100" s="615"/>
      <c r="AB100" s="615"/>
      <c r="AC100" s="615"/>
      <c r="AD100" s="615"/>
      <c r="AE100" s="615"/>
      <c r="AF100" s="615"/>
      <c r="AG100" s="615"/>
      <c r="AH100" s="615"/>
      <c r="AI100" s="615"/>
      <c r="AJ100" s="615"/>
      <c r="AK100" s="615"/>
      <c r="AL100" s="615"/>
      <c r="AM100" s="615"/>
      <c r="AN100" s="615"/>
      <c r="AO100" s="615"/>
      <c r="AP100" s="615"/>
      <c r="AQ100" s="615"/>
      <c r="AR100" s="615"/>
      <c r="AS100" s="615"/>
    </row>
    <row r="101" spans="12:45">
      <c r="L101" s="615"/>
      <c r="M101" s="615"/>
      <c r="AB101" s="615"/>
      <c r="AC101" s="615"/>
      <c r="AD101" s="615"/>
      <c r="AE101" s="615"/>
      <c r="AF101" s="615"/>
      <c r="AG101" s="615"/>
      <c r="AH101" s="615"/>
      <c r="AI101" s="615"/>
      <c r="AJ101" s="615"/>
      <c r="AK101" s="615"/>
      <c r="AL101" s="615"/>
      <c r="AM101" s="615"/>
      <c r="AN101" s="615"/>
      <c r="AO101" s="615"/>
      <c r="AP101" s="615"/>
      <c r="AQ101" s="615"/>
      <c r="AR101" s="615"/>
      <c r="AS101" s="615"/>
    </row>
    <row r="102" spans="12:45">
      <c r="L102" s="615"/>
      <c r="M102" s="615"/>
      <c r="AB102" s="615"/>
      <c r="AC102" s="615"/>
      <c r="AD102" s="615"/>
      <c r="AE102" s="615"/>
      <c r="AF102" s="615"/>
      <c r="AG102" s="615"/>
      <c r="AH102" s="615"/>
      <c r="AI102" s="615"/>
      <c r="AJ102" s="615"/>
      <c r="AK102" s="615"/>
      <c r="AL102" s="615"/>
      <c r="AM102" s="615"/>
      <c r="AN102" s="615"/>
      <c r="AO102" s="615"/>
      <c r="AP102" s="615"/>
      <c r="AQ102" s="615"/>
      <c r="AR102" s="615"/>
      <c r="AS102" s="615"/>
    </row>
    <row r="103" spans="12:45">
      <c r="L103" s="615"/>
      <c r="M103" s="615"/>
      <c r="AB103" s="615"/>
      <c r="AC103" s="615"/>
      <c r="AD103" s="615"/>
      <c r="AE103" s="615"/>
      <c r="AF103" s="615"/>
      <c r="AG103" s="615"/>
      <c r="AH103" s="615"/>
      <c r="AI103" s="615"/>
      <c r="AJ103" s="615"/>
      <c r="AK103" s="615"/>
      <c r="AL103" s="615"/>
      <c r="AM103" s="615"/>
      <c r="AN103" s="615"/>
      <c r="AO103" s="615"/>
      <c r="AP103" s="615"/>
      <c r="AQ103" s="615"/>
      <c r="AR103" s="615"/>
      <c r="AS103" s="615"/>
    </row>
    <row r="104" spans="12:45">
      <c r="L104" s="615"/>
      <c r="M104" s="615"/>
      <c r="AB104" s="615"/>
      <c r="AC104" s="615"/>
      <c r="AD104" s="615"/>
      <c r="AE104" s="615"/>
      <c r="AF104" s="615"/>
      <c r="AG104" s="615"/>
      <c r="AH104" s="615"/>
      <c r="AI104" s="615"/>
      <c r="AJ104" s="615"/>
      <c r="AK104" s="615"/>
      <c r="AL104" s="615"/>
      <c r="AM104" s="615"/>
      <c r="AN104" s="615"/>
      <c r="AO104" s="615"/>
      <c r="AP104" s="615"/>
      <c r="AQ104" s="615"/>
      <c r="AR104" s="615"/>
      <c r="AS104" s="615"/>
    </row>
    <row r="105" spans="12:45">
      <c r="L105" s="615"/>
      <c r="M105" s="615"/>
      <c r="AB105" s="615"/>
      <c r="AC105" s="615"/>
      <c r="AD105" s="615"/>
      <c r="AE105" s="615"/>
      <c r="AF105" s="615"/>
      <c r="AG105" s="615"/>
      <c r="AH105" s="615"/>
      <c r="AI105" s="615"/>
      <c r="AJ105" s="615"/>
      <c r="AK105" s="615"/>
      <c r="AL105" s="615"/>
      <c r="AM105" s="615"/>
      <c r="AN105" s="615"/>
      <c r="AO105" s="615"/>
      <c r="AP105" s="615"/>
      <c r="AQ105" s="615"/>
      <c r="AR105" s="615"/>
      <c r="AS105" s="615"/>
    </row>
    <row r="106" spans="12:45">
      <c r="L106" s="615"/>
      <c r="M106" s="615"/>
      <c r="AB106" s="615"/>
      <c r="AC106" s="615"/>
      <c r="AD106" s="615"/>
      <c r="AE106" s="615"/>
      <c r="AF106" s="615"/>
      <c r="AG106" s="615"/>
      <c r="AH106" s="615"/>
      <c r="AI106" s="615"/>
      <c r="AJ106" s="615"/>
      <c r="AK106" s="615"/>
      <c r="AL106" s="615"/>
      <c r="AM106" s="615"/>
      <c r="AN106" s="615"/>
      <c r="AO106" s="615"/>
      <c r="AP106" s="615"/>
      <c r="AQ106" s="615"/>
      <c r="AR106" s="615"/>
      <c r="AS106" s="615"/>
    </row>
    <row r="107" spans="12:45">
      <c r="L107" s="615"/>
      <c r="M107" s="615"/>
      <c r="AB107" s="615"/>
      <c r="AC107" s="615"/>
      <c r="AD107" s="615"/>
      <c r="AE107" s="615"/>
      <c r="AF107" s="615"/>
      <c r="AG107" s="615"/>
      <c r="AH107" s="615"/>
      <c r="AI107" s="615"/>
      <c r="AJ107" s="615"/>
      <c r="AK107" s="615"/>
      <c r="AL107" s="615"/>
      <c r="AM107" s="615"/>
      <c r="AN107" s="615"/>
      <c r="AO107" s="615"/>
      <c r="AP107" s="615"/>
      <c r="AQ107" s="615"/>
      <c r="AR107" s="615"/>
      <c r="AS107" s="615"/>
    </row>
    <row r="108" spans="12:45">
      <c r="L108" s="615"/>
      <c r="M108" s="615"/>
      <c r="AB108" s="615"/>
      <c r="AC108" s="615"/>
      <c r="AD108" s="615"/>
      <c r="AE108" s="615"/>
      <c r="AF108" s="615"/>
      <c r="AG108" s="615"/>
      <c r="AH108" s="615"/>
      <c r="AI108" s="615"/>
      <c r="AJ108" s="615"/>
      <c r="AK108" s="615"/>
      <c r="AL108" s="615"/>
      <c r="AM108" s="615"/>
      <c r="AN108" s="615"/>
      <c r="AO108" s="615"/>
      <c r="AP108" s="615"/>
      <c r="AQ108" s="615"/>
      <c r="AR108" s="615"/>
      <c r="AS108" s="615"/>
    </row>
    <row r="109" spans="12:45">
      <c r="L109" s="615"/>
      <c r="M109" s="615"/>
      <c r="AB109" s="615"/>
      <c r="AC109" s="615"/>
      <c r="AD109" s="615"/>
      <c r="AE109" s="615"/>
      <c r="AF109" s="615"/>
      <c r="AG109" s="615"/>
      <c r="AH109" s="615"/>
      <c r="AI109" s="615"/>
      <c r="AJ109" s="615"/>
      <c r="AK109" s="615"/>
      <c r="AL109" s="615"/>
      <c r="AM109" s="615"/>
      <c r="AN109" s="615"/>
      <c r="AO109" s="615"/>
      <c r="AP109" s="615"/>
      <c r="AQ109" s="615"/>
      <c r="AR109" s="615"/>
      <c r="AS109" s="615"/>
    </row>
    <row r="110" spans="12:45">
      <c r="L110" s="615"/>
      <c r="M110" s="615"/>
      <c r="AB110" s="615"/>
      <c r="AC110" s="615"/>
      <c r="AD110" s="615"/>
      <c r="AE110" s="615"/>
      <c r="AF110" s="615"/>
      <c r="AG110" s="615"/>
      <c r="AH110" s="615"/>
      <c r="AI110" s="615"/>
      <c r="AJ110" s="615"/>
      <c r="AK110" s="615"/>
      <c r="AL110" s="615"/>
      <c r="AM110" s="615"/>
      <c r="AN110" s="615"/>
      <c r="AO110" s="615"/>
      <c r="AP110" s="615"/>
      <c r="AQ110" s="615"/>
      <c r="AR110" s="615"/>
      <c r="AS110" s="615"/>
    </row>
    <row r="111" spans="12:45">
      <c r="L111" s="615"/>
      <c r="M111" s="615"/>
      <c r="AB111" s="615"/>
      <c r="AC111" s="615"/>
      <c r="AD111" s="615"/>
      <c r="AE111" s="615"/>
      <c r="AF111" s="615"/>
      <c r="AG111" s="615"/>
      <c r="AH111" s="615"/>
      <c r="AI111" s="615"/>
      <c r="AJ111" s="615"/>
      <c r="AK111" s="615"/>
      <c r="AL111" s="615"/>
      <c r="AM111" s="615"/>
      <c r="AN111" s="615"/>
      <c r="AO111" s="615"/>
      <c r="AP111" s="615"/>
      <c r="AQ111" s="615"/>
      <c r="AR111" s="615"/>
      <c r="AS111" s="615"/>
    </row>
    <row r="112" spans="12:45">
      <c r="L112" s="615"/>
      <c r="M112" s="615"/>
      <c r="AB112" s="615"/>
      <c r="AC112" s="615"/>
      <c r="AD112" s="615"/>
      <c r="AE112" s="615"/>
      <c r="AF112" s="615"/>
      <c r="AG112" s="615"/>
      <c r="AH112" s="615"/>
      <c r="AI112" s="615"/>
      <c r="AJ112" s="615"/>
      <c r="AK112" s="615"/>
      <c r="AL112" s="615"/>
      <c r="AM112" s="615"/>
      <c r="AN112" s="615"/>
      <c r="AO112" s="615"/>
      <c r="AP112" s="615"/>
      <c r="AQ112" s="615"/>
      <c r="AR112" s="615"/>
      <c r="AS112" s="615"/>
    </row>
    <row r="113" spans="12:45">
      <c r="L113" s="615"/>
      <c r="M113" s="615"/>
      <c r="AB113" s="615"/>
      <c r="AC113" s="615"/>
      <c r="AD113" s="615"/>
      <c r="AE113" s="615"/>
      <c r="AF113" s="615"/>
      <c r="AG113" s="615"/>
      <c r="AH113" s="615"/>
      <c r="AI113" s="615"/>
      <c r="AJ113" s="615"/>
      <c r="AK113" s="615"/>
      <c r="AL113" s="615"/>
      <c r="AM113" s="615"/>
      <c r="AN113" s="615"/>
      <c r="AO113" s="615"/>
      <c r="AP113" s="615"/>
      <c r="AQ113" s="615"/>
      <c r="AR113" s="615"/>
      <c r="AS113" s="615"/>
    </row>
    <row r="114" spans="12:45">
      <c r="L114" s="615"/>
      <c r="M114" s="615"/>
      <c r="AB114" s="615"/>
      <c r="AC114" s="615"/>
      <c r="AD114" s="615"/>
      <c r="AE114" s="615"/>
      <c r="AF114" s="615"/>
      <c r="AG114" s="615"/>
      <c r="AH114" s="615"/>
      <c r="AI114" s="615"/>
      <c r="AJ114" s="615"/>
      <c r="AK114" s="615"/>
      <c r="AL114" s="615"/>
      <c r="AM114" s="615"/>
      <c r="AN114" s="615"/>
      <c r="AO114" s="615"/>
      <c r="AP114" s="615"/>
      <c r="AQ114" s="615"/>
      <c r="AR114" s="615"/>
      <c r="AS114" s="615"/>
    </row>
    <row r="115" spans="12:45">
      <c r="L115" s="615"/>
      <c r="M115" s="615"/>
      <c r="AB115" s="615"/>
      <c r="AC115" s="615"/>
      <c r="AD115" s="615"/>
      <c r="AE115" s="615"/>
      <c r="AF115" s="615"/>
      <c r="AG115" s="615"/>
      <c r="AH115" s="615"/>
      <c r="AI115" s="615"/>
      <c r="AJ115" s="615"/>
      <c r="AK115" s="615"/>
      <c r="AL115" s="615"/>
      <c r="AM115" s="615"/>
      <c r="AN115" s="615"/>
      <c r="AO115" s="615"/>
      <c r="AP115" s="615"/>
      <c r="AQ115" s="615"/>
      <c r="AR115" s="615"/>
      <c r="AS115" s="615"/>
    </row>
    <row r="116" spans="12:45">
      <c r="L116" s="615"/>
      <c r="M116" s="615"/>
      <c r="AB116" s="615"/>
      <c r="AC116" s="615"/>
      <c r="AD116" s="615"/>
      <c r="AE116" s="615"/>
      <c r="AF116" s="615"/>
      <c r="AG116" s="615"/>
      <c r="AH116" s="615"/>
      <c r="AI116" s="615"/>
      <c r="AJ116" s="615"/>
      <c r="AK116" s="615"/>
      <c r="AL116" s="615"/>
      <c r="AM116" s="615"/>
      <c r="AN116" s="615"/>
      <c r="AO116" s="615"/>
      <c r="AP116" s="615"/>
      <c r="AQ116" s="615"/>
      <c r="AR116" s="615"/>
      <c r="AS116" s="615"/>
    </row>
    <row r="117" spans="12:45">
      <c r="L117" s="615"/>
      <c r="M117" s="615"/>
      <c r="AB117" s="615"/>
      <c r="AC117" s="615"/>
      <c r="AD117" s="615"/>
      <c r="AE117" s="615"/>
      <c r="AF117" s="615"/>
      <c r="AG117" s="615"/>
      <c r="AH117" s="615"/>
      <c r="AI117" s="615"/>
      <c r="AJ117" s="615"/>
      <c r="AK117" s="615"/>
      <c r="AL117" s="615"/>
      <c r="AM117" s="615"/>
      <c r="AN117" s="615"/>
      <c r="AO117" s="615"/>
      <c r="AP117" s="615"/>
      <c r="AQ117" s="615"/>
      <c r="AR117" s="615"/>
      <c r="AS117" s="615"/>
    </row>
    <row r="118" spans="12:45">
      <c r="L118" s="615"/>
      <c r="M118" s="615"/>
      <c r="AB118" s="615"/>
      <c r="AC118" s="615"/>
      <c r="AD118" s="615"/>
      <c r="AE118" s="615"/>
      <c r="AF118" s="615"/>
      <c r="AG118" s="615"/>
      <c r="AH118" s="615"/>
      <c r="AI118" s="615"/>
      <c r="AJ118" s="615"/>
      <c r="AK118" s="615"/>
      <c r="AL118" s="615"/>
      <c r="AM118" s="615"/>
      <c r="AN118" s="615"/>
      <c r="AO118" s="615"/>
      <c r="AP118" s="615"/>
      <c r="AQ118" s="615"/>
      <c r="AR118" s="615"/>
      <c r="AS118" s="615"/>
    </row>
    <row r="119" spans="12:45">
      <c r="L119" s="615"/>
      <c r="M119" s="615"/>
      <c r="AB119" s="615"/>
      <c r="AC119" s="615"/>
      <c r="AD119" s="615"/>
      <c r="AE119" s="615"/>
      <c r="AF119" s="615"/>
      <c r="AG119" s="615"/>
      <c r="AH119" s="615"/>
      <c r="AI119" s="615"/>
      <c r="AJ119" s="615"/>
      <c r="AK119" s="615"/>
      <c r="AL119" s="615"/>
      <c r="AM119" s="615"/>
      <c r="AN119" s="615"/>
      <c r="AO119" s="615"/>
      <c r="AP119" s="615"/>
      <c r="AQ119" s="615"/>
      <c r="AR119" s="615"/>
      <c r="AS119" s="615"/>
    </row>
    <row r="120" spans="12:45">
      <c r="L120" s="615"/>
      <c r="M120" s="615"/>
      <c r="AB120" s="615"/>
      <c r="AC120" s="615"/>
      <c r="AD120" s="615"/>
      <c r="AE120" s="615"/>
      <c r="AF120" s="615"/>
      <c r="AG120" s="615"/>
      <c r="AH120" s="615"/>
      <c r="AI120" s="615"/>
      <c r="AJ120" s="615"/>
      <c r="AK120" s="615"/>
      <c r="AL120" s="615"/>
      <c r="AM120" s="615"/>
      <c r="AN120" s="615"/>
      <c r="AO120" s="615"/>
      <c r="AP120" s="615"/>
      <c r="AQ120" s="615"/>
      <c r="AR120" s="615"/>
      <c r="AS120" s="615"/>
    </row>
    <row r="121" spans="12:45">
      <c r="L121" s="615"/>
      <c r="M121" s="615"/>
      <c r="AB121" s="615"/>
      <c r="AC121" s="615"/>
      <c r="AD121" s="615"/>
      <c r="AE121" s="615"/>
      <c r="AF121" s="615"/>
      <c r="AG121" s="615"/>
      <c r="AH121" s="615"/>
      <c r="AI121" s="615"/>
      <c r="AJ121" s="615"/>
      <c r="AK121" s="615"/>
      <c r="AL121" s="615"/>
      <c r="AM121" s="615"/>
      <c r="AN121" s="615"/>
      <c r="AO121" s="615"/>
      <c r="AP121" s="615"/>
      <c r="AQ121" s="615"/>
      <c r="AR121" s="615"/>
      <c r="AS121" s="615"/>
    </row>
    <row r="122" spans="12:45">
      <c r="L122" s="615"/>
      <c r="M122" s="615"/>
      <c r="AB122" s="615"/>
      <c r="AC122" s="615"/>
      <c r="AD122" s="615"/>
      <c r="AE122" s="615"/>
      <c r="AF122" s="615"/>
      <c r="AG122" s="615"/>
      <c r="AH122" s="615"/>
      <c r="AI122" s="615"/>
      <c r="AJ122" s="615"/>
      <c r="AK122" s="615"/>
      <c r="AL122" s="615"/>
      <c r="AM122" s="615"/>
      <c r="AN122" s="615"/>
      <c r="AO122" s="615"/>
      <c r="AP122" s="615"/>
      <c r="AQ122" s="615"/>
      <c r="AR122" s="615"/>
      <c r="AS122" s="615"/>
    </row>
    <row r="123" spans="12:45">
      <c r="L123" s="615"/>
      <c r="M123" s="615"/>
      <c r="AB123" s="615"/>
      <c r="AC123" s="615"/>
      <c r="AD123" s="615"/>
      <c r="AE123" s="615"/>
      <c r="AF123" s="615"/>
      <c r="AG123" s="615"/>
      <c r="AH123" s="615"/>
      <c r="AI123" s="615"/>
      <c r="AJ123" s="615"/>
      <c r="AK123" s="615"/>
      <c r="AL123" s="615"/>
      <c r="AM123" s="615"/>
      <c r="AN123" s="615"/>
      <c r="AO123" s="615"/>
      <c r="AP123" s="615"/>
      <c r="AQ123" s="615"/>
      <c r="AR123" s="615"/>
      <c r="AS123" s="615"/>
    </row>
    <row r="124" spans="12:45">
      <c r="L124" s="615"/>
      <c r="M124" s="615"/>
      <c r="AB124" s="615"/>
      <c r="AC124" s="615"/>
      <c r="AD124" s="615"/>
      <c r="AE124" s="615"/>
      <c r="AF124" s="615"/>
      <c r="AG124" s="615"/>
      <c r="AH124" s="615"/>
      <c r="AI124" s="615"/>
      <c r="AJ124" s="615"/>
      <c r="AK124" s="615"/>
      <c r="AL124" s="615"/>
      <c r="AM124" s="615"/>
      <c r="AN124" s="615"/>
      <c r="AO124" s="615"/>
      <c r="AP124" s="615"/>
      <c r="AQ124" s="615"/>
      <c r="AR124" s="615"/>
      <c r="AS124" s="615"/>
    </row>
    <row r="125" spans="12:45">
      <c r="L125" s="615"/>
      <c r="M125" s="615"/>
      <c r="AB125" s="615"/>
      <c r="AC125" s="615"/>
      <c r="AD125" s="615"/>
      <c r="AE125" s="615"/>
      <c r="AF125" s="615"/>
      <c r="AG125" s="615"/>
      <c r="AH125" s="615"/>
      <c r="AI125" s="615"/>
      <c r="AJ125" s="615"/>
      <c r="AK125" s="615"/>
      <c r="AL125" s="615"/>
      <c r="AM125" s="615"/>
      <c r="AN125" s="615"/>
      <c r="AO125" s="615"/>
      <c r="AP125" s="615"/>
      <c r="AQ125" s="615"/>
      <c r="AR125" s="615"/>
      <c r="AS125" s="615"/>
    </row>
    <row r="126" spans="12:45">
      <c r="L126" s="615"/>
      <c r="M126" s="615"/>
      <c r="AB126" s="615"/>
      <c r="AC126" s="615"/>
      <c r="AD126" s="615"/>
      <c r="AE126" s="615"/>
      <c r="AF126" s="615"/>
      <c r="AG126" s="615"/>
      <c r="AH126" s="615"/>
      <c r="AI126" s="615"/>
      <c r="AJ126" s="615"/>
      <c r="AK126" s="615"/>
      <c r="AL126" s="615"/>
      <c r="AM126" s="615"/>
      <c r="AN126" s="615"/>
      <c r="AO126" s="615"/>
      <c r="AP126" s="615"/>
      <c r="AQ126" s="615"/>
      <c r="AR126" s="615"/>
      <c r="AS126" s="615"/>
    </row>
    <row r="127" spans="12:45">
      <c r="L127" s="615"/>
      <c r="M127" s="615"/>
      <c r="AB127" s="615"/>
      <c r="AC127" s="615"/>
      <c r="AD127" s="615"/>
      <c r="AE127" s="615"/>
      <c r="AF127" s="615"/>
      <c r="AG127" s="615"/>
      <c r="AH127" s="615"/>
      <c r="AI127" s="615"/>
      <c r="AJ127" s="615"/>
      <c r="AK127" s="615"/>
      <c r="AL127" s="615"/>
      <c r="AM127" s="615"/>
      <c r="AN127" s="615"/>
      <c r="AO127" s="615"/>
      <c r="AP127" s="615"/>
      <c r="AQ127" s="615"/>
      <c r="AR127" s="615"/>
      <c r="AS127" s="615"/>
    </row>
    <row r="128" spans="12:45">
      <c r="L128" s="615"/>
      <c r="M128" s="615"/>
      <c r="AB128" s="615"/>
      <c r="AC128" s="615"/>
      <c r="AD128" s="615"/>
      <c r="AE128" s="615"/>
      <c r="AF128" s="615"/>
      <c r="AG128" s="615"/>
      <c r="AH128" s="615"/>
      <c r="AI128" s="615"/>
      <c r="AJ128" s="615"/>
      <c r="AK128" s="615"/>
      <c r="AL128" s="615"/>
      <c r="AM128" s="615"/>
      <c r="AN128" s="615"/>
      <c r="AO128" s="615"/>
      <c r="AP128" s="615"/>
      <c r="AQ128" s="615"/>
      <c r="AR128" s="615"/>
      <c r="AS128" s="615"/>
    </row>
    <row r="129" spans="12:45">
      <c r="L129" s="615"/>
      <c r="M129" s="615"/>
      <c r="AB129" s="615"/>
      <c r="AC129" s="615"/>
      <c r="AD129" s="615"/>
      <c r="AE129" s="615"/>
      <c r="AF129" s="615"/>
      <c r="AG129" s="615"/>
      <c r="AH129" s="615"/>
      <c r="AI129" s="615"/>
      <c r="AJ129" s="615"/>
      <c r="AK129" s="615"/>
      <c r="AL129" s="615"/>
      <c r="AM129" s="615"/>
      <c r="AN129" s="615"/>
      <c r="AO129" s="615"/>
      <c r="AP129" s="615"/>
      <c r="AQ129" s="615"/>
      <c r="AR129" s="615"/>
      <c r="AS129" s="615"/>
    </row>
    <row r="130" spans="12:45">
      <c r="L130" s="615"/>
      <c r="M130" s="615"/>
      <c r="AB130" s="615"/>
      <c r="AC130" s="615"/>
      <c r="AD130" s="615"/>
      <c r="AE130" s="615"/>
      <c r="AF130" s="615"/>
      <c r="AG130" s="615"/>
      <c r="AH130" s="615"/>
      <c r="AI130" s="615"/>
      <c r="AJ130" s="615"/>
      <c r="AK130" s="615"/>
      <c r="AL130" s="615"/>
      <c r="AM130" s="615"/>
      <c r="AN130" s="615"/>
      <c r="AO130" s="615"/>
      <c r="AP130" s="615"/>
      <c r="AQ130" s="615"/>
      <c r="AR130" s="615"/>
      <c r="AS130" s="615"/>
    </row>
    <row r="131" spans="12:45">
      <c r="L131" s="615"/>
      <c r="M131" s="615"/>
      <c r="AB131" s="615"/>
      <c r="AC131" s="615"/>
      <c r="AD131" s="615"/>
      <c r="AE131" s="615"/>
      <c r="AF131" s="615"/>
      <c r="AG131" s="615"/>
      <c r="AH131" s="615"/>
      <c r="AI131" s="615"/>
      <c r="AJ131" s="615"/>
      <c r="AK131" s="615"/>
      <c r="AL131" s="615"/>
      <c r="AM131" s="615"/>
      <c r="AN131" s="615"/>
      <c r="AO131" s="615"/>
      <c r="AP131" s="615"/>
      <c r="AQ131" s="615"/>
      <c r="AR131" s="615"/>
      <c r="AS131" s="615"/>
    </row>
    <row r="132" spans="12:45">
      <c r="L132" s="615"/>
      <c r="M132" s="615"/>
      <c r="AB132" s="615"/>
      <c r="AC132" s="615"/>
      <c r="AD132" s="615"/>
      <c r="AE132" s="615"/>
      <c r="AF132" s="615"/>
      <c r="AG132" s="615"/>
      <c r="AH132" s="615"/>
      <c r="AI132" s="615"/>
      <c r="AJ132" s="615"/>
      <c r="AK132" s="615"/>
      <c r="AL132" s="615"/>
      <c r="AM132" s="615"/>
      <c r="AN132" s="615"/>
      <c r="AO132" s="615"/>
      <c r="AP132" s="615"/>
      <c r="AQ132" s="615"/>
      <c r="AR132" s="615"/>
      <c r="AS132" s="615"/>
    </row>
    <row r="133" spans="12:45">
      <c r="L133" s="615"/>
      <c r="M133" s="615"/>
      <c r="AB133" s="615"/>
      <c r="AC133" s="615"/>
      <c r="AD133" s="615"/>
      <c r="AE133" s="615"/>
      <c r="AF133" s="615"/>
      <c r="AG133" s="615"/>
      <c r="AH133" s="615"/>
      <c r="AI133" s="615"/>
      <c r="AJ133" s="615"/>
      <c r="AK133" s="615"/>
      <c r="AL133" s="615"/>
      <c r="AM133" s="615"/>
      <c r="AN133" s="615"/>
      <c r="AO133" s="615"/>
      <c r="AP133" s="615"/>
      <c r="AQ133" s="615"/>
      <c r="AR133" s="615"/>
      <c r="AS133" s="615"/>
    </row>
    <row r="134" spans="12:45">
      <c r="L134" s="615"/>
      <c r="M134" s="615"/>
      <c r="AB134" s="615"/>
      <c r="AC134" s="615"/>
      <c r="AD134" s="615"/>
      <c r="AE134" s="615"/>
      <c r="AF134" s="615"/>
      <c r="AG134" s="615"/>
      <c r="AH134" s="615"/>
      <c r="AI134" s="615"/>
      <c r="AJ134" s="615"/>
      <c r="AK134" s="615"/>
      <c r="AL134" s="615"/>
      <c r="AM134" s="615"/>
      <c r="AN134" s="615"/>
      <c r="AO134" s="615"/>
      <c r="AP134" s="615"/>
      <c r="AQ134" s="615"/>
      <c r="AR134" s="615"/>
      <c r="AS134" s="615"/>
    </row>
    <row r="135" spans="12:45">
      <c r="L135" s="615"/>
      <c r="M135" s="615"/>
      <c r="AB135" s="615"/>
      <c r="AC135" s="615"/>
      <c r="AD135" s="615"/>
      <c r="AE135" s="615"/>
      <c r="AF135" s="615"/>
      <c r="AG135" s="615"/>
      <c r="AH135" s="615"/>
      <c r="AI135" s="615"/>
      <c r="AJ135" s="615"/>
      <c r="AK135" s="615"/>
      <c r="AL135" s="615"/>
      <c r="AM135" s="615"/>
      <c r="AN135" s="615"/>
      <c r="AO135" s="615"/>
      <c r="AP135" s="615"/>
      <c r="AQ135" s="615"/>
      <c r="AR135" s="615"/>
      <c r="AS135" s="615"/>
    </row>
    <row r="136" spans="12:45">
      <c r="L136" s="615"/>
      <c r="M136" s="615"/>
      <c r="AB136" s="615"/>
      <c r="AC136" s="615"/>
      <c r="AD136" s="615"/>
      <c r="AE136" s="615"/>
      <c r="AF136" s="615"/>
      <c r="AG136" s="615"/>
      <c r="AH136" s="615"/>
      <c r="AI136" s="615"/>
      <c r="AJ136" s="615"/>
      <c r="AK136" s="615"/>
      <c r="AL136" s="615"/>
      <c r="AM136" s="615"/>
      <c r="AN136" s="615"/>
      <c r="AO136" s="615"/>
      <c r="AP136" s="615"/>
      <c r="AQ136" s="615"/>
      <c r="AR136" s="615"/>
      <c r="AS136" s="615"/>
    </row>
    <row r="137" spans="12:45">
      <c r="L137" s="615"/>
      <c r="M137" s="615"/>
      <c r="AB137" s="615"/>
      <c r="AC137" s="615"/>
      <c r="AD137" s="615"/>
      <c r="AE137" s="615"/>
      <c r="AF137" s="615"/>
      <c r="AG137" s="615"/>
      <c r="AH137" s="615"/>
      <c r="AI137" s="615"/>
      <c r="AJ137" s="615"/>
      <c r="AK137" s="615"/>
      <c r="AL137" s="615"/>
      <c r="AM137" s="615"/>
      <c r="AN137" s="615"/>
      <c r="AO137" s="615"/>
      <c r="AP137" s="615"/>
      <c r="AQ137" s="615"/>
      <c r="AR137" s="615"/>
      <c r="AS137" s="615"/>
    </row>
    <row r="138" spans="12:45">
      <c r="L138" s="615"/>
      <c r="M138" s="615"/>
      <c r="AB138" s="615"/>
      <c r="AC138" s="615"/>
      <c r="AD138" s="615"/>
      <c r="AE138" s="615"/>
      <c r="AF138" s="615"/>
      <c r="AG138" s="615"/>
      <c r="AH138" s="615"/>
      <c r="AI138" s="615"/>
      <c r="AJ138" s="615"/>
      <c r="AK138" s="615"/>
      <c r="AL138" s="615"/>
      <c r="AM138" s="615"/>
      <c r="AN138" s="615"/>
      <c r="AO138" s="615"/>
      <c r="AP138" s="615"/>
      <c r="AQ138" s="615"/>
      <c r="AR138" s="615"/>
      <c r="AS138" s="615"/>
    </row>
    <row r="139" spans="12:45">
      <c r="L139" s="615"/>
      <c r="M139" s="615"/>
      <c r="AB139" s="615"/>
      <c r="AC139" s="615"/>
      <c r="AD139" s="615"/>
      <c r="AE139" s="615"/>
      <c r="AF139" s="615"/>
      <c r="AG139" s="615"/>
      <c r="AH139" s="615"/>
      <c r="AI139" s="615"/>
      <c r="AJ139" s="615"/>
      <c r="AK139" s="615"/>
      <c r="AL139" s="615"/>
      <c r="AM139" s="615"/>
      <c r="AN139" s="615"/>
      <c r="AO139" s="615"/>
      <c r="AP139" s="615"/>
      <c r="AQ139" s="615"/>
      <c r="AR139" s="615"/>
      <c r="AS139" s="615"/>
    </row>
    <row r="140" spans="12:45">
      <c r="L140" s="615"/>
      <c r="M140" s="615"/>
      <c r="AB140" s="615"/>
      <c r="AC140" s="615"/>
      <c r="AD140" s="615"/>
      <c r="AE140" s="615"/>
      <c r="AF140" s="615"/>
      <c r="AG140" s="615"/>
      <c r="AH140" s="615"/>
      <c r="AI140" s="615"/>
      <c r="AJ140" s="615"/>
      <c r="AK140" s="615"/>
      <c r="AL140" s="615"/>
      <c r="AM140" s="615"/>
      <c r="AN140" s="615"/>
      <c r="AO140" s="615"/>
      <c r="AP140" s="615"/>
      <c r="AQ140" s="615"/>
      <c r="AR140" s="615"/>
      <c r="AS140" s="615"/>
    </row>
    <row r="141" spans="12:45">
      <c r="L141" s="615"/>
      <c r="M141" s="615"/>
      <c r="AB141" s="615"/>
      <c r="AC141" s="615"/>
      <c r="AD141" s="615"/>
      <c r="AE141" s="615"/>
      <c r="AF141" s="615"/>
      <c r="AG141" s="615"/>
      <c r="AH141" s="615"/>
      <c r="AI141" s="615"/>
      <c r="AJ141" s="615"/>
      <c r="AK141" s="615"/>
      <c r="AL141" s="615"/>
      <c r="AM141" s="615"/>
      <c r="AN141" s="615"/>
      <c r="AO141" s="615"/>
      <c r="AP141" s="615"/>
      <c r="AQ141" s="615"/>
      <c r="AR141" s="615"/>
      <c r="AS141" s="615"/>
    </row>
    <row r="142" spans="12:45">
      <c r="L142" s="615"/>
      <c r="M142" s="615"/>
      <c r="AB142" s="615"/>
      <c r="AC142" s="615"/>
      <c r="AD142" s="615"/>
      <c r="AE142" s="615"/>
      <c r="AF142" s="615"/>
      <c r="AG142" s="615"/>
      <c r="AH142" s="615"/>
      <c r="AI142" s="615"/>
      <c r="AJ142" s="615"/>
      <c r="AK142" s="615"/>
      <c r="AL142" s="615"/>
      <c r="AM142" s="615"/>
      <c r="AN142" s="615"/>
      <c r="AO142" s="615"/>
      <c r="AP142" s="615"/>
      <c r="AQ142" s="615"/>
      <c r="AR142" s="615"/>
      <c r="AS142" s="615"/>
    </row>
    <row r="143" spans="12:45">
      <c r="L143" s="615"/>
      <c r="M143" s="615"/>
      <c r="AB143" s="615"/>
      <c r="AC143" s="615"/>
      <c r="AD143" s="615"/>
      <c r="AE143" s="615"/>
      <c r="AF143" s="615"/>
      <c r="AG143" s="615"/>
      <c r="AH143" s="615"/>
      <c r="AI143" s="615"/>
      <c r="AJ143" s="615"/>
      <c r="AK143" s="615"/>
      <c r="AL143" s="615"/>
      <c r="AM143" s="615"/>
      <c r="AN143" s="615"/>
      <c r="AO143" s="615"/>
      <c r="AP143" s="615"/>
      <c r="AQ143" s="615"/>
      <c r="AR143" s="615"/>
      <c r="AS143" s="615"/>
    </row>
    <row r="144" spans="12:45">
      <c r="L144" s="615"/>
      <c r="M144" s="615"/>
      <c r="AB144" s="615"/>
      <c r="AC144" s="615"/>
      <c r="AD144" s="615"/>
      <c r="AE144" s="615"/>
      <c r="AF144" s="615"/>
      <c r="AG144" s="615"/>
      <c r="AH144" s="615"/>
      <c r="AI144" s="615"/>
      <c r="AJ144" s="615"/>
      <c r="AK144" s="615"/>
      <c r="AL144" s="615"/>
      <c r="AM144" s="615"/>
      <c r="AN144" s="615"/>
      <c r="AO144" s="615"/>
      <c r="AP144" s="615"/>
      <c r="AQ144" s="615"/>
      <c r="AR144" s="615"/>
      <c r="AS144" s="615"/>
    </row>
    <row r="145" spans="12:45">
      <c r="L145" s="615"/>
      <c r="M145" s="615"/>
      <c r="AB145" s="615"/>
      <c r="AC145" s="615"/>
      <c r="AD145" s="615"/>
      <c r="AE145" s="615"/>
      <c r="AF145" s="615"/>
      <c r="AG145" s="615"/>
      <c r="AH145" s="615"/>
      <c r="AI145" s="615"/>
      <c r="AJ145" s="615"/>
      <c r="AK145" s="615"/>
      <c r="AL145" s="615"/>
      <c r="AM145" s="615"/>
      <c r="AN145" s="615"/>
      <c r="AO145" s="615"/>
      <c r="AP145" s="615"/>
      <c r="AQ145" s="615"/>
      <c r="AR145" s="615"/>
      <c r="AS145" s="615"/>
    </row>
    <row r="146" spans="12:45">
      <c r="L146" s="615"/>
      <c r="M146" s="615"/>
      <c r="AB146" s="615"/>
      <c r="AC146" s="615"/>
      <c r="AD146" s="615"/>
      <c r="AE146" s="615"/>
      <c r="AF146" s="615"/>
      <c r="AG146" s="615"/>
      <c r="AH146" s="615"/>
      <c r="AI146" s="615"/>
      <c r="AJ146" s="615"/>
      <c r="AK146" s="615"/>
      <c r="AL146" s="615"/>
      <c r="AM146" s="615"/>
      <c r="AN146" s="615"/>
      <c r="AO146" s="615"/>
      <c r="AP146" s="615"/>
      <c r="AQ146" s="615"/>
      <c r="AR146" s="615"/>
      <c r="AS146" s="615"/>
    </row>
    <row r="147" spans="12:45">
      <c r="L147" s="615"/>
      <c r="M147" s="615"/>
      <c r="AB147" s="615"/>
      <c r="AC147" s="615"/>
      <c r="AD147" s="615"/>
      <c r="AE147" s="615"/>
      <c r="AF147" s="615"/>
      <c r="AG147" s="615"/>
      <c r="AH147" s="615"/>
      <c r="AI147" s="615"/>
      <c r="AJ147" s="615"/>
      <c r="AK147" s="615"/>
      <c r="AL147" s="615"/>
      <c r="AM147" s="615"/>
      <c r="AN147" s="615"/>
      <c r="AO147" s="615"/>
      <c r="AP147" s="615"/>
      <c r="AQ147" s="615"/>
      <c r="AR147" s="615"/>
      <c r="AS147" s="615"/>
    </row>
    <row r="148" spans="12:45">
      <c r="L148" s="615"/>
      <c r="M148" s="615"/>
      <c r="AB148" s="615"/>
      <c r="AC148" s="615"/>
      <c r="AD148" s="615"/>
      <c r="AE148" s="615"/>
      <c r="AF148" s="615"/>
      <c r="AG148" s="615"/>
      <c r="AH148" s="615"/>
      <c r="AI148" s="615"/>
      <c r="AJ148" s="615"/>
      <c r="AK148" s="615"/>
      <c r="AL148" s="615"/>
      <c r="AM148" s="615"/>
      <c r="AN148" s="615"/>
      <c r="AO148" s="615"/>
      <c r="AP148" s="615"/>
      <c r="AQ148" s="615"/>
      <c r="AR148" s="615"/>
      <c r="AS148" s="615"/>
    </row>
    <row r="149" spans="12:45">
      <c r="L149" s="615"/>
      <c r="M149" s="615"/>
      <c r="AB149" s="615"/>
      <c r="AC149" s="615"/>
      <c r="AD149" s="615"/>
      <c r="AE149" s="615"/>
      <c r="AF149" s="615"/>
      <c r="AG149" s="615"/>
      <c r="AH149" s="615"/>
      <c r="AI149" s="615"/>
      <c r="AJ149" s="615"/>
      <c r="AK149" s="615"/>
      <c r="AL149" s="615"/>
      <c r="AM149" s="615"/>
      <c r="AN149" s="615"/>
      <c r="AO149" s="615"/>
      <c r="AP149" s="615"/>
      <c r="AQ149" s="615"/>
      <c r="AR149" s="615"/>
      <c r="AS149" s="615"/>
    </row>
    <row r="150" spans="12:45">
      <c r="L150" s="615"/>
      <c r="M150" s="615"/>
      <c r="AB150" s="615"/>
      <c r="AC150" s="615"/>
      <c r="AD150" s="615"/>
      <c r="AE150" s="615"/>
      <c r="AF150" s="615"/>
      <c r="AG150" s="615"/>
      <c r="AH150" s="615"/>
      <c r="AI150" s="615"/>
      <c r="AJ150" s="615"/>
      <c r="AK150" s="615"/>
      <c r="AL150" s="615"/>
      <c r="AM150" s="615"/>
      <c r="AN150" s="615"/>
      <c r="AO150" s="615"/>
      <c r="AP150" s="615"/>
      <c r="AQ150" s="615"/>
      <c r="AR150" s="615"/>
      <c r="AS150" s="615"/>
    </row>
    <row r="151" spans="12:45">
      <c r="L151" s="615"/>
      <c r="M151" s="615"/>
      <c r="AB151" s="615"/>
      <c r="AC151" s="615"/>
      <c r="AD151" s="615"/>
      <c r="AE151" s="615"/>
      <c r="AF151" s="615"/>
      <c r="AG151" s="615"/>
      <c r="AH151" s="615"/>
      <c r="AI151" s="615"/>
      <c r="AJ151" s="615"/>
      <c r="AK151" s="615"/>
      <c r="AL151" s="615"/>
      <c r="AM151" s="615"/>
      <c r="AN151" s="615"/>
      <c r="AO151" s="615"/>
      <c r="AP151" s="615"/>
      <c r="AQ151" s="615"/>
      <c r="AR151" s="615"/>
      <c r="AS151" s="615"/>
    </row>
    <row r="152" spans="12:45">
      <c r="L152" s="615"/>
      <c r="M152" s="615"/>
      <c r="AB152" s="615"/>
      <c r="AC152" s="615"/>
      <c r="AD152" s="615"/>
      <c r="AE152" s="615"/>
      <c r="AF152" s="615"/>
      <c r="AG152" s="615"/>
      <c r="AH152" s="615"/>
      <c r="AI152" s="615"/>
      <c r="AJ152" s="615"/>
      <c r="AK152" s="615"/>
      <c r="AL152" s="615"/>
      <c r="AM152" s="615"/>
      <c r="AN152" s="615"/>
      <c r="AO152" s="615"/>
      <c r="AP152" s="615"/>
      <c r="AQ152" s="615"/>
      <c r="AR152" s="615"/>
      <c r="AS152" s="615"/>
    </row>
    <row r="153" spans="12:45">
      <c r="L153" s="615"/>
      <c r="M153" s="615"/>
      <c r="AB153" s="615"/>
      <c r="AC153" s="615"/>
      <c r="AD153" s="615"/>
      <c r="AE153" s="615"/>
      <c r="AF153" s="615"/>
      <c r="AG153" s="615"/>
      <c r="AH153" s="615"/>
      <c r="AI153" s="615"/>
      <c r="AJ153" s="615"/>
      <c r="AK153" s="615"/>
      <c r="AL153" s="615"/>
      <c r="AM153" s="615"/>
      <c r="AN153" s="615"/>
      <c r="AO153" s="615"/>
      <c r="AP153" s="615"/>
      <c r="AQ153" s="615"/>
      <c r="AR153" s="615"/>
      <c r="AS153" s="615"/>
    </row>
    <row r="154" spans="12:45">
      <c r="L154" s="615"/>
      <c r="M154" s="615"/>
      <c r="AB154" s="615"/>
      <c r="AC154" s="615"/>
      <c r="AD154" s="615"/>
      <c r="AE154" s="615"/>
      <c r="AF154" s="615"/>
      <c r="AG154" s="615"/>
      <c r="AH154" s="615"/>
      <c r="AI154" s="615"/>
      <c r="AJ154" s="615"/>
      <c r="AK154" s="615"/>
      <c r="AL154" s="615"/>
      <c r="AM154" s="615"/>
      <c r="AN154" s="615"/>
      <c r="AO154" s="615"/>
      <c r="AP154" s="615"/>
      <c r="AQ154" s="615"/>
      <c r="AR154" s="615"/>
      <c r="AS154" s="615"/>
    </row>
    <row r="155" spans="12:45">
      <c r="L155" s="615"/>
      <c r="M155" s="615"/>
      <c r="AB155" s="615"/>
      <c r="AC155" s="615"/>
      <c r="AD155" s="615"/>
      <c r="AE155" s="615"/>
      <c r="AF155" s="615"/>
      <c r="AG155" s="615"/>
      <c r="AH155" s="615"/>
      <c r="AI155" s="615"/>
      <c r="AJ155" s="615"/>
      <c r="AK155" s="615"/>
      <c r="AL155" s="615"/>
      <c r="AM155" s="615"/>
      <c r="AN155" s="615"/>
      <c r="AO155" s="615"/>
      <c r="AP155" s="615"/>
      <c r="AQ155" s="615"/>
      <c r="AR155" s="615"/>
      <c r="AS155" s="615"/>
    </row>
    <row r="156" spans="12:45">
      <c r="L156" s="615"/>
      <c r="M156" s="615"/>
      <c r="AB156" s="615"/>
      <c r="AC156" s="615"/>
      <c r="AD156" s="615"/>
      <c r="AE156" s="615"/>
      <c r="AF156" s="615"/>
      <c r="AG156" s="615"/>
      <c r="AH156" s="615"/>
      <c r="AI156" s="615"/>
      <c r="AJ156" s="615"/>
      <c r="AK156" s="615"/>
      <c r="AL156" s="615"/>
      <c r="AM156" s="615"/>
      <c r="AN156" s="615"/>
      <c r="AO156" s="615"/>
      <c r="AP156" s="615"/>
      <c r="AQ156" s="615"/>
      <c r="AR156" s="615"/>
      <c r="AS156" s="615"/>
    </row>
    <row r="157" spans="12:45">
      <c r="L157" s="615"/>
      <c r="M157" s="615"/>
      <c r="AB157" s="615"/>
      <c r="AC157" s="615"/>
      <c r="AD157" s="615"/>
      <c r="AE157" s="615"/>
      <c r="AF157" s="615"/>
      <c r="AG157" s="615"/>
      <c r="AH157" s="615"/>
      <c r="AI157" s="615"/>
      <c r="AJ157" s="615"/>
      <c r="AK157" s="615"/>
      <c r="AL157" s="615"/>
      <c r="AM157" s="615"/>
      <c r="AN157" s="615"/>
      <c r="AO157" s="615"/>
      <c r="AP157" s="615"/>
      <c r="AQ157" s="615"/>
      <c r="AR157" s="615"/>
      <c r="AS157" s="615"/>
    </row>
    <row r="158" spans="12:45">
      <c r="L158" s="615"/>
      <c r="M158" s="615"/>
      <c r="AB158" s="615"/>
      <c r="AC158" s="615"/>
      <c r="AD158" s="615"/>
      <c r="AE158" s="615"/>
      <c r="AF158" s="615"/>
      <c r="AG158" s="615"/>
      <c r="AH158" s="615"/>
      <c r="AI158" s="615"/>
      <c r="AJ158" s="615"/>
      <c r="AK158" s="615"/>
      <c r="AL158" s="615"/>
      <c r="AM158" s="615"/>
      <c r="AN158" s="615"/>
      <c r="AO158" s="615"/>
      <c r="AP158" s="615"/>
      <c r="AQ158" s="615"/>
      <c r="AR158" s="615"/>
      <c r="AS158" s="615"/>
    </row>
    <row r="159" spans="12:45">
      <c r="L159" s="615"/>
      <c r="M159" s="615"/>
      <c r="AB159" s="615"/>
      <c r="AC159" s="615"/>
      <c r="AD159" s="615"/>
      <c r="AE159" s="615"/>
      <c r="AF159" s="615"/>
      <c r="AG159" s="615"/>
      <c r="AH159" s="615"/>
      <c r="AI159" s="615"/>
      <c r="AJ159" s="615"/>
      <c r="AK159" s="615"/>
      <c r="AL159" s="615"/>
      <c r="AM159" s="615"/>
      <c r="AN159" s="615"/>
      <c r="AO159" s="615"/>
      <c r="AP159" s="615"/>
      <c r="AQ159" s="615"/>
      <c r="AR159" s="615"/>
      <c r="AS159" s="615"/>
    </row>
    <row r="160" spans="12:45">
      <c r="L160" s="615"/>
      <c r="M160" s="615"/>
      <c r="AB160" s="615"/>
      <c r="AC160" s="615"/>
      <c r="AD160" s="615"/>
      <c r="AE160" s="615"/>
      <c r="AF160" s="615"/>
      <c r="AG160" s="615"/>
      <c r="AH160" s="615"/>
      <c r="AI160" s="615"/>
      <c r="AJ160" s="615"/>
      <c r="AK160" s="615"/>
      <c r="AL160" s="615"/>
      <c r="AM160" s="615"/>
      <c r="AN160" s="615"/>
      <c r="AO160" s="615"/>
      <c r="AP160" s="615"/>
      <c r="AQ160" s="615"/>
      <c r="AR160" s="615"/>
      <c r="AS160" s="615"/>
    </row>
    <row r="161" spans="12:45">
      <c r="L161" s="615"/>
      <c r="M161" s="615"/>
      <c r="AB161" s="615"/>
      <c r="AC161" s="615"/>
      <c r="AD161" s="615"/>
      <c r="AE161" s="615"/>
      <c r="AF161" s="615"/>
      <c r="AG161" s="615"/>
      <c r="AH161" s="615"/>
      <c r="AI161" s="615"/>
      <c r="AJ161" s="615"/>
      <c r="AK161" s="615"/>
      <c r="AL161" s="615"/>
      <c r="AM161" s="615"/>
      <c r="AN161" s="615"/>
      <c r="AO161" s="615"/>
      <c r="AP161" s="615"/>
      <c r="AQ161" s="615"/>
      <c r="AR161" s="615"/>
      <c r="AS161" s="615"/>
    </row>
    <row r="162" spans="12:45">
      <c r="L162" s="615"/>
      <c r="M162" s="615"/>
      <c r="AB162" s="615"/>
      <c r="AC162" s="615"/>
      <c r="AD162" s="615"/>
      <c r="AE162" s="615"/>
      <c r="AF162" s="615"/>
      <c r="AG162" s="615"/>
      <c r="AH162" s="615"/>
      <c r="AI162" s="615"/>
      <c r="AJ162" s="615"/>
      <c r="AK162" s="615"/>
      <c r="AL162" s="615"/>
      <c r="AM162" s="615"/>
      <c r="AN162" s="615"/>
      <c r="AO162" s="615"/>
      <c r="AP162" s="615"/>
      <c r="AQ162" s="615"/>
      <c r="AR162" s="615"/>
      <c r="AS162" s="615"/>
    </row>
    <row r="163" spans="12:45">
      <c r="L163" s="615"/>
      <c r="M163" s="615"/>
      <c r="AB163" s="615"/>
      <c r="AC163" s="615"/>
      <c r="AD163" s="615"/>
      <c r="AE163" s="615"/>
      <c r="AF163" s="615"/>
      <c r="AG163" s="615"/>
      <c r="AH163" s="615"/>
      <c r="AI163" s="615"/>
      <c r="AJ163" s="615"/>
      <c r="AK163" s="615"/>
      <c r="AL163" s="615"/>
      <c r="AM163" s="615"/>
      <c r="AN163" s="615"/>
      <c r="AO163" s="615"/>
      <c r="AP163" s="615"/>
      <c r="AQ163" s="615"/>
      <c r="AR163" s="615"/>
      <c r="AS163" s="615"/>
    </row>
    <row r="164" spans="12:45">
      <c r="L164" s="615"/>
      <c r="M164" s="615"/>
      <c r="AB164" s="615"/>
      <c r="AC164" s="615"/>
      <c r="AD164" s="615"/>
      <c r="AE164" s="615"/>
      <c r="AF164" s="615"/>
      <c r="AG164" s="615"/>
      <c r="AH164" s="615"/>
      <c r="AI164" s="615"/>
      <c r="AJ164" s="615"/>
      <c r="AK164" s="615"/>
      <c r="AL164" s="615"/>
      <c r="AM164" s="615"/>
      <c r="AN164" s="615"/>
      <c r="AO164" s="615"/>
      <c r="AP164" s="615"/>
      <c r="AQ164" s="615"/>
      <c r="AR164" s="615"/>
      <c r="AS164" s="615"/>
    </row>
    <row r="165" spans="12:45">
      <c r="L165" s="615"/>
      <c r="M165" s="615"/>
      <c r="AB165" s="615"/>
      <c r="AC165" s="615"/>
      <c r="AD165" s="615"/>
      <c r="AE165" s="615"/>
      <c r="AF165" s="615"/>
      <c r="AG165" s="615"/>
      <c r="AH165" s="615"/>
      <c r="AI165" s="615"/>
      <c r="AJ165" s="615"/>
      <c r="AK165" s="615"/>
      <c r="AL165" s="615"/>
      <c r="AM165" s="615"/>
      <c r="AN165" s="615"/>
      <c r="AO165" s="615"/>
      <c r="AP165" s="615"/>
      <c r="AQ165" s="615"/>
      <c r="AR165" s="615"/>
      <c r="AS165" s="615"/>
    </row>
    <row r="166" spans="12:45">
      <c r="L166" s="615"/>
      <c r="M166" s="615"/>
      <c r="AB166" s="615"/>
      <c r="AC166" s="615"/>
      <c r="AD166" s="615"/>
      <c r="AE166" s="615"/>
      <c r="AF166" s="615"/>
      <c r="AG166" s="615"/>
      <c r="AH166" s="615"/>
      <c r="AI166" s="615"/>
      <c r="AJ166" s="615"/>
      <c r="AK166" s="615"/>
      <c r="AL166" s="615"/>
      <c r="AM166" s="615"/>
      <c r="AN166" s="615"/>
      <c r="AO166" s="615"/>
      <c r="AP166" s="615"/>
      <c r="AQ166" s="615"/>
      <c r="AR166" s="615"/>
      <c r="AS166" s="615"/>
    </row>
    <row r="167" spans="12:45">
      <c r="L167" s="615"/>
      <c r="M167" s="615"/>
      <c r="AB167" s="615"/>
      <c r="AC167" s="615"/>
      <c r="AD167" s="615"/>
      <c r="AE167" s="615"/>
      <c r="AF167" s="615"/>
      <c r="AG167" s="615"/>
      <c r="AH167" s="615"/>
      <c r="AI167" s="615"/>
      <c r="AJ167" s="615"/>
      <c r="AK167" s="615"/>
      <c r="AL167" s="615"/>
      <c r="AM167" s="615"/>
      <c r="AN167" s="615"/>
      <c r="AO167" s="615"/>
      <c r="AP167" s="615"/>
      <c r="AQ167" s="615"/>
      <c r="AR167" s="615"/>
      <c r="AS167" s="615"/>
    </row>
    <row r="168" spans="12:45">
      <c r="L168" s="615"/>
      <c r="M168" s="615"/>
      <c r="AB168" s="615"/>
      <c r="AC168" s="615"/>
      <c r="AD168" s="615"/>
      <c r="AE168" s="615"/>
      <c r="AF168" s="615"/>
      <c r="AG168" s="615"/>
      <c r="AH168" s="615"/>
      <c r="AI168" s="615"/>
      <c r="AJ168" s="615"/>
      <c r="AK168" s="615"/>
      <c r="AL168" s="615"/>
      <c r="AM168" s="615"/>
      <c r="AN168" s="615"/>
      <c r="AO168" s="615"/>
      <c r="AP168" s="615"/>
      <c r="AQ168" s="615"/>
      <c r="AR168" s="615"/>
      <c r="AS168" s="615"/>
    </row>
    <row r="169" spans="12:45">
      <c r="L169" s="615"/>
      <c r="M169" s="615"/>
      <c r="AB169" s="615"/>
      <c r="AC169" s="615"/>
      <c r="AD169" s="615"/>
      <c r="AE169" s="615"/>
      <c r="AF169" s="615"/>
      <c r="AG169" s="615"/>
      <c r="AH169" s="615"/>
      <c r="AI169" s="615"/>
      <c r="AJ169" s="615"/>
      <c r="AK169" s="615"/>
      <c r="AL169" s="615"/>
      <c r="AM169" s="615"/>
      <c r="AN169" s="615"/>
      <c r="AO169" s="615"/>
      <c r="AP169" s="615"/>
      <c r="AQ169" s="615"/>
      <c r="AR169" s="615"/>
      <c r="AS169" s="615"/>
    </row>
    <row r="170" spans="12:45">
      <c r="L170" s="615"/>
      <c r="M170" s="615"/>
      <c r="AB170" s="615"/>
      <c r="AC170" s="615"/>
      <c r="AD170" s="615"/>
      <c r="AE170" s="615"/>
      <c r="AF170" s="615"/>
      <c r="AG170" s="615"/>
      <c r="AH170" s="615"/>
      <c r="AI170" s="615"/>
      <c r="AJ170" s="615"/>
      <c r="AK170" s="615"/>
      <c r="AL170" s="615"/>
      <c r="AM170" s="615"/>
      <c r="AN170" s="615"/>
      <c r="AO170" s="615"/>
      <c r="AP170" s="615"/>
      <c r="AQ170" s="615"/>
      <c r="AR170" s="615"/>
      <c r="AS170" s="615"/>
    </row>
    <row r="171" spans="12:45">
      <c r="L171" s="615"/>
      <c r="M171" s="615"/>
      <c r="AB171" s="615"/>
      <c r="AC171" s="615"/>
      <c r="AD171" s="615"/>
      <c r="AE171" s="615"/>
      <c r="AF171" s="615"/>
      <c r="AG171" s="615"/>
      <c r="AH171" s="615"/>
      <c r="AI171" s="615"/>
      <c r="AJ171" s="615"/>
      <c r="AK171" s="615"/>
      <c r="AL171" s="615"/>
      <c r="AM171" s="615"/>
      <c r="AN171" s="615"/>
      <c r="AO171" s="615"/>
      <c r="AP171" s="615"/>
      <c r="AQ171" s="615"/>
      <c r="AR171" s="615"/>
      <c r="AS171" s="615"/>
    </row>
    <row r="172" spans="12:45">
      <c r="L172" s="615"/>
      <c r="M172" s="615"/>
      <c r="AB172" s="615"/>
      <c r="AC172" s="615"/>
      <c r="AD172" s="615"/>
      <c r="AE172" s="615"/>
      <c r="AF172" s="615"/>
      <c r="AG172" s="615"/>
      <c r="AH172" s="615"/>
      <c r="AI172" s="615"/>
      <c r="AJ172" s="615"/>
      <c r="AK172" s="615"/>
      <c r="AL172" s="615"/>
      <c r="AM172" s="615"/>
      <c r="AN172" s="615"/>
      <c r="AO172" s="615"/>
      <c r="AP172" s="615"/>
      <c r="AQ172" s="615"/>
      <c r="AR172" s="615"/>
      <c r="AS172" s="615"/>
    </row>
    <row r="173" spans="12:45">
      <c r="L173" s="615"/>
      <c r="M173" s="615"/>
      <c r="AB173" s="615"/>
      <c r="AC173" s="615"/>
      <c r="AD173" s="615"/>
      <c r="AE173" s="615"/>
      <c r="AF173" s="615"/>
      <c r="AG173" s="615"/>
      <c r="AH173" s="615"/>
      <c r="AI173" s="615"/>
      <c r="AJ173" s="615"/>
      <c r="AK173" s="615"/>
      <c r="AL173" s="615"/>
      <c r="AM173" s="615"/>
      <c r="AN173" s="615"/>
      <c r="AO173" s="615"/>
      <c r="AP173" s="615"/>
      <c r="AQ173" s="615"/>
      <c r="AR173" s="615"/>
      <c r="AS173" s="615"/>
    </row>
    <row r="174" spans="12:45">
      <c r="L174" s="615"/>
      <c r="M174" s="615"/>
      <c r="AB174" s="615"/>
      <c r="AC174" s="615"/>
      <c r="AD174" s="615"/>
      <c r="AE174" s="615"/>
      <c r="AF174" s="615"/>
      <c r="AG174" s="615"/>
      <c r="AH174" s="615"/>
      <c r="AI174" s="615"/>
      <c r="AJ174" s="615"/>
      <c r="AK174" s="615"/>
      <c r="AL174" s="615"/>
      <c r="AM174" s="615"/>
      <c r="AN174" s="615"/>
      <c r="AO174" s="615"/>
      <c r="AP174" s="615"/>
      <c r="AQ174" s="615"/>
      <c r="AR174" s="615"/>
      <c r="AS174" s="615"/>
    </row>
    <row r="175" spans="12:45">
      <c r="L175" s="615"/>
      <c r="M175" s="615"/>
      <c r="AB175" s="615"/>
      <c r="AC175" s="615"/>
      <c r="AD175" s="615"/>
      <c r="AE175" s="615"/>
      <c r="AF175" s="615"/>
      <c r="AG175" s="615"/>
      <c r="AH175" s="615"/>
      <c r="AI175" s="615"/>
      <c r="AJ175" s="615"/>
      <c r="AK175" s="615"/>
      <c r="AL175" s="615"/>
      <c r="AM175" s="615"/>
      <c r="AN175" s="615"/>
      <c r="AO175" s="615"/>
      <c r="AP175" s="615"/>
      <c r="AQ175" s="615"/>
      <c r="AR175" s="615"/>
      <c r="AS175" s="615"/>
    </row>
    <row r="176" spans="12:45">
      <c r="L176" s="615"/>
      <c r="M176" s="615"/>
      <c r="AB176" s="615"/>
      <c r="AC176" s="615"/>
      <c r="AD176" s="615"/>
      <c r="AE176" s="615"/>
      <c r="AF176" s="615"/>
      <c r="AG176" s="615"/>
      <c r="AH176" s="615"/>
      <c r="AI176" s="615"/>
      <c r="AJ176" s="615"/>
      <c r="AK176" s="615"/>
      <c r="AL176" s="615"/>
      <c r="AM176" s="615"/>
      <c r="AN176" s="615"/>
      <c r="AO176" s="615"/>
      <c r="AP176" s="615"/>
      <c r="AQ176" s="615"/>
      <c r="AR176" s="615"/>
      <c r="AS176" s="615"/>
    </row>
    <row r="177" spans="12:45">
      <c r="L177" s="615"/>
      <c r="M177" s="615"/>
      <c r="AB177" s="615"/>
      <c r="AC177" s="615"/>
      <c r="AD177" s="615"/>
      <c r="AE177" s="615"/>
      <c r="AF177" s="615"/>
      <c r="AG177" s="615"/>
      <c r="AH177" s="615"/>
      <c r="AI177" s="615"/>
      <c r="AJ177" s="615"/>
      <c r="AK177" s="615"/>
      <c r="AL177" s="615"/>
      <c r="AM177" s="615"/>
      <c r="AN177" s="615"/>
      <c r="AO177" s="615"/>
      <c r="AP177" s="615"/>
      <c r="AQ177" s="615"/>
      <c r="AR177" s="615"/>
      <c r="AS177" s="615"/>
    </row>
    <row r="178" spans="12:45">
      <c r="L178" s="615"/>
      <c r="M178" s="615"/>
      <c r="AB178" s="615"/>
      <c r="AC178" s="615"/>
      <c r="AD178" s="615"/>
      <c r="AE178" s="615"/>
      <c r="AF178" s="615"/>
      <c r="AG178" s="615"/>
      <c r="AH178" s="615"/>
      <c r="AI178" s="615"/>
      <c r="AJ178" s="615"/>
      <c r="AK178" s="615"/>
      <c r="AL178" s="615"/>
      <c r="AM178" s="615"/>
      <c r="AN178" s="615"/>
      <c r="AO178" s="615"/>
      <c r="AP178" s="615"/>
      <c r="AQ178" s="615"/>
      <c r="AR178" s="615"/>
      <c r="AS178" s="615"/>
    </row>
    <row r="179" spans="12:45">
      <c r="L179" s="615"/>
      <c r="M179" s="615"/>
      <c r="AB179" s="615"/>
      <c r="AC179" s="615"/>
      <c r="AD179" s="615"/>
      <c r="AE179" s="615"/>
      <c r="AF179" s="615"/>
      <c r="AG179" s="615"/>
      <c r="AH179" s="615"/>
      <c r="AI179" s="615"/>
      <c r="AJ179" s="615"/>
      <c r="AK179" s="615"/>
      <c r="AL179" s="615"/>
      <c r="AM179" s="615"/>
      <c r="AN179" s="615"/>
      <c r="AO179" s="615"/>
      <c r="AP179" s="615"/>
      <c r="AQ179" s="615"/>
      <c r="AR179" s="615"/>
      <c r="AS179" s="615"/>
    </row>
    <row r="180" spans="12:45">
      <c r="L180" s="615"/>
      <c r="M180" s="615"/>
      <c r="AB180" s="615"/>
      <c r="AC180" s="615"/>
      <c r="AD180" s="615"/>
      <c r="AE180" s="615"/>
      <c r="AF180" s="615"/>
      <c r="AG180" s="615"/>
      <c r="AH180" s="615"/>
      <c r="AI180" s="615"/>
      <c r="AJ180" s="615"/>
      <c r="AK180" s="615"/>
      <c r="AL180" s="615"/>
      <c r="AM180" s="615"/>
      <c r="AN180" s="615"/>
      <c r="AO180" s="615"/>
      <c r="AP180" s="615"/>
      <c r="AQ180" s="615"/>
      <c r="AR180" s="615"/>
      <c r="AS180" s="615"/>
    </row>
    <row r="181" spans="12:45">
      <c r="L181" s="615"/>
      <c r="M181" s="615"/>
      <c r="AB181" s="615"/>
      <c r="AC181" s="615"/>
      <c r="AD181" s="615"/>
      <c r="AE181" s="615"/>
      <c r="AF181" s="615"/>
      <c r="AG181" s="615"/>
      <c r="AH181" s="615"/>
      <c r="AI181" s="615"/>
      <c r="AJ181" s="615"/>
      <c r="AK181" s="615"/>
      <c r="AL181" s="615"/>
      <c r="AM181" s="615"/>
      <c r="AN181" s="615"/>
      <c r="AO181" s="615"/>
      <c r="AP181" s="615"/>
      <c r="AQ181" s="615"/>
      <c r="AR181" s="615"/>
      <c r="AS181" s="615"/>
    </row>
    <row r="182" spans="12:45">
      <c r="L182" s="615"/>
      <c r="M182" s="615"/>
      <c r="AB182" s="615"/>
      <c r="AC182" s="615"/>
      <c r="AD182" s="615"/>
      <c r="AE182" s="615"/>
      <c r="AF182" s="615"/>
      <c r="AG182" s="615"/>
      <c r="AH182" s="615"/>
      <c r="AI182" s="615"/>
      <c r="AJ182" s="615"/>
      <c r="AK182" s="615"/>
      <c r="AL182" s="615"/>
      <c r="AM182" s="615"/>
      <c r="AN182" s="615"/>
      <c r="AO182" s="615"/>
      <c r="AP182" s="615"/>
      <c r="AQ182" s="615"/>
      <c r="AR182" s="615"/>
      <c r="AS182" s="615"/>
    </row>
    <row r="183" spans="12:45">
      <c r="L183" s="615"/>
      <c r="M183" s="615"/>
      <c r="AB183" s="615"/>
      <c r="AC183" s="615"/>
      <c r="AD183" s="615"/>
      <c r="AE183" s="615"/>
      <c r="AF183" s="615"/>
      <c r="AG183" s="615"/>
      <c r="AH183" s="615"/>
      <c r="AI183" s="615"/>
      <c r="AJ183" s="615"/>
      <c r="AK183" s="615"/>
      <c r="AL183" s="615"/>
      <c r="AM183" s="615"/>
      <c r="AN183" s="615"/>
      <c r="AO183" s="615"/>
      <c r="AP183" s="615"/>
      <c r="AQ183" s="615"/>
      <c r="AR183" s="615"/>
      <c r="AS183" s="615"/>
    </row>
    <row r="184" spans="12:45">
      <c r="L184" s="615"/>
      <c r="M184" s="615"/>
      <c r="AB184" s="615"/>
      <c r="AC184" s="615"/>
      <c r="AD184" s="615"/>
      <c r="AE184" s="615"/>
      <c r="AF184" s="615"/>
      <c r="AG184" s="615"/>
      <c r="AH184" s="615"/>
      <c r="AI184" s="615"/>
      <c r="AJ184" s="615"/>
      <c r="AK184" s="615"/>
      <c r="AL184" s="615"/>
      <c r="AM184" s="615"/>
      <c r="AN184" s="615"/>
      <c r="AO184" s="615"/>
      <c r="AP184" s="615"/>
      <c r="AQ184" s="615"/>
      <c r="AR184" s="615"/>
      <c r="AS184" s="615"/>
    </row>
    <row r="185" spans="12:45">
      <c r="L185" s="615"/>
      <c r="M185" s="615"/>
      <c r="AB185" s="615"/>
      <c r="AC185" s="615"/>
      <c r="AD185" s="615"/>
      <c r="AE185" s="615"/>
      <c r="AF185" s="615"/>
      <c r="AG185" s="615"/>
      <c r="AH185" s="615"/>
      <c r="AI185" s="615"/>
      <c r="AJ185" s="615"/>
      <c r="AK185" s="615"/>
      <c r="AL185" s="615"/>
      <c r="AM185" s="615"/>
      <c r="AN185" s="615"/>
      <c r="AO185" s="615"/>
      <c r="AP185" s="615"/>
      <c r="AQ185" s="615"/>
      <c r="AR185" s="615"/>
      <c r="AS185" s="615"/>
    </row>
    <row r="186" spans="12:45">
      <c r="L186" s="615"/>
      <c r="M186" s="615"/>
      <c r="AB186" s="615"/>
      <c r="AC186" s="615"/>
      <c r="AD186" s="615"/>
      <c r="AE186" s="615"/>
      <c r="AF186" s="615"/>
      <c r="AG186" s="615"/>
      <c r="AH186" s="615"/>
      <c r="AI186" s="615"/>
      <c r="AJ186" s="615"/>
      <c r="AK186" s="615"/>
      <c r="AL186" s="615"/>
      <c r="AM186" s="615"/>
      <c r="AN186" s="615"/>
      <c r="AO186" s="615"/>
      <c r="AP186" s="615"/>
      <c r="AQ186" s="615"/>
      <c r="AR186" s="615"/>
      <c r="AS186" s="615"/>
    </row>
    <row r="187" spans="12:45">
      <c r="L187" s="615"/>
      <c r="M187" s="615"/>
      <c r="AB187" s="615"/>
      <c r="AC187" s="615"/>
      <c r="AD187" s="615"/>
      <c r="AE187" s="615"/>
      <c r="AF187" s="615"/>
      <c r="AG187" s="615"/>
      <c r="AH187" s="615"/>
      <c r="AI187" s="615"/>
      <c r="AJ187" s="615"/>
      <c r="AK187" s="615"/>
      <c r="AL187" s="615"/>
      <c r="AM187" s="615"/>
      <c r="AN187" s="615"/>
      <c r="AO187" s="615"/>
      <c r="AP187" s="615"/>
      <c r="AQ187" s="615"/>
      <c r="AR187" s="615"/>
      <c r="AS187" s="615"/>
    </row>
    <row r="188" spans="12:45">
      <c r="L188" s="615"/>
      <c r="M188" s="615"/>
      <c r="AB188" s="615"/>
      <c r="AC188" s="615"/>
      <c r="AD188" s="615"/>
      <c r="AE188" s="615"/>
      <c r="AF188" s="615"/>
      <c r="AG188" s="615"/>
      <c r="AH188" s="615"/>
      <c r="AI188" s="615"/>
      <c r="AJ188" s="615"/>
      <c r="AK188" s="615"/>
      <c r="AL188" s="615"/>
      <c r="AM188" s="615"/>
      <c r="AN188" s="615"/>
      <c r="AO188" s="615"/>
      <c r="AP188" s="615"/>
      <c r="AQ188" s="615"/>
      <c r="AR188" s="615"/>
      <c r="AS188" s="615"/>
    </row>
    <row r="189" spans="12:45">
      <c r="L189" s="615"/>
      <c r="M189" s="615"/>
      <c r="AB189" s="615"/>
      <c r="AC189" s="615"/>
      <c r="AD189" s="615"/>
      <c r="AE189" s="615"/>
      <c r="AF189" s="615"/>
      <c r="AG189" s="615"/>
      <c r="AH189" s="615"/>
      <c r="AI189" s="615"/>
      <c r="AJ189" s="615"/>
      <c r="AK189" s="615"/>
      <c r="AL189" s="615"/>
      <c r="AM189" s="615"/>
      <c r="AN189" s="615"/>
      <c r="AO189" s="615"/>
      <c r="AP189" s="615"/>
      <c r="AQ189" s="615"/>
      <c r="AR189" s="615"/>
      <c r="AS189" s="615"/>
    </row>
    <row r="190" spans="12:45">
      <c r="L190" s="615"/>
      <c r="M190" s="615"/>
      <c r="AB190" s="615"/>
      <c r="AC190" s="615"/>
      <c r="AD190" s="615"/>
      <c r="AE190" s="615"/>
      <c r="AF190" s="615"/>
      <c r="AG190" s="615"/>
      <c r="AH190" s="615"/>
      <c r="AI190" s="615"/>
      <c r="AJ190" s="615"/>
      <c r="AK190" s="615"/>
      <c r="AL190" s="615"/>
      <c r="AM190" s="615"/>
      <c r="AN190" s="615"/>
      <c r="AO190" s="615"/>
      <c r="AP190" s="615"/>
      <c r="AQ190" s="615"/>
      <c r="AR190" s="615"/>
      <c r="AS190" s="615"/>
    </row>
    <row r="191" spans="12:45">
      <c r="L191" s="615"/>
      <c r="M191" s="615"/>
      <c r="AB191" s="615"/>
      <c r="AC191" s="615"/>
      <c r="AD191" s="615"/>
      <c r="AE191" s="615"/>
      <c r="AF191" s="615"/>
      <c r="AG191" s="615"/>
      <c r="AH191" s="615"/>
      <c r="AI191" s="615"/>
      <c r="AJ191" s="615"/>
      <c r="AK191" s="615"/>
      <c r="AL191" s="615"/>
      <c r="AM191" s="615"/>
      <c r="AN191" s="615"/>
      <c r="AO191" s="615"/>
      <c r="AP191" s="615"/>
      <c r="AQ191" s="615"/>
      <c r="AR191" s="615"/>
      <c r="AS191" s="615"/>
    </row>
    <row r="192" spans="12:45">
      <c r="L192" s="615"/>
      <c r="M192" s="615"/>
      <c r="AB192" s="615"/>
      <c r="AC192" s="615"/>
      <c r="AD192" s="615"/>
      <c r="AE192" s="615"/>
      <c r="AF192" s="615"/>
      <c r="AG192" s="615"/>
      <c r="AH192" s="615"/>
      <c r="AI192" s="615"/>
      <c r="AJ192" s="615"/>
      <c r="AK192" s="615"/>
      <c r="AL192" s="615"/>
      <c r="AM192" s="615"/>
      <c r="AN192" s="615"/>
      <c r="AO192" s="615"/>
      <c r="AP192" s="615"/>
      <c r="AQ192" s="615"/>
      <c r="AR192" s="615"/>
      <c r="AS192" s="615"/>
    </row>
    <row r="193" spans="12:45">
      <c r="L193" s="615"/>
      <c r="M193" s="615"/>
      <c r="AB193" s="615"/>
      <c r="AC193" s="615"/>
      <c r="AD193" s="615"/>
      <c r="AE193" s="615"/>
      <c r="AF193" s="615"/>
      <c r="AG193" s="615"/>
      <c r="AH193" s="615"/>
      <c r="AI193" s="615"/>
      <c r="AJ193" s="615"/>
      <c r="AK193" s="615"/>
      <c r="AL193" s="615"/>
      <c r="AM193" s="615"/>
      <c r="AN193" s="615"/>
      <c r="AO193" s="615"/>
      <c r="AP193" s="615"/>
      <c r="AQ193" s="615"/>
      <c r="AR193" s="615"/>
      <c r="AS193" s="615"/>
    </row>
    <row r="194" spans="12:45">
      <c r="L194" s="615"/>
      <c r="M194" s="615"/>
      <c r="AB194" s="615"/>
      <c r="AC194" s="615"/>
      <c r="AD194" s="615"/>
      <c r="AE194" s="615"/>
      <c r="AF194" s="615"/>
      <c r="AG194" s="615"/>
      <c r="AH194" s="615"/>
      <c r="AI194" s="615"/>
      <c r="AJ194" s="615"/>
      <c r="AK194" s="615"/>
      <c r="AL194" s="615"/>
      <c r="AM194" s="615"/>
      <c r="AN194" s="615"/>
      <c r="AO194" s="615"/>
      <c r="AP194" s="615"/>
      <c r="AQ194" s="615"/>
      <c r="AR194" s="615"/>
      <c r="AS194" s="615"/>
    </row>
    <row r="195" spans="12:45">
      <c r="L195" s="615"/>
      <c r="M195" s="615"/>
      <c r="AB195" s="615"/>
      <c r="AC195" s="615"/>
      <c r="AD195" s="615"/>
      <c r="AE195" s="615"/>
      <c r="AF195" s="615"/>
      <c r="AG195" s="615"/>
      <c r="AH195" s="615"/>
      <c r="AI195" s="615"/>
      <c r="AJ195" s="615"/>
      <c r="AK195" s="615"/>
      <c r="AL195" s="615"/>
      <c r="AM195" s="615"/>
      <c r="AN195" s="615"/>
      <c r="AO195" s="615"/>
      <c r="AP195" s="615"/>
      <c r="AQ195" s="615"/>
      <c r="AR195" s="615"/>
      <c r="AS195" s="615"/>
    </row>
    <row r="196" spans="12:45">
      <c r="L196" s="615"/>
      <c r="M196" s="615"/>
      <c r="AB196" s="615"/>
      <c r="AC196" s="615"/>
      <c r="AD196" s="615"/>
      <c r="AE196" s="615"/>
      <c r="AF196" s="615"/>
      <c r="AG196" s="615"/>
      <c r="AH196" s="615"/>
      <c r="AI196" s="615"/>
      <c r="AJ196" s="615"/>
      <c r="AK196" s="615"/>
      <c r="AL196" s="615"/>
      <c r="AM196" s="615"/>
      <c r="AN196" s="615"/>
      <c r="AO196" s="615"/>
      <c r="AP196" s="615"/>
      <c r="AQ196" s="615"/>
      <c r="AR196" s="615"/>
      <c r="AS196" s="615"/>
    </row>
    <row r="197" spans="12:45">
      <c r="L197" s="615"/>
      <c r="M197" s="615"/>
      <c r="AB197" s="615"/>
      <c r="AC197" s="615"/>
      <c r="AD197" s="615"/>
      <c r="AE197" s="615"/>
      <c r="AF197" s="615"/>
      <c r="AG197" s="615"/>
      <c r="AH197" s="615"/>
      <c r="AI197" s="615"/>
      <c r="AJ197" s="615"/>
      <c r="AK197" s="615"/>
      <c r="AL197" s="615"/>
      <c r="AM197" s="615"/>
      <c r="AN197" s="615"/>
      <c r="AO197" s="615"/>
      <c r="AP197" s="615"/>
      <c r="AQ197" s="615"/>
      <c r="AR197" s="615"/>
      <c r="AS197" s="615"/>
    </row>
    <row r="198" spans="12:45">
      <c r="L198" s="615"/>
      <c r="M198" s="615"/>
      <c r="AB198" s="615"/>
      <c r="AC198" s="615"/>
      <c r="AD198" s="615"/>
      <c r="AE198" s="615"/>
      <c r="AF198" s="615"/>
      <c r="AG198" s="615"/>
      <c r="AH198" s="615"/>
      <c r="AI198" s="615"/>
      <c r="AJ198" s="615"/>
      <c r="AK198" s="615"/>
      <c r="AL198" s="615"/>
      <c r="AM198" s="615"/>
      <c r="AN198" s="615"/>
      <c r="AO198" s="615"/>
      <c r="AP198" s="615"/>
      <c r="AQ198" s="615"/>
      <c r="AR198" s="615"/>
      <c r="AS198" s="615"/>
    </row>
    <row r="199" spans="12:45">
      <c r="L199" s="615"/>
      <c r="M199" s="615"/>
      <c r="AB199" s="615"/>
      <c r="AC199" s="615"/>
      <c r="AD199" s="615"/>
      <c r="AE199" s="615"/>
      <c r="AF199" s="615"/>
      <c r="AG199" s="615"/>
      <c r="AH199" s="615"/>
      <c r="AI199" s="615"/>
      <c r="AJ199" s="615"/>
      <c r="AK199" s="615"/>
      <c r="AL199" s="615"/>
      <c r="AM199" s="615"/>
      <c r="AN199" s="615"/>
      <c r="AO199" s="615"/>
      <c r="AP199" s="615"/>
      <c r="AQ199" s="615"/>
      <c r="AR199" s="615"/>
      <c r="AS199" s="615"/>
    </row>
    <row r="200" spans="12:45">
      <c r="L200" s="615"/>
      <c r="M200" s="615"/>
      <c r="AB200" s="615"/>
      <c r="AC200" s="615"/>
      <c r="AD200" s="615"/>
      <c r="AE200" s="615"/>
      <c r="AF200" s="615"/>
      <c r="AG200" s="615"/>
      <c r="AH200" s="615"/>
      <c r="AI200" s="615"/>
      <c r="AJ200" s="615"/>
      <c r="AK200" s="615"/>
      <c r="AL200" s="615"/>
      <c r="AM200" s="615"/>
      <c r="AN200" s="615"/>
      <c r="AO200" s="615"/>
      <c r="AP200" s="615"/>
      <c r="AQ200" s="615"/>
      <c r="AR200" s="615"/>
      <c r="AS200" s="615"/>
    </row>
    <row r="201" spans="12:45">
      <c r="L201" s="615"/>
      <c r="M201" s="615"/>
      <c r="AB201" s="615"/>
      <c r="AC201" s="615"/>
      <c r="AD201" s="615"/>
      <c r="AE201" s="615"/>
      <c r="AF201" s="615"/>
      <c r="AG201" s="615"/>
      <c r="AH201" s="615"/>
      <c r="AI201" s="615"/>
      <c r="AJ201" s="615"/>
      <c r="AK201" s="615"/>
      <c r="AL201" s="615"/>
      <c r="AM201" s="615"/>
      <c r="AN201" s="615"/>
      <c r="AO201" s="615"/>
      <c r="AP201" s="615"/>
      <c r="AQ201" s="615"/>
      <c r="AR201" s="615"/>
      <c r="AS201" s="615"/>
    </row>
    <row r="202" spans="12:45">
      <c r="L202" s="615"/>
      <c r="M202" s="615"/>
      <c r="AB202" s="615"/>
      <c r="AC202" s="615"/>
      <c r="AD202" s="615"/>
      <c r="AE202" s="615"/>
      <c r="AF202" s="615"/>
      <c r="AG202" s="615"/>
      <c r="AH202" s="615"/>
      <c r="AI202" s="615"/>
      <c r="AJ202" s="615"/>
      <c r="AK202" s="615"/>
      <c r="AL202" s="615"/>
      <c r="AM202" s="615"/>
      <c r="AN202" s="615"/>
      <c r="AO202" s="615"/>
      <c r="AP202" s="615"/>
      <c r="AQ202" s="615"/>
      <c r="AR202" s="615"/>
      <c r="AS202" s="615"/>
    </row>
    <row r="203" spans="12:45">
      <c r="L203" s="615"/>
      <c r="M203" s="615"/>
      <c r="AB203" s="615"/>
      <c r="AC203" s="615"/>
      <c r="AD203" s="615"/>
      <c r="AE203" s="615"/>
      <c r="AF203" s="615"/>
      <c r="AG203" s="615"/>
      <c r="AH203" s="615"/>
      <c r="AI203" s="615"/>
      <c r="AJ203" s="615"/>
      <c r="AK203" s="615"/>
      <c r="AL203" s="615"/>
      <c r="AM203" s="615"/>
      <c r="AN203" s="615"/>
      <c r="AO203" s="615"/>
      <c r="AP203" s="615"/>
      <c r="AQ203" s="615"/>
      <c r="AR203" s="615"/>
      <c r="AS203" s="615"/>
    </row>
    <row r="204" spans="12:45">
      <c r="L204" s="615"/>
      <c r="M204" s="615"/>
      <c r="AB204" s="615"/>
      <c r="AC204" s="615"/>
      <c r="AD204" s="615"/>
      <c r="AE204" s="615"/>
      <c r="AF204" s="615"/>
      <c r="AG204" s="615"/>
      <c r="AH204" s="615"/>
      <c r="AI204" s="615"/>
      <c r="AJ204" s="615"/>
      <c r="AK204" s="615"/>
      <c r="AL204" s="615"/>
      <c r="AM204" s="615"/>
      <c r="AN204" s="615"/>
      <c r="AO204" s="615"/>
      <c r="AP204" s="615"/>
      <c r="AQ204" s="615"/>
      <c r="AR204" s="615"/>
      <c r="AS204" s="615"/>
    </row>
    <row r="205" spans="12:45">
      <c r="L205" s="615"/>
      <c r="M205" s="615"/>
      <c r="AB205" s="615"/>
      <c r="AC205" s="615"/>
      <c r="AD205" s="615"/>
      <c r="AE205" s="615"/>
      <c r="AF205" s="615"/>
      <c r="AG205" s="615"/>
      <c r="AH205" s="615"/>
      <c r="AI205" s="615"/>
      <c r="AJ205" s="615"/>
      <c r="AK205" s="615"/>
      <c r="AL205" s="615"/>
      <c r="AM205" s="615"/>
      <c r="AN205" s="615"/>
      <c r="AO205" s="615"/>
      <c r="AP205" s="615"/>
      <c r="AQ205" s="615"/>
      <c r="AR205" s="615"/>
      <c r="AS205" s="615"/>
    </row>
    <row r="206" spans="12:45">
      <c r="L206" s="615"/>
      <c r="M206" s="615"/>
      <c r="AB206" s="615"/>
      <c r="AC206" s="615"/>
      <c r="AD206" s="615"/>
      <c r="AE206" s="615"/>
      <c r="AF206" s="615"/>
      <c r="AG206" s="615"/>
      <c r="AH206" s="615"/>
      <c r="AI206" s="615"/>
      <c r="AJ206" s="615"/>
      <c r="AK206" s="615"/>
      <c r="AL206" s="615"/>
      <c r="AM206" s="615"/>
      <c r="AN206" s="615"/>
      <c r="AO206" s="615"/>
      <c r="AP206" s="615"/>
      <c r="AQ206" s="615"/>
      <c r="AR206" s="615"/>
      <c r="AS206" s="615"/>
    </row>
    <row r="207" spans="12:45">
      <c r="L207" s="615"/>
      <c r="M207" s="615"/>
      <c r="AB207" s="615"/>
      <c r="AC207" s="615"/>
      <c r="AD207" s="615"/>
      <c r="AE207" s="615"/>
      <c r="AF207" s="615"/>
      <c r="AG207" s="615"/>
      <c r="AH207" s="615"/>
      <c r="AI207" s="615"/>
      <c r="AJ207" s="615"/>
      <c r="AK207" s="615"/>
      <c r="AL207" s="615"/>
      <c r="AM207" s="615"/>
      <c r="AN207" s="615"/>
      <c r="AO207" s="615"/>
      <c r="AP207" s="615"/>
      <c r="AQ207" s="615"/>
      <c r="AR207" s="615"/>
      <c r="AS207" s="615"/>
    </row>
    <row r="208" spans="12:45">
      <c r="L208" s="615"/>
      <c r="M208" s="615"/>
      <c r="AB208" s="615"/>
      <c r="AC208" s="615"/>
      <c r="AD208" s="615"/>
      <c r="AE208" s="615"/>
      <c r="AF208" s="615"/>
      <c r="AG208" s="615"/>
      <c r="AH208" s="615"/>
      <c r="AI208" s="615"/>
      <c r="AJ208" s="615"/>
      <c r="AK208" s="615"/>
      <c r="AL208" s="615"/>
      <c r="AM208" s="615"/>
      <c r="AN208" s="615"/>
      <c r="AO208" s="615"/>
      <c r="AP208" s="615"/>
      <c r="AQ208" s="615"/>
      <c r="AR208" s="615"/>
      <c r="AS208" s="615"/>
    </row>
    <row r="209" spans="12:45">
      <c r="L209" s="615"/>
      <c r="M209" s="615"/>
      <c r="AB209" s="615"/>
      <c r="AC209" s="615"/>
      <c r="AD209" s="615"/>
      <c r="AE209" s="615"/>
      <c r="AF209" s="615"/>
      <c r="AG209" s="615"/>
      <c r="AH209" s="615"/>
      <c r="AI209" s="615"/>
      <c r="AJ209" s="615"/>
      <c r="AK209" s="615"/>
      <c r="AL209" s="615"/>
      <c r="AM209" s="615"/>
      <c r="AN209" s="615"/>
      <c r="AO209" s="615"/>
      <c r="AP209" s="615"/>
      <c r="AQ209" s="615"/>
      <c r="AR209" s="615"/>
      <c r="AS209" s="615"/>
    </row>
    <row r="210" spans="12:45">
      <c r="L210" s="615"/>
      <c r="M210" s="615"/>
      <c r="AB210" s="615"/>
      <c r="AC210" s="615"/>
      <c r="AD210" s="615"/>
      <c r="AE210" s="615"/>
      <c r="AF210" s="615"/>
      <c r="AG210" s="615"/>
      <c r="AH210" s="615"/>
      <c r="AI210" s="615"/>
      <c r="AJ210" s="615"/>
      <c r="AK210" s="615"/>
      <c r="AL210" s="615"/>
      <c r="AM210" s="615"/>
      <c r="AN210" s="615"/>
      <c r="AO210" s="615"/>
      <c r="AP210" s="615"/>
      <c r="AQ210" s="615"/>
      <c r="AR210" s="615"/>
      <c r="AS210" s="615"/>
    </row>
    <row r="211" spans="12:45">
      <c r="L211" s="615"/>
      <c r="M211" s="615"/>
      <c r="AB211" s="615"/>
      <c r="AC211" s="615"/>
      <c r="AD211" s="615"/>
      <c r="AE211" s="615"/>
      <c r="AF211" s="615"/>
      <c r="AG211" s="615"/>
      <c r="AH211" s="615"/>
      <c r="AI211" s="615"/>
      <c r="AJ211" s="615"/>
      <c r="AK211" s="615"/>
      <c r="AL211" s="615"/>
      <c r="AM211" s="615"/>
      <c r="AN211" s="615"/>
      <c r="AO211" s="615"/>
      <c r="AP211" s="615"/>
      <c r="AQ211" s="615"/>
      <c r="AR211" s="615"/>
      <c r="AS211" s="615"/>
    </row>
    <row r="212" spans="12:45">
      <c r="L212" s="615"/>
      <c r="M212" s="615"/>
      <c r="AB212" s="615"/>
      <c r="AC212" s="615"/>
      <c r="AD212" s="615"/>
      <c r="AE212" s="615"/>
      <c r="AF212" s="615"/>
      <c r="AG212" s="615"/>
      <c r="AH212" s="615"/>
      <c r="AI212" s="615"/>
      <c r="AJ212" s="615"/>
      <c r="AK212" s="615"/>
      <c r="AL212" s="615"/>
      <c r="AM212" s="615"/>
      <c r="AN212" s="615"/>
      <c r="AO212" s="615"/>
      <c r="AP212" s="615"/>
      <c r="AQ212" s="615"/>
      <c r="AR212" s="615"/>
      <c r="AS212" s="615"/>
    </row>
    <row r="213" spans="12:45">
      <c r="L213" s="615"/>
      <c r="M213" s="615"/>
      <c r="AB213" s="615"/>
      <c r="AC213" s="615"/>
      <c r="AD213" s="615"/>
      <c r="AE213" s="615"/>
      <c r="AF213" s="615"/>
      <c r="AG213" s="615"/>
      <c r="AH213" s="615"/>
      <c r="AI213" s="615"/>
      <c r="AJ213" s="615"/>
      <c r="AK213" s="615"/>
      <c r="AL213" s="615"/>
      <c r="AM213" s="615"/>
      <c r="AN213" s="615"/>
      <c r="AO213" s="615"/>
      <c r="AP213" s="615"/>
      <c r="AQ213" s="615"/>
      <c r="AR213" s="615"/>
      <c r="AS213" s="615"/>
    </row>
    <row r="214" spans="12:45">
      <c r="L214" s="615"/>
      <c r="M214" s="615"/>
      <c r="AB214" s="615"/>
      <c r="AC214" s="615"/>
      <c r="AD214" s="615"/>
      <c r="AE214" s="615"/>
      <c r="AF214" s="615"/>
      <c r="AG214" s="615"/>
      <c r="AH214" s="615"/>
      <c r="AI214" s="615"/>
      <c r="AJ214" s="615"/>
      <c r="AK214" s="615"/>
      <c r="AL214" s="615"/>
      <c r="AM214" s="615"/>
      <c r="AN214" s="615"/>
      <c r="AO214" s="615"/>
      <c r="AP214" s="615"/>
      <c r="AQ214" s="615"/>
      <c r="AR214" s="615"/>
      <c r="AS214" s="615"/>
    </row>
    <row r="215" spans="12:45">
      <c r="L215" s="615"/>
      <c r="M215" s="615"/>
      <c r="AB215" s="615"/>
      <c r="AC215" s="615"/>
      <c r="AD215" s="615"/>
      <c r="AE215" s="615"/>
      <c r="AF215" s="615"/>
      <c r="AG215" s="615"/>
      <c r="AH215" s="615"/>
      <c r="AI215" s="615"/>
      <c r="AJ215" s="615"/>
      <c r="AK215" s="615"/>
      <c r="AL215" s="615"/>
      <c r="AM215" s="615"/>
      <c r="AN215" s="615"/>
      <c r="AO215" s="615"/>
      <c r="AP215" s="615"/>
      <c r="AQ215" s="615"/>
      <c r="AR215" s="615"/>
      <c r="AS215" s="615"/>
    </row>
    <row r="216" spans="12:45">
      <c r="L216" s="615"/>
      <c r="M216" s="615"/>
      <c r="AB216" s="615"/>
      <c r="AC216" s="615"/>
      <c r="AD216" s="615"/>
      <c r="AE216" s="615"/>
      <c r="AF216" s="615"/>
      <c r="AG216" s="615"/>
      <c r="AH216" s="615"/>
      <c r="AI216" s="615"/>
      <c r="AJ216" s="615"/>
      <c r="AK216" s="615"/>
      <c r="AL216" s="615"/>
      <c r="AM216" s="615"/>
      <c r="AN216" s="615"/>
      <c r="AO216" s="615"/>
      <c r="AP216" s="615"/>
      <c r="AQ216" s="615"/>
      <c r="AR216" s="615"/>
      <c r="AS216" s="615"/>
    </row>
    <row r="217" spans="12:45">
      <c r="L217" s="615"/>
      <c r="M217" s="615"/>
      <c r="AB217" s="615"/>
      <c r="AC217" s="615"/>
      <c r="AD217" s="615"/>
      <c r="AE217" s="615"/>
      <c r="AF217" s="615"/>
      <c r="AG217" s="615"/>
      <c r="AH217" s="615"/>
      <c r="AI217" s="615"/>
      <c r="AJ217" s="615"/>
      <c r="AK217" s="615"/>
      <c r="AL217" s="615"/>
      <c r="AM217" s="615"/>
      <c r="AN217" s="615"/>
      <c r="AO217" s="615"/>
      <c r="AP217" s="615"/>
      <c r="AQ217" s="615"/>
      <c r="AR217" s="615"/>
      <c r="AS217" s="615"/>
    </row>
    <row r="218" spans="12:45">
      <c r="L218" s="615"/>
      <c r="M218" s="615"/>
      <c r="AB218" s="615"/>
      <c r="AC218" s="615"/>
      <c r="AD218" s="615"/>
      <c r="AE218" s="615"/>
      <c r="AF218" s="615"/>
      <c r="AG218" s="615"/>
      <c r="AH218" s="615"/>
      <c r="AI218" s="615"/>
      <c r="AJ218" s="615"/>
      <c r="AK218" s="615"/>
      <c r="AL218" s="615"/>
      <c r="AM218" s="615"/>
      <c r="AN218" s="615"/>
      <c r="AO218" s="615"/>
      <c r="AP218" s="615"/>
      <c r="AQ218" s="615"/>
      <c r="AR218" s="615"/>
      <c r="AS218" s="615"/>
    </row>
    <row r="219" spans="12:45">
      <c r="L219" s="615"/>
      <c r="M219" s="615"/>
      <c r="AB219" s="615"/>
      <c r="AC219" s="615"/>
      <c r="AD219" s="615"/>
      <c r="AE219" s="615"/>
      <c r="AF219" s="615"/>
      <c r="AG219" s="615"/>
      <c r="AH219" s="615"/>
      <c r="AI219" s="615"/>
      <c r="AJ219" s="615"/>
      <c r="AK219" s="615"/>
      <c r="AL219" s="615"/>
      <c r="AM219" s="615"/>
      <c r="AN219" s="615"/>
      <c r="AO219" s="615"/>
      <c r="AP219" s="615"/>
      <c r="AQ219" s="615"/>
      <c r="AR219" s="615"/>
      <c r="AS219" s="615"/>
    </row>
    <row r="220" spans="12:45">
      <c r="L220" s="615"/>
      <c r="M220" s="615"/>
      <c r="AB220" s="615"/>
      <c r="AC220" s="615"/>
      <c r="AD220" s="615"/>
      <c r="AE220" s="615"/>
      <c r="AF220" s="615"/>
      <c r="AG220" s="615"/>
      <c r="AH220" s="615"/>
      <c r="AI220" s="615"/>
      <c r="AJ220" s="615"/>
      <c r="AK220" s="615"/>
      <c r="AL220" s="615"/>
      <c r="AM220" s="615"/>
      <c r="AN220" s="615"/>
      <c r="AO220" s="615"/>
      <c r="AP220" s="615"/>
      <c r="AQ220" s="615"/>
      <c r="AR220" s="615"/>
      <c r="AS220" s="615"/>
    </row>
    <row r="221" spans="12:45">
      <c r="L221" s="615"/>
      <c r="M221" s="615"/>
      <c r="AB221" s="615"/>
      <c r="AC221" s="615"/>
      <c r="AD221" s="615"/>
      <c r="AE221" s="615"/>
      <c r="AF221" s="615"/>
      <c r="AG221" s="615"/>
      <c r="AH221" s="615"/>
      <c r="AI221" s="615"/>
      <c r="AJ221" s="615"/>
      <c r="AK221" s="615"/>
      <c r="AL221" s="615"/>
      <c r="AM221" s="615"/>
      <c r="AN221" s="615"/>
      <c r="AO221" s="615"/>
      <c r="AP221" s="615"/>
      <c r="AQ221" s="615"/>
      <c r="AR221" s="615"/>
      <c r="AS221" s="615"/>
    </row>
    <row r="222" spans="12:45">
      <c r="L222" s="615"/>
      <c r="M222" s="615"/>
      <c r="AB222" s="615"/>
      <c r="AC222" s="615"/>
      <c r="AD222" s="615"/>
      <c r="AE222" s="615"/>
      <c r="AF222" s="615"/>
      <c r="AG222" s="615"/>
      <c r="AH222" s="615"/>
      <c r="AI222" s="615"/>
      <c r="AJ222" s="615"/>
      <c r="AK222" s="615"/>
      <c r="AL222" s="615"/>
      <c r="AM222" s="615"/>
      <c r="AN222" s="615"/>
      <c r="AO222" s="615"/>
      <c r="AP222" s="615"/>
      <c r="AQ222" s="615"/>
      <c r="AR222" s="615"/>
      <c r="AS222" s="615"/>
    </row>
    <row r="223" spans="12:45">
      <c r="L223" s="615"/>
      <c r="M223" s="615"/>
      <c r="AB223" s="615"/>
      <c r="AC223" s="615"/>
      <c r="AD223" s="615"/>
      <c r="AE223" s="615"/>
      <c r="AF223" s="615"/>
      <c r="AG223" s="615"/>
      <c r="AH223" s="615"/>
      <c r="AI223" s="615"/>
      <c r="AJ223" s="615"/>
      <c r="AK223" s="615"/>
      <c r="AL223" s="615"/>
      <c r="AM223" s="615"/>
      <c r="AN223" s="615"/>
      <c r="AO223" s="615"/>
      <c r="AP223" s="615"/>
      <c r="AQ223" s="615"/>
      <c r="AR223" s="615"/>
      <c r="AS223" s="615"/>
    </row>
    <row r="224" spans="12:45">
      <c r="L224" s="615"/>
      <c r="M224" s="615"/>
      <c r="AB224" s="615"/>
      <c r="AC224" s="615"/>
      <c r="AD224" s="615"/>
      <c r="AE224" s="615"/>
      <c r="AF224" s="615"/>
      <c r="AG224" s="615"/>
      <c r="AH224" s="615"/>
      <c r="AI224" s="615"/>
      <c r="AJ224" s="615"/>
      <c r="AK224" s="615"/>
      <c r="AL224" s="615"/>
      <c r="AM224" s="615"/>
      <c r="AN224" s="615"/>
      <c r="AO224" s="615"/>
      <c r="AP224" s="615"/>
      <c r="AQ224" s="615"/>
      <c r="AR224" s="615"/>
      <c r="AS224" s="615"/>
    </row>
    <row r="225" spans="12:45">
      <c r="L225" s="615"/>
      <c r="M225" s="615"/>
      <c r="AB225" s="615"/>
      <c r="AC225" s="615"/>
      <c r="AD225" s="615"/>
      <c r="AE225" s="615"/>
      <c r="AF225" s="615"/>
      <c r="AG225" s="615"/>
      <c r="AH225" s="615"/>
      <c r="AI225" s="615"/>
      <c r="AJ225" s="615"/>
      <c r="AK225" s="615"/>
      <c r="AL225" s="615"/>
      <c r="AM225" s="615"/>
      <c r="AN225" s="615"/>
      <c r="AO225" s="615"/>
      <c r="AP225" s="615"/>
      <c r="AQ225" s="615"/>
      <c r="AR225" s="615"/>
      <c r="AS225" s="615"/>
    </row>
    <row r="226" spans="12:45">
      <c r="L226" s="615"/>
      <c r="M226" s="615"/>
      <c r="AB226" s="615"/>
      <c r="AC226" s="615"/>
      <c r="AD226" s="615"/>
      <c r="AE226" s="615"/>
      <c r="AF226" s="615"/>
      <c r="AG226" s="615"/>
      <c r="AH226" s="615"/>
      <c r="AI226" s="615"/>
      <c r="AJ226" s="615"/>
      <c r="AK226" s="615"/>
      <c r="AL226" s="615"/>
      <c r="AM226" s="615"/>
      <c r="AN226" s="615"/>
      <c r="AO226" s="615"/>
      <c r="AP226" s="615"/>
      <c r="AQ226" s="615"/>
      <c r="AR226" s="615"/>
      <c r="AS226" s="615"/>
    </row>
    <row r="227" spans="12:45">
      <c r="L227" s="615"/>
      <c r="M227" s="615"/>
      <c r="AB227" s="615"/>
      <c r="AC227" s="615"/>
      <c r="AD227" s="615"/>
      <c r="AE227" s="615"/>
      <c r="AF227" s="615"/>
      <c r="AG227" s="615"/>
      <c r="AH227" s="615"/>
      <c r="AI227" s="615"/>
      <c r="AJ227" s="615"/>
      <c r="AK227" s="615"/>
      <c r="AL227" s="615"/>
      <c r="AM227" s="615"/>
      <c r="AN227" s="615"/>
      <c r="AO227" s="615"/>
      <c r="AP227" s="615"/>
      <c r="AQ227" s="615"/>
      <c r="AR227" s="615"/>
      <c r="AS227" s="615"/>
    </row>
    <row r="228" spans="12:45">
      <c r="L228" s="615"/>
      <c r="M228" s="615"/>
      <c r="AB228" s="615"/>
      <c r="AC228" s="615"/>
      <c r="AD228" s="615"/>
      <c r="AE228" s="615"/>
      <c r="AF228" s="615"/>
      <c r="AG228" s="615"/>
      <c r="AH228" s="615"/>
      <c r="AI228" s="615"/>
      <c r="AJ228" s="615"/>
      <c r="AK228" s="615"/>
      <c r="AL228" s="615"/>
      <c r="AM228" s="615"/>
      <c r="AN228" s="615"/>
      <c r="AO228" s="615"/>
      <c r="AP228" s="615"/>
      <c r="AQ228" s="615"/>
      <c r="AR228" s="615"/>
      <c r="AS228" s="615"/>
    </row>
    <row r="229" spans="12:45">
      <c r="L229" s="615"/>
      <c r="M229" s="615"/>
      <c r="AB229" s="615"/>
      <c r="AC229" s="615"/>
      <c r="AD229" s="615"/>
      <c r="AE229" s="615"/>
      <c r="AF229" s="615"/>
      <c r="AG229" s="615"/>
      <c r="AH229" s="615"/>
      <c r="AI229" s="615"/>
      <c r="AJ229" s="615"/>
      <c r="AK229" s="615"/>
      <c r="AL229" s="615"/>
      <c r="AM229" s="615"/>
      <c r="AN229" s="615"/>
      <c r="AO229" s="615"/>
      <c r="AP229" s="615"/>
      <c r="AQ229" s="615"/>
      <c r="AR229" s="615"/>
      <c r="AS229" s="615"/>
    </row>
    <row r="230" spans="12:45">
      <c r="L230" s="615"/>
      <c r="M230" s="615"/>
      <c r="AB230" s="615"/>
      <c r="AC230" s="615"/>
      <c r="AD230" s="615"/>
      <c r="AE230" s="615"/>
      <c r="AF230" s="615"/>
      <c r="AG230" s="615"/>
      <c r="AH230" s="615"/>
      <c r="AI230" s="615"/>
      <c r="AJ230" s="615"/>
      <c r="AK230" s="615"/>
      <c r="AL230" s="615"/>
      <c r="AM230" s="615"/>
      <c r="AN230" s="615"/>
      <c r="AO230" s="615"/>
      <c r="AP230" s="615"/>
      <c r="AQ230" s="615"/>
      <c r="AR230" s="615"/>
      <c r="AS230" s="615"/>
    </row>
    <row r="231" spans="12:45">
      <c r="L231" s="615"/>
      <c r="M231" s="615"/>
      <c r="AB231" s="615"/>
      <c r="AC231" s="615"/>
      <c r="AD231" s="615"/>
      <c r="AE231" s="615"/>
      <c r="AF231" s="615"/>
      <c r="AG231" s="615"/>
      <c r="AH231" s="615"/>
      <c r="AI231" s="615"/>
      <c r="AJ231" s="615"/>
      <c r="AK231" s="615"/>
      <c r="AL231" s="615"/>
      <c r="AM231" s="615"/>
      <c r="AN231" s="615"/>
      <c r="AO231" s="615"/>
      <c r="AP231" s="615"/>
      <c r="AQ231" s="615"/>
      <c r="AR231" s="615"/>
      <c r="AS231" s="615"/>
    </row>
    <row r="232" spans="12:45">
      <c r="L232" s="615"/>
      <c r="M232" s="615"/>
      <c r="AB232" s="615"/>
      <c r="AC232" s="615"/>
      <c r="AD232" s="615"/>
      <c r="AE232" s="615"/>
      <c r="AF232" s="615"/>
      <c r="AG232" s="615"/>
      <c r="AH232" s="615"/>
      <c r="AI232" s="615"/>
      <c r="AJ232" s="615"/>
      <c r="AK232" s="615"/>
      <c r="AL232" s="615"/>
      <c r="AM232" s="615"/>
      <c r="AN232" s="615"/>
      <c r="AO232" s="615"/>
      <c r="AP232" s="615"/>
      <c r="AQ232" s="615"/>
      <c r="AR232" s="615"/>
      <c r="AS232" s="615"/>
    </row>
    <row r="233" spans="12:45">
      <c r="L233" s="615"/>
      <c r="M233" s="615"/>
      <c r="AB233" s="615"/>
      <c r="AC233" s="615"/>
      <c r="AD233" s="615"/>
      <c r="AE233" s="615"/>
      <c r="AF233" s="615"/>
      <c r="AG233" s="615"/>
      <c r="AH233" s="615"/>
      <c r="AI233" s="615"/>
      <c r="AJ233" s="615"/>
      <c r="AK233" s="615"/>
      <c r="AL233" s="615"/>
      <c r="AM233" s="615"/>
      <c r="AN233" s="615"/>
      <c r="AO233" s="615"/>
      <c r="AP233" s="615"/>
      <c r="AQ233" s="615"/>
      <c r="AR233" s="615"/>
      <c r="AS233" s="615"/>
    </row>
    <row r="234" spans="12:45">
      <c r="L234" s="615"/>
      <c r="M234" s="615"/>
      <c r="AB234" s="615"/>
      <c r="AC234" s="615"/>
      <c r="AD234" s="615"/>
      <c r="AE234" s="615"/>
      <c r="AF234" s="615"/>
      <c r="AG234" s="615"/>
      <c r="AH234" s="615"/>
      <c r="AI234" s="615"/>
      <c r="AJ234" s="615"/>
      <c r="AK234" s="615"/>
      <c r="AL234" s="615"/>
      <c r="AM234" s="615"/>
      <c r="AN234" s="615"/>
      <c r="AO234" s="615"/>
      <c r="AP234" s="615"/>
      <c r="AQ234" s="615"/>
      <c r="AR234" s="615"/>
      <c r="AS234" s="615"/>
    </row>
    <row r="235" spans="12:45">
      <c r="L235" s="615"/>
      <c r="M235" s="615"/>
      <c r="AB235" s="615"/>
      <c r="AC235" s="615"/>
      <c r="AD235" s="615"/>
      <c r="AE235" s="615"/>
      <c r="AF235" s="615"/>
      <c r="AG235" s="615"/>
      <c r="AH235" s="615"/>
      <c r="AI235" s="615"/>
      <c r="AJ235" s="615"/>
      <c r="AK235" s="615"/>
      <c r="AL235" s="615"/>
      <c r="AM235" s="615"/>
      <c r="AN235" s="615"/>
      <c r="AO235" s="615"/>
      <c r="AP235" s="615"/>
      <c r="AQ235" s="615"/>
      <c r="AR235" s="615"/>
      <c r="AS235" s="615"/>
    </row>
    <row r="236" spans="12:45">
      <c r="L236" s="615"/>
      <c r="M236" s="615"/>
      <c r="AB236" s="615"/>
      <c r="AC236" s="615"/>
      <c r="AD236" s="615"/>
      <c r="AE236" s="615"/>
      <c r="AF236" s="615"/>
      <c r="AG236" s="615"/>
      <c r="AH236" s="615"/>
      <c r="AI236" s="615"/>
      <c r="AJ236" s="615"/>
      <c r="AK236" s="615"/>
      <c r="AL236" s="615"/>
      <c r="AM236" s="615"/>
      <c r="AN236" s="615"/>
      <c r="AO236" s="615"/>
      <c r="AP236" s="615"/>
      <c r="AQ236" s="615"/>
      <c r="AR236" s="615"/>
      <c r="AS236" s="615"/>
    </row>
    <row r="237" spans="12:45">
      <c r="L237" s="615"/>
      <c r="M237" s="615"/>
      <c r="AB237" s="615"/>
      <c r="AC237" s="615"/>
      <c r="AD237" s="615"/>
      <c r="AE237" s="615"/>
      <c r="AF237" s="615"/>
      <c r="AG237" s="615"/>
      <c r="AH237" s="615"/>
      <c r="AI237" s="615"/>
      <c r="AJ237" s="615"/>
      <c r="AK237" s="615"/>
      <c r="AL237" s="615"/>
      <c r="AM237" s="615"/>
      <c r="AN237" s="615"/>
      <c r="AO237" s="615"/>
      <c r="AP237" s="615"/>
      <c r="AQ237" s="615"/>
      <c r="AR237" s="615"/>
      <c r="AS237" s="615"/>
    </row>
    <row r="238" spans="12:45">
      <c r="L238" s="615"/>
      <c r="M238" s="615"/>
      <c r="AB238" s="615"/>
      <c r="AC238" s="615"/>
      <c r="AD238" s="615"/>
      <c r="AE238" s="615"/>
      <c r="AF238" s="615"/>
      <c r="AG238" s="615"/>
      <c r="AH238" s="615"/>
      <c r="AI238" s="615"/>
      <c r="AJ238" s="615"/>
      <c r="AK238" s="615"/>
      <c r="AL238" s="615"/>
      <c r="AM238" s="615"/>
      <c r="AN238" s="615"/>
      <c r="AO238" s="615"/>
      <c r="AP238" s="615"/>
      <c r="AQ238" s="615"/>
      <c r="AR238" s="615"/>
      <c r="AS238" s="615"/>
    </row>
    <row r="239" spans="12:45">
      <c r="L239" s="615"/>
      <c r="M239" s="615"/>
      <c r="AB239" s="615"/>
      <c r="AC239" s="615"/>
      <c r="AD239" s="615"/>
      <c r="AE239" s="615"/>
      <c r="AF239" s="615"/>
      <c r="AG239" s="615"/>
      <c r="AH239" s="615"/>
      <c r="AI239" s="615"/>
      <c r="AJ239" s="615"/>
      <c r="AK239" s="615"/>
      <c r="AL239" s="615"/>
      <c r="AM239" s="615"/>
      <c r="AN239" s="615"/>
      <c r="AO239" s="615"/>
      <c r="AP239" s="615"/>
      <c r="AQ239" s="615"/>
      <c r="AR239" s="615"/>
      <c r="AS239" s="615"/>
    </row>
    <row r="240" spans="12:45">
      <c r="L240" s="615"/>
      <c r="M240" s="615"/>
      <c r="AB240" s="615"/>
      <c r="AC240" s="615"/>
      <c r="AD240" s="615"/>
      <c r="AE240" s="615"/>
      <c r="AF240" s="615"/>
      <c r="AG240" s="615"/>
      <c r="AH240" s="615"/>
      <c r="AI240" s="615"/>
      <c r="AJ240" s="615"/>
      <c r="AK240" s="615"/>
      <c r="AL240" s="615"/>
      <c r="AM240" s="615"/>
      <c r="AN240" s="615"/>
      <c r="AO240" s="615"/>
      <c r="AP240" s="615"/>
      <c r="AQ240" s="615"/>
      <c r="AR240" s="615"/>
      <c r="AS240" s="615"/>
    </row>
    <row r="241" spans="12:45">
      <c r="L241" s="615"/>
      <c r="M241" s="615"/>
      <c r="AB241" s="615"/>
      <c r="AC241" s="615"/>
      <c r="AD241" s="615"/>
      <c r="AE241" s="615"/>
      <c r="AF241" s="615"/>
      <c r="AG241" s="615"/>
      <c r="AH241" s="615"/>
      <c r="AI241" s="615"/>
      <c r="AJ241" s="615"/>
      <c r="AK241" s="615"/>
      <c r="AL241" s="615"/>
      <c r="AM241" s="615"/>
      <c r="AN241" s="615"/>
      <c r="AO241" s="615"/>
      <c r="AP241" s="615"/>
      <c r="AQ241" s="615"/>
      <c r="AR241" s="615"/>
      <c r="AS241" s="615"/>
    </row>
    <row r="242" spans="12:45">
      <c r="L242" s="615"/>
      <c r="M242" s="615"/>
      <c r="AB242" s="615"/>
      <c r="AC242" s="615"/>
      <c r="AD242" s="615"/>
      <c r="AE242" s="615"/>
      <c r="AF242" s="615"/>
      <c r="AG242" s="615"/>
      <c r="AH242" s="615"/>
      <c r="AI242" s="615"/>
      <c r="AJ242" s="615"/>
      <c r="AK242" s="615"/>
      <c r="AL242" s="615"/>
      <c r="AM242" s="615"/>
      <c r="AN242" s="615"/>
      <c r="AO242" s="615"/>
      <c r="AP242" s="615"/>
      <c r="AQ242" s="615"/>
      <c r="AR242" s="615"/>
      <c r="AS242" s="615"/>
    </row>
    <row r="243" spans="12:45">
      <c r="L243" s="615"/>
      <c r="M243" s="615"/>
      <c r="AB243" s="615"/>
      <c r="AC243" s="615"/>
      <c r="AD243" s="615"/>
      <c r="AE243" s="615"/>
      <c r="AF243" s="615"/>
      <c r="AG243" s="615"/>
      <c r="AH243" s="615"/>
      <c r="AI243" s="615"/>
      <c r="AJ243" s="615"/>
      <c r="AK243" s="615"/>
      <c r="AL243" s="615"/>
      <c r="AM243" s="615"/>
      <c r="AN243" s="615"/>
      <c r="AO243" s="615"/>
      <c r="AP243" s="615"/>
      <c r="AQ243" s="615"/>
      <c r="AR243" s="615"/>
      <c r="AS243" s="615"/>
    </row>
    <row r="244" spans="12:45">
      <c r="L244" s="615"/>
      <c r="M244" s="615"/>
      <c r="AB244" s="615"/>
      <c r="AC244" s="615"/>
      <c r="AD244" s="615"/>
      <c r="AE244" s="615"/>
      <c r="AF244" s="615"/>
      <c r="AG244" s="615"/>
      <c r="AH244" s="615"/>
      <c r="AI244" s="615"/>
      <c r="AJ244" s="615"/>
      <c r="AK244" s="615"/>
      <c r="AL244" s="615"/>
      <c r="AM244" s="615"/>
      <c r="AN244" s="615"/>
      <c r="AO244" s="615"/>
      <c r="AP244" s="615"/>
      <c r="AQ244" s="615"/>
      <c r="AR244" s="615"/>
      <c r="AS244" s="615"/>
    </row>
    <row r="245" spans="12:45">
      <c r="L245" s="615"/>
      <c r="M245" s="615"/>
      <c r="AB245" s="615"/>
      <c r="AC245" s="615"/>
      <c r="AD245" s="615"/>
      <c r="AE245" s="615"/>
      <c r="AF245" s="615"/>
      <c r="AG245" s="615"/>
      <c r="AH245" s="615"/>
      <c r="AI245" s="615"/>
      <c r="AJ245" s="615"/>
      <c r="AK245" s="615"/>
      <c r="AL245" s="615"/>
      <c r="AM245" s="615"/>
      <c r="AN245" s="615"/>
      <c r="AO245" s="615"/>
      <c r="AP245" s="615"/>
      <c r="AQ245" s="615"/>
      <c r="AR245" s="615"/>
      <c r="AS245" s="615"/>
    </row>
    <row r="246" spans="12:45">
      <c r="L246" s="615"/>
      <c r="M246" s="615"/>
      <c r="AB246" s="615"/>
      <c r="AC246" s="615"/>
      <c r="AD246" s="615"/>
      <c r="AE246" s="615"/>
      <c r="AF246" s="615"/>
      <c r="AG246" s="615"/>
      <c r="AH246" s="615"/>
      <c r="AI246" s="615"/>
      <c r="AJ246" s="615"/>
      <c r="AK246" s="615"/>
      <c r="AL246" s="615"/>
      <c r="AM246" s="615"/>
      <c r="AN246" s="615"/>
      <c r="AO246" s="615"/>
      <c r="AP246" s="615"/>
      <c r="AQ246" s="615"/>
      <c r="AR246" s="615"/>
      <c r="AS246" s="615"/>
    </row>
    <row r="247" spans="12:45">
      <c r="L247" s="615"/>
      <c r="M247" s="615"/>
      <c r="AB247" s="615"/>
      <c r="AC247" s="615"/>
      <c r="AD247" s="615"/>
      <c r="AE247" s="615"/>
      <c r="AF247" s="615"/>
      <c r="AG247" s="615"/>
      <c r="AH247" s="615"/>
      <c r="AI247" s="615"/>
      <c r="AJ247" s="615"/>
      <c r="AK247" s="615"/>
      <c r="AL247" s="615"/>
      <c r="AM247" s="615"/>
      <c r="AN247" s="615"/>
      <c r="AO247" s="615"/>
      <c r="AP247" s="615"/>
      <c r="AQ247" s="615"/>
      <c r="AR247" s="615"/>
      <c r="AS247" s="615"/>
    </row>
    <row r="248" spans="12:45">
      <c r="L248" s="615"/>
      <c r="M248" s="615"/>
      <c r="AB248" s="615"/>
      <c r="AC248" s="615"/>
      <c r="AD248" s="615"/>
      <c r="AE248" s="615"/>
      <c r="AF248" s="615"/>
      <c r="AG248" s="615"/>
      <c r="AH248" s="615"/>
      <c r="AI248" s="615"/>
      <c r="AJ248" s="615"/>
      <c r="AK248" s="615"/>
      <c r="AL248" s="615"/>
      <c r="AM248" s="615"/>
      <c r="AN248" s="615"/>
      <c r="AO248" s="615"/>
      <c r="AP248" s="615"/>
      <c r="AQ248" s="615"/>
      <c r="AR248" s="615"/>
      <c r="AS248" s="615"/>
    </row>
    <row r="249" spans="12:45">
      <c r="L249" s="615"/>
      <c r="M249" s="615"/>
      <c r="AB249" s="615"/>
      <c r="AC249" s="615"/>
      <c r="AD249" s="615"/>
      <c r="AE249" s="615"/>
      <c r="AF249" s="615"/>
      <c r="AG249" s="615"/>
      <c r="AH249" s="615"/>
      <c r="AI249" s="615"/>
      <c r="AJ249" s="615"/>
      <c r="AK249" s="615"/>
      <c r="AL249" s="615"/>
      <c r="AM249" s="615"/>
      <c r="AN249" s="615"/>
      <c r="AO249" s="615"/>
      <c r="AP249" s="615"/>
      <c r="AQ249" s="615"/>
      <c r="AR249" s="615"/>
      <c r="AS249" s="615"/>
    </row>
    <row r="250" spans="12:45">
      <c r="L250" s="615"/>
      <c r="M250" s="615"/>
      <c r="AB250" s="615"/>
      <c r="AC250" s="615"/>
      <c r="AD250" s="615"/>
      <c r="AE250" s="615"/>
      <c r="AF250" s="615"/>
      <c r="AG250" s="615"/>
      <c r="AH250" s="615"/>
      <c r="AI250" s="615"/>
      <c r="AJ250" s="615"/>
      <c r="AK250" s="615"/>
      <c r="AL250" s="615"/>
      <c r="AM250" s="615"/>
      <c r="AN250" s="615"/>
      <c r="AO250" s="615"/>
      <c r="AP250" s="615"/>
      <c r="AQ250" s="615"/>
      <c r="AR250" s="615"/>
      <c r="AS250" s="615"/>
    </row>
    <row r="251" spans="12:45">
      <c r="L251" s="615"/>
      <c r="M251" s="615"/>
      <c r="AB251" s="615"/>
      <c r="AC251" s="615"/>
      <c r="AD251" s="615"/>
      <c r="AE251" s="615"/>
      <c r="AF251" s="615"/>
      <c r="AG251" s="615"/>
      <c r="AH251" s="615"/>
      <c r="AI251" s="615"/>
      <c r="AJ251" s="615"/>
      <c r="AK251" s="615"/>
      <c r="AL251" s="615"/>
      <c r="AM251" s="615"/>
      <c r="AN251" s="615"/>
      <c r="AO251" s="615"/>
      <c r="AP251" s="615"/>
      <c r="AQ251" s="615"/>
      <c r="AR251" s="615"/>
      <c r="AS251" s="615"/>
    </row>
    <row r="252" spans="12:45">
      <c r="L252" s="615"/>
      <c r="M252" s="615"/>
      <c r="AB252" s="615"/>
      <c r="AC252" s="615"/>
      <c r="AD252" s="615"/>
      <c r="AE252" s="615"/>
      <c r="AF252" s="615"/>
      <c r="AG252" s="615"/>
      <c r="AH252" s="615"/>
      <c r="AI252" s="615"/>
      <c r="AJ252" s="615"/>
      <c r="AK252" s="615"/>
      <c r="AL252" s="615"/>
      <c r="AM252" s="615"/>
      <c r="AN252" s="615"/>
      <c r="AO252" s="615"/>
      <c r="AP252" s="615"/>
      <c r="AQ252" s="615"/>
      <c r="AR252" s="615"/>
      <c r="AS252" s="615"/>
    </row>
    <row r="253" spans="12:45">
      <c r="L253" s="615"/>
      <c r="M253" s="615"/>
      <c r="AB253" s="615"/>
      <c r="AC253" s="615"/>
      <c r="AD253" s="615"/>
      <c r="AE253" s="615"/>
      <c r="AF253" s="615"/>
      <c r="AG253" s="615"/>
      <c r="AH253" s="615"/>
      <c r="AI253" s="615"/>
      <c r="AJ253" s="615"/>
      <c r="AK253" s="615"/>
      <c r="AL253" s="615"/>
      <c r="AM253" s="615"/>
      <c r="AN253" s="615"/>
      <c r="AO253" s="615"/>
      <c r="AP253" s="615"/>
      <c r="AQ253" s="615"/>
      <c r="AR253" s="615"/>
      <c r="AS253" s="615"/>
    </row>
    <row r="254" spans="12:45">
      <c r="L254" s="615"/>
      <c r="M254" s="615"/>
      <c r="AB254" s="615"/>
      <c r="AC254" s="615"/>
      <c r="AD254" s="615"/>
      <c r="AE254" s="615"/>
      <c r="AF254" s="615"/>
      <c r="AG254" s="615"/>
      <c r="AH254" s="615"/>
      <c r="AI254" s="615"/>
      <c r="AJ254" s="615"/>
      <c r="AK254" s="615"/>
      <c r="AL254" s="615"/>
      <c r="AM254" s="615"/>
      <c r="AN254" s="615"/>
      <c r="AO254" s="615"/>
      <c r="AP254" s="615"/>
      <c r="AQ254" s="615"/>
      <c r="AR254" s="615"/>
      <c r="AS254" s="615"/>
    </row>
    <row r="255" spans="12:45">
      <c r="L255" s="615"/>
      <c r="M255" s="615"/>
      <c r="AB255" s="615"/>
      <c r="AC255" s="615"/>
      <c r="AD255" s="615"/>
      <c r="AE255" s="615"/>
      <c r="AF255" s="615"/>
      <c r="AG255" s="615"/>
      <c r="AH255" s="615"/>
      <c r="AI255" s="615"/>
      <c r="AJ255" s="615"/>
      <c r="AK255" s="615"/>
      <c r="AL255" s="615"/>
      <c r="AM255" s="615"/>
      <c r="AN255" s="615"/>
      <c r="AO255" s="615"/>
      <c r="AP255" s="615"/>
      <c r="AQ255" s="615"/>
      <c r="AR255" s="615"/>
      <c r="AS255" s="615"/>
    </row>
    <row r="256" spans="12:45">
      <c r="L256" s="615"/>
      <c r="M256" s="615"/>
      <c r="AB256" s="615"/>
      <c r="AC256" s="615"/>
      <c r="AD256" s="615"/>
      <c r="AE256" s="615"/>
      <c r="AF256" s="615"/>
      <c r="AG256" s="615"/>
      <c r="AH256" s="615"/>
      <c r="AI256" s="615"/>
      <c r="AJ256" s="615"/>
      <c r="AK256" s="615"/>
      <c r="AL256" s="615"/>
      <c r="AM256" s="615"/>
      <c r="AN256" s="615"/>
      <c r="AO256" s="615"/>
      <c r="AP256" s="615"/>
      <c r="AQ256" s="615"/>
      <c r="AR256" s="615"/>
      <c r="AS256" s="615"/>
    </row>
    <row r="257" spans="12:45">
      <c r="L257" s="615"/>
      <c r="M257" s="615"/>
      <c r="AB257" s="615"/>
      <c r="AC257" s="615"/>
      <c r="AD257" s="615"/>
      <c r="AE257" s="615"/>
      <c r="AF257" s="615"/>
      <c r="AG257" s="615"/>
      <c r="AH257" s="615"/>
      <c r="AI257" s="615"/>
      <c r="AJ257" s="615"/>
      <c r="AK257" s="615"/>
      <c r="AL257" s="615"/>
      <c r="AM257" s="615"/>
      <c r="AN257" s="615"/>
      <c r="AO257" s="615"/>
      <c r="AP257" s="615"/>
      <c r="AQ257" s="615"/>
      <c r="AR257" s="615"/>
      <c r="AS257" s="615"/>
    </row>
    <row r="258" spans="12:45">
      <c r="L258" s="615"/>
      <c r="M258" s="615"/>
      <c r="AB258" s="615"/>
      <c r="AC258" s="615"/>
      <c r="AD258" s="615"/>
      <c r="AE258" s="615"/>
      <c r="AF258" s="615"/>
      <c r="AG258" s="615"/>
      <c r="AH258" s="615"/>
      <c r="AI258" s="615"/>
      <c r="AJ258" s="615"/>
      <c r="AK258" s="615"/>
      <c r="AL258" s="615"/>
      <c r="AM258" s="615"/>
      <c r="AN258" s="615"/>
      <c r="AO258" s="615"/>
      <c r="AP258" s="615"/>
      <c r="AQ258" s="615"/>
      <c r="AR258" s="615"/>
      <c r="AS258" s="615"/>
    </row>
    <row r="259" spans="12:45">
      <c r="L259" s="615"/>
      <c r="M259" s="615"/>
      <c r="AB259" s="615"/>
      <c r="AC259" s="615"/>
      <c r="AD259" s="615"/>
      <c r="AE259" s="615"/>
      <c r="AF259" s="615"/>
      <c r="AG259" s="615"/>
      <c r="AH259" s="615"/>
      <c r="AI259" s="615"/>
      <c r="AJ259" s="615"/>
      <c r="AK259" s="615"/>
      <c r="AL259" s="615"/>
      <c r="AM259" s="615"/>
      <c r="AN259" s="615"/>
      <c r="AO259" s="615"/>
      <c r="AP259" s="615"/>
      <c r="AQ259" s="615"/>
      <c r="AR259" s="615"/>
      <c r="AS259" s="615"/>
    </row>
    <row r="260" spans="12:45">
      <c r="L260" s="615"/>
      <c r="M260" s="615"/>
      <c r="AB260" s="615"/>
      <c r="AC260" s="615"/>
      <c r="AD260" s="615"/>
      <c r="AE260" s="615"/>
      <c r="AF260" s="615"/>
      <c r="AG260" s="615"/>
      <c r="AH260" s="615"/>
      <c r="AI260" s="615"/>
      <c r="AJ260" s="615"/>
      <c r="AK260" s="615"/>
      <c r="AL260" s="615"/>
      <c r="AM260" s="615"/>
      <c r="AN260" s="615"/>
      <c r="AO260" s="615"/>
      <c r="AP260" s="615"/>
      <c r="AQ260" s="615"/>
      <c r="AR260" s="615"/>
      <c r="AS260" s="615"/>
    </row>
    <row r="261" spans="12:45">
      <c r="L261" s="615"/>
      <c r="M261" s="615"/>
      <c r="AB261" s="615"/>
      <c r="AC261" s="615"/>
      <c r="AD261" s="615"/>
      <c r="AE261" s="615"/>
      <c r="AF261" s="615"/>
      <c r="AG261" s="615"/>
      <c r="AH261" s="615"/>
      <c r="AI261" s="615"/>
      <c r="AJ261" s="615"/>
      <c r="AK261" s="615"/>
      <c r="AL261" s="615"/>
      <c r="AM261" s="615"/>
      <c r="AN261" s="615"/>
      <c r="AO261" s="615"/>
      <c r="AP261" s="615"/>
      <c r="AQ261" s="615"/>
      <c r="AR261" s="615"/>
      <c r="AS261" s="615"/>
    </row>
    <row r="262" spans="12:45">
      <c r="L262" s="615"/>
      <c r="M262" s="615"/>
      <c r="AB262" s="615"/>
      <c r="AC262" s="615"/>
      <c r="AD262" s="615"/>
      <c r="AE262" s="615"/>
      <c r="AF262" s="615"/>
      <c r="AG262" s="615"/>
      <c r="AH262" s="615"/>
      <c r="AI262" s="615"/>
      <c r="AJ262" s="615"/>
      <c r="AK262" s="615"/>
      <c r="AL262" s="615"/>
      <c r="AM262" s="615"/>
      <c r="AN262" s="615"/>
      <c r="AO262" s="615"/>
      <c r="AP262" s="615"/>
      <c r="AQ262" s="615"/>
      <c r="AR262" s="615"/>
      <c r="AS262" s="615"/>
    </row>
    <row r="263" spans="12:45">
      <c r="L263" s="615"/>
      <c r="M263" s="615"/>
      <c r="AB263" s="615"/>
      <c r="AC263" s="615"/>
      <c r="AD263" s="615"/>
      <c r="AE263" s="615"/>
      <c r="AF263" s="615"/>
      <c r="AG263" s="615"/>
      <c r="AH263" s="615"/>
      <c r="AI263" s="615"/>
      <c r="AJ263" s="615"/>
      <c r="AK263" s="615"/>
      <c r="AL263" s="615"/>
      <c r="AM263" s="615"/>
      <c r="AN263" s="615"/>
      <c r="AO263" s="615"/>
      <c r="AP263" s="615"/>
      <c r="AQ263" s="615"/>
      <c r="AR263" s="615"/>
      <c r="AS263" s="615"/>
    </row>
    <row r="264" spans="12:45">
      <c r="L264" s="615"/>
      <c r="M264" s="615"/>
      <c r="AB264" s="615"/>
      <c r="AC264" s="615"/>
      <c r="AD264" s="615"/>
      <c r="AE264" s="615"/>
      <c r="AF264" s="615"/>
      <c r="AG264" s="615"/>
      <c r="AH264" s="615"/>
      <c r="AI264" s="615"/>
      <c r="AJ264" s="615"/>
      <c r="AK264" s="615"/>
      <c r="AL264" s="615"/>
      <c r="AM264" s="615"/>
      <c r="AN264" s="615"/>
      <c r="AO264" s="615"/>
      <c r="AP264" s="615"/>
      <c r="AQ264" s="615"/>
      <c r="AR264" s="615"/>
      <c r="AS264" s="615"/>
    </row>
    <row r="265" spans="12:45">
      <c r="L265" s="615"/>
      <c r="M265" s="615"/>
      <c r="AB265" s="615"/>
      <c r="AC265" s="615"/>
      <c r="AD265" s="615"/>
      <c r="AE265" s="615"/>
      <c r="AF265" s="615"/>
      <c r="AG265" s="615"/>
      <c r="AH265" s="615"/>
      <c r="AI265" s="615"/>
      <c r="AJ265" s="615"/>
      <c r="AK265" s="615"/>
      <c r="AL265" s="615"/>
      <c r="AM265" s="615"/>
      <c r="AN265" s="615"/>
      <c r="AO265" s="615"/>
      <c r="AP265" s="615"/>
      <c r="AQ265" s="615"/>
      <c r="AR265" s="615"/>
      <c r="AS265" s="615"/>
    </row>
    <row r="266" spans="12:45">
      <c r="L266" s="615"/>
      <c r="M266" s="615"/>
      <c r="AB266" s="615"/>
      <c r="AC266" s="615"/>
      <c r="AD266" s="615"/>
      <c r="AE266" s="615"/>
      <c r="AF266" s="615"/>
      <c r="AG266" s="615"/>
      <c r="AH266" s="615"/>
      <c r="AI266" s="615"/>
      <c r="AJ266" s="615"/>
      <c r="AK266" s="615"/>
      <c r="AL266" s="615"/>
      <c r="AM266" s="615"/>
      <c r="AN266" s="615"/>
      <c r="AO266" s="615"/>
      <c r="AP266" s="615"/>
      <c r="AQ266" s="615"/>
      <c r="AR266" s="615"/>
      <c r="AS266" s="615"/>
    </row>
    <row r="267" spans="12:45">
      <c r="L267" s="615"/>
      <c r="M267" s="615"/>
      <c r="AB267" s="615"/>
      <c r="AC267" s="615"/>
      <c r="AD267" s="615"/>
      <c r="AE267" s="615"/>
      <c r="AF267" s="615"/>
      <c r="AG267" s="615"/>
      <c r="AH267" s="615"/>
      <c r="AI267" s="615"/>
      <c r="AJ267" s="615"/>
      <c r="AK267" s="615"/>
      <c r="AL267" s="615"/>
      <c r="AM267" s="615"/>
      <c r="AN267" s="615"/>
      <c r="AO267" s="615"/>
      <c r="AP267" s="615"/>
      <c r="AQ267" s="615"/>
      <c r="AR267" s="615"/>
      <c r="AS267" s="615"/>
    </row>
    <row r="268" spans="12:45">
      <c r="L268" s="615"/>
      <c r="M268" s="615"/>
      <c r="AB268" s="615"/>
      <c r="AC268" s="615"/>
      <c r="AD268" s="615"/>
      <c r="AE268" s="615"/>
      <c r="AF268" s="615"/>
      <c r="AG268" s="615"/>
      <c r="AH268" s="615"/>
      <c r="AI268" s="615"/>
      <c r="AJ268" s="615"/>
      <c r="AK268" s="615"/>
      <c r="AL268" s="615"/>
      <c r="AM268" s="615"/>
      <c r="AN268" s="615"/>
      <c r="AO268" s="615"/>
      <c r="AP268" s="615"/>
      <c r="AQ268" s="615"/>
      <c r="AR268" s="615"/>
      <c r="AS268" s="615"/>
    </row>
    <row r="269" spans="12:45">
      <c r="L269" s="615"/>
      <c r="M269" s="615"/>
      <c r="AB269" s="615"/>
      <c r="AC269" s="615"/>
      <c r="AD269" s="615"/>
      <c r="AE269" s="615"/>
      <c r="AF269" s="615"/>
      <c r="AG269" s="615"/>
      <c r="AH269" s="615"/>
      <c r="AI269" s="615"/>
      <c r="AJ269" s="615"/>
      <c r="AK269" s="615"/>
      <c r="AL269" s="615"/>
      <c r="AM269" s="615"/>
      <c r="AN269" s="615"/>
      <c r="AO269" s="615"/>
      <c r="AP269" s="615"/>
      <c r="AQ269" s="615"/>
      <c r="AR269" s="615"/>
      <c r="AS269" s="615"/>
    </row>
    <row r="270" spans="12:45">
      <c r="L270" s="615"/>
      <c r="M270" s="615"/>
      <c r="AB270" s="615"/>
      <c r="AC270" s="615"/>
      <c r="AD270" s="615"/>
      <c r="AE270" s="615"/>
      <c r="AF270" s="615"/>
      <c r="AG270" s="615"/>
      <c r="AH270" s="615"/>
      <c r="AI270" s="615"/>
      <c r="AJ270" s="615"/>
      <c r="AK270" s="615"/>
      <c r="AL270" s="615"/>
      <c r="AM270" s="615"/>
      <c r="AN270" s="615"/>
      <c r="AO270" s="615"/>
      <c r="AP270" s="615"/>
      <c r="AQ270" s="615"/>
      <c r="AR270" s="615"/>
      <c r="AS270" s="615"/>
    </row>
    <row r="271" spans="12:45">
      <c r="L271" s="615"/>
      <c r="M271" s="615"/>
      <c r="AB271" s="615"/>
      <c r="AC271" s="615"/>
      <c r="AD271" s="615"/>
      <c r="AE271" s="615"/>
      <c r="AF271" s="615"/>
      <c r="AG271" s="615"/>
      <c r="AH271" s="615"/>
      <c r="AI271" s="615"/>
      <c r="AJ271" s="615"/>
      <c r="AK271" s="615"/>
      <c r="AL271" s="615"/>
      <c r="AM271" s="615"/>
      <c r="AN271" s="615"/>
      <c r="AO271" s="615"/>
      <c r="AP271" s="615"/>
      <c r="AQ271" s="615"/>
      <c r="AR271" s="615"/>
      <c r="AS271" s="615"/>
    </row>
    <row r="272" spans="12:45">
      <c r="L272" s="615"/>
      <c r="M272" s="615"/>
      <c r="AB272" s="615"/>
      <c r="AC272" s="615"/>
      <c r="AD272" s="615"/>
      <c r="AE272" s="615"/>
      <c r="AF272" s="615"/>
      <c r="AG272" s="615"/>
      <c r="AH272" s="615"/>
      <c r="AI272" s="615"/>
      <c r="AJ272" s="615"/>
      <c r="AK272" s="615"/>
      <c r="AL272" s="615"/>
      <c r="AM272" s="615"/>
      <c r="AN272" s="615"/>
      <c r="AO272" s="615"/>
      <c r="AP272" s="615"/>
      <c r="AQ272" s="615"/>
      <c r="AR272" s="615"/>
      <c r="AS272" s="615"/>
    </row>
    <row r="273" spans="12:45">
      <c r="L273" s="615"/>
      <c r="M273" s="615"/>
      <c r="AB273" s="615"/>
      <c r="AC273" s="615"/>
      <c r="AD273" s="615"/>
      <c r="AE273" s="615"/>
      <c r="AF273" s="615"/>
      <c r="AG273" s="615"/>
      <c r="AH273" s="615"/>
      <c r="AI273" s="615"/>
      <c r="AJ273" s="615"/>
      <c r="AK273" s="615"/>
      <c r="AL273" s="615"/>
      <c r="AM273" s="615"/>
      <c r="AN273" s="615"/>
      <c r="AO273" s="615"/>
      <c r="AP273" s="615"/>
      <c r="AQ273" s="615"/>
      <c r="AR273" s="615"/>
      <c r="AS273" s="615"/>
    </row>
    <row r="274" spans="12:45">
      <c r="L274" s="615"/>
      <c r="M274" s="615"/>
      <c r="AB274" s="615"/>
      <c r="AC274" s="615"/>
      <c r="AD274" s="615"/>
      <c r="AE274" s="615"/>
      <c r="AF274" s="615"/>
      <c r="AG274" s="615"/>
      <c r="AH274" s="615"/>
      <c r="AI274" s="615"/>
      <c r="AJ274" s="615"/>
      <c r="AK274" s="615"/>
      <c r="AL274" s="615"/>
      <c r="AM274" s="615"/>
      <c r="AN274" s="615"/>
      <c r="AO274" s="615"/>
      <c r="AP274" s="615"/>
      <c r="AQ274" s="615"/>
      <c r="AR274" s="615"/>
      <c r="AS274" s="615"/>
    </row>
    <row r="275" spans="12:45">
      <c r="L275" s="615"/>
      <c r="M275" s="615"/>
      <c r="AB275" s="615"/>
      <c r="AC275" s="615"/>
      <c r="AD275" s="615"/>
      <c r="AE275" s="615"/>
      <c r="AF275" s="615"/>
      <c r="AG275" s="615"/>
      <c r="AH275" s="615"/>
      <c r="AI275" s="615"/>
      <c r="AJ275" s="615"/>
      <c r="AK275" s="615"/>
      <c r="AL275" s="615"/>
      <c r="AM275" s="615"/>
      <c r="AN275" s="615"/>
      <c r="AO275" s="615"/>
      <c r="AP275" s="615"/>
      <c r="AQ275" s="615"/>
      <c r="AR275" s="615"/>
      <c r="AS275" s="615"/>
    </row>
    <row r="276" spans="12:45">
      <c r="L276" s="615"/>
      <c r="M276" s="615"/>
      <c r="AB276" s="615"/>
      <c r="AC276" s="615"/>
      <c r="AD276" s="615"/>
      <c r="AE276" s="615"/>
      <c r="AF276" s="615"/>
      <c r="AG276" s="615"/>
      <c r="AH276" s="615"/>
      <c r="AI276" s="615"/>
      <c r="AJ276" s="615"/>
      <c r="AK276" s="615"/>
      <c r="AL276" s="615"/>
      <c r="AM276" s="615"/>
      <c r="AN276" s="615"/>
      <c r="AO276" s="615"/>
      <c r="AP276" s="615"/>
      <c r="AQ276" s="615"/>
      <c r="AR276" s="615"/>
      <c r="AS276" s="615"/>
    </row>
    <row r="277" spans="12:45">
      <c r="L277" s="615"/>
      <c r="M277" s="615"/>
      <c r="AB277" s="615"/>
      <c r="AC277" s="615"/>
      <c r="AD277" s="615"/>
      <c r="AE277" s="615"/>
      <c r="AF277" s="615"/>
      <c r="AG277" s="615"/>
      <c r="AH277" s="615"/>
      <c r="AI277" s="615"/>
      <c r="AJ277" s="615"/>
      <c r="AK277" s="615"/>
      <c r="AL277" s="615"/>
      <c r="AM277" s="615"/>
      <c r="AN277" s="615"/>
      <c r="AO277" s="615"/>
      <c r="AP277" s="615"/>
      <c r="AQ277" s="615"/>
      <c r="AR277" s="615"/>
      <c r="AS277" s="615"/>
    </row>
    <row r="278" spans="12:45">
      <c r="L278" s="615"/>
      <c r="M278" s="615"/>
      <c r="AB278" s="615"/>
      <c r="AC278" s="615"/>
      <c r="AD278" s="615"/>
      <c r="AE278" s="615"/>
      <c r="AF278" s="615"/>
      <c r="AG278" s="615"/>
      <c r="AH278" s="615"/>
      <c r="AI278" s="615"/>
      <c r="AJ278" s="615"/>
      <c r="AK278" s="615"/>
      <c r="AL278" s="615"/>
      <c r="AM278" s="615"/>
      <c r="AN278" s="615"/>
      <c r="AO278" s="615"/>
      <c r="AP278" s="615"/>
      <c r="AQ278" s="615"/>
      <c r="AR278" s="615"/>
      <c r="AS278" s="615"/>
    </row>
    <row r="279" spans="12:45">
      <c r="L279" s="615"/>
      <c r="M279" s="615"/>
      <c r="AB279" s="615"/>
      <c r="AC279" s="615"/>
      <c r="AD279" s="615"/>
      <c r="AE279" s="615"/>
      <c r="AF279" s="615"/>
      <c r="AG279" s="615"/>
      <c r="AH279" s="615"/>
      <c r="AI279" s="615"/>
      <c r="AJ279" s="615"/>
      <c r="AK279" s="615"/>
      <c r="AL279" s="615"/>
      <c r="AM279" s="615"/>
      <c r="AN279" s="615"/>
      <c r="AO279" s="615"/>
      <c r="AP279" s="615"/>
      <c r="AQ279" s="615"/>
      <c r="AR279" s="615"/>
      <c r="AS279" s="615"/>
    </row>
    <row r="280" spans="12:45">
      <c r="L280" s="615"/>
      <c r="M280" s="615"/>
      <c r="AB280" s="615"/>
      <c r="AC280" s="615"/>
      <c r="AD280" s="615"/>
      <c r="AE280" s="615"/>
      <c r="AF280" s="615"/>
      <c r="AG280" s="615"/>
      <c r="AH280" s="615"/>
      <c r="AI280" s="615"/>
      <c r="AJ280" s="615"/>
      <c r="AK280" s="615"/>
      <c r="AL280" s="615"/>
      <c r="AM280" s="615"/>
      <c r="AN280" s="615"/>
      <c r="AO280" s="615"/>
      <c r="AP280" s="615"/>
      <c r="AQ280" s="615"/>
      <c r="AR280" s="615"/>
      <c r="AS280" s="615"/>
    </row>
    <row r="281" spans="12:45">
      <c r="L281" s="615"/>
      <c r="M281" s="615"/>
      <c r="AB281" s="615"/>
      <c r="AC281" s="615"/>
      <c r="AD281" s="615"/>
      <c r="AE281" s="615"/>
      <c r="AF281" s="615"/>
      <c r="AG281" s="615"/>
      <c r="AH281" s="615"/>
      <c r="AI281" s="615"/>
      <c r="AJ281" s="615"/>
      <c r="AK281" s="615"/>
      <c r="AL281" s="615"/>
      <c r="AM281" s="615"/>
      <c r="AN281" s="615"/>
      <c r="AO281" s="615"/>
      <c r="AP281" s="615"/>
      <c r="AQ281" s="615"/>
      <c r="AR281" s="615"/>
      <c r="AS281" s="615"/>
    </row>
    <row r="282" spans="12:45">
      <c r="L282" s="615"/>
      <c r="M282" s="615"/>
      <c r="AB282" s="615"/>
      <c r="AC282" s="615"/>
      <c r="AD282" s="615"/>
      <c r="AE282" s="615"/>
      <c r="AF282" s="615"/>
      <c r="AG282" s="615"/>
      <c r="AH282" s="615"/>
      <c r="AI282" s="615"/>
      <c r="AJ282" s="615"/>
      <c r="AK282" s="615"/>
      <c r="AL282" s="615"/>
      <c r="AM282" s="615"/>
      <c r="AN282" s="615"/>
      <c r="AO282" s="615"/>
      <c r="AP282" s="615"/>
      <c r="AQ282" s="615"/>
      <c r="AR282" s="615"/>
      <c r="AS282" s="615"/>
    </row>
    <row r="283" spans="12:45">
      <c r="L283" s="615"/>
      <c r="M283" s="615"/>
      <c r="AB283" s="615"/>
      <c r="AC283" s="615"/>
      <c r="AD283" s="615"/>
      <c r="AE283" s="615"/>
      <c r="AF283" s="615"/>
      <c r="AG283" s="615"/>
      <c r="AH283" s="615"/>
      <c r="AI283" s="615"/>
      <c r="AJ283" s="615"/>
      <c r="AK283" s="615"/>
      <c r="AL283" s="615"/>
      <c r="AM283" s="615"/>
      <c r="AN283" s="615"/>
      <c r="AO283" s="615"/>
      <c r="AP283" s="615"/>
      <c r="AQ283" s="615"/>
      <c r="AR283" s="615"/>
      <c r="AS283" s="615"/>
    </row>
    <row r="284" spans="12:45">
      <c r="L284" s="615"/>
      <c r="M284" s="615"/>
      <c r="AB284" s="615"/>
      <c r="AC284" s="615"/>
      <c r="AD284" s="615"/>
      <c r="AE284" s="615"/>
      <c r="AF284" s="615"/>
      <c r="AG284" s="615"/>
      <c r="AH284" s="615"/>
      <c r="AI284" s="615"/>
      <c r="AJ284" s="615"/>
      <c r="AK284" s="615"/>
      <c r="AL284" s="615"/>
      <c r="AM284" s="615"/>
      <c r="AN284" s="615"/>
      <c r="AO284" s="615"/>
      <c r="AP284" s="615"/>
      <c r="AQ284" s="615"/>
      <c r="AR284" s="615"/>
      <c r="AS284" s="615"/>
    </row>
    <row r="285" spans="12:45">
      <c r="L285" s="615"/>
      <c r="M285" s="615"/>
      <c r="AB285" s="615"/>
      <c r="AC285" s="615"/>
      <c r="AD285" s="615"/>
      <c r="AE285" s="615"/>
      <c r="AF285" s="615"/>
      <c r="AG285" s="615"/>
      <c r="AH285" s="615"/>
      <c r="AI285" s="615"/>
      <c r="AJ285" s="615"/>
      <c r="AK285" s="615"/>
      <c r="AL285" s="615"/>
      <c r="AM285" s="615"/>
      <c r="AN285" s="615"/>
      <c r="AO285" s="615"/>
      <c r="AP285" s="615"/>
      <c r="AQ285" s="615"/>
      <c r="AR285" s="615"/>
      <c r="AS285" s="615"/>
    </row>
    <row r="286" spans="12:45">
      <c r="L286" s="615"/>
      <c r="M286" s="615"/>
      <c r="AB286" s="615"/>
      <c r="AC286" s="615"/>
      <c r="AD286" s="615"/>
      <c r="AE286" s="615"/>
      <c r="AF286" s="615"/>
      <c r="AG286" s="615"/>
      <c r="AH286" s="615"/>
      <c r="AI286" s="615"/>
      <c r="AJ286" s="615"/>
      <c r="AK286" s="615"/>
      <c r="AL286" s="615"/>
      <c r="AM286" s="615"/>
      <c r="AN286" s="615"/>
      <c r="AO286" s="615"/>
      <c r="AP286" s="615"/>
      <c r="AQ286" s="615"/>
      <c r="AR286" s="615"/>
      <c r="AS286" s="615"/>
    </row>
    <row r="287" spans="12:45">
      <c r="L287" s="615"/>
      <c r="M287" s="615"/>
      <c r="AB287" s="615"/>
      <c r="AC287" s="615"/>
      <c r="AD287" s="615"/>
      <c r="AE287" s="615"/>
      <c r="AF287" s="615"/>
      <c r="AG287" s="615"/>
      <c r="AH287" s="615"/>
      <c r="AI287" s="615"/>
      <c r="AJ287" s="615"/>
      <c r="AK287" s="615"/>
      <c r="AL287" s="615"/>
      <c r="AM287" s="615"/>
      <c r="AN287" s="615"/>
      <c r="AO287" s="615"/>
      <c r="AP287" s="615"/>
      <c r="AQ287" s="615"/>
      <c r="AR287" s="615"/>
      <c r="AS287" s="615"/>
    </row>
    <row r="288" spans="12:45">
      <c r="L288" s="615"/>
      <c r="M288" s="615"/>
      <c r="AB288" s="615"/>
      <c r="AC288" s="615"/>
      <c r="AD288" s="615"/>
      <c r="AE288" s="615"/>
      <c r="AF288" s="615"/>
      <c r="AG288" s="615"/>
      <c r="AH288" s="615"/>
      <c r="AI288" s="615"/>
      <c r="AJ288" s="615"/>
      <c r="AK288" s="615"/>
      <c r="AL288" s="615"/>
      <c r="AM288" s="615"/>
      <c r="AN288" s="615"/>
      <c r="AO288" s="615"/>
      <c r="AP288" s="615"/>
      <c r="AQ288" s="615"/>
      <c r="AR288" s="615"/>
      <c r="AS288" s="615"/>
    </row>
    <row r="289" spans="12:45">
      <c r="L289" s="615"/>
      <c r="M289" s="615"/>
      <c r="AB289" s="615"/>
      <c r="AC289" s="615"/>
      <c r="AD289" s="615"/>
      <c r="AE289" s="615"/>
      <c r="AF289" s="615"/>
      <c r="AG289" s="615"/>
      <c r="AH289" s="615"/>
      <c r="AI289" s="615"/>
      <c r="AJ289" s="615"/>
      <c r="AK289" s="615"/>
      <c r="AL289" s="615"/>
      <c r="AM289" s="615"/>
      <c r="AN289" s="615"/>
      <c r="AO289" s="615"/>
      <c r="AP289" s="615"/>
      <c r="AQ289" s="615"/>
      <c r="AR289" s="615"/>
      <c r="AS289" s="615"/>
    </row>
    <row r="290" spans="12:45">
      <c r="L290" s="615"/>
      <c r="M290" s="615"/>
      <c r="AB290" s="615"/>
      <c r="AC290" s="615"/>
      <c r="AD290" s="615"/>
      <c r="AE290" s="615"/>
      <c r="AF290" s="615"/>
      <c r="AG290" s="615"/>
      <c r="AH290" s="615"/>
      <c r="AI290" s="615"/>
      <c r="AJ290" s="615"/>
      <c r="AK290" s="615"/>
      <c r="AL290" s="615"/>
      <c r="AM290" s="615"/>
      <c r="AN290" s="615"/>
      <c r="AO290" s="615"/>
      <c r="AP290" s="615"/>
      <c r="AQ290" s="615"/>
      <c r="AR290" s="615"/>
      <c r="AS290" s="615"/>
    </row>
    <row r="291" spans="12:45">
      <c r="L291" s="615"/>
      <c r="M291" s="615"/>
      <c r="AB291" s="615"/>
      <c r="AC291" s="615"/>
      <c r="AD291" s="615"/>
      <c r="AE291" s="615"/>
      <c r="AF291" s="615"/>
      <c r="AG291" s="615"/>
      <c r="AH291" s="615"/>
      <c r="AI291" s="615"/>
      <c r="AJ291" s="615"/>
      <c r="AK291" s="615"/>
      <c r="AL291" s="615"/>
      <c r="AM291" s="615"/>
      <c r="AN291" s="615"/>
      <c r="AO291" s="615"/>
      <c r="AP291" s="615"/>
      <c r="AQ291" s="615"/>
      <c r="AR291" s="615"/>
      <c r="AS291" s="615"/>
    </row>
    <row r="292" spans="12:45">
      <c r="L292" s="615"/>
      <c r="M292" s="615"/>
      <c r="AB292" s="615"/>
      <c r="AC292" s="615"/>
      <c r="AD292" s="615"/>
      <c r="AE292" s="615"/>
      <c r="AF292" s="615"/>
      <c r="AG292" s="615"/>
      <c r="AH292" s="615"/>
      <c r="AI292" s="615"/>
      <c r="AJ292" s="615"/>
      <c r="AK292" s="615"/>
      <c r="AL292" s="615"/>
      <c r="AM292" s="615"/>
      <c r="AN292" s="615"/>
      <c r="AO292" s="615"/>
      <c r="AP292" s="615"/>
      <c r="AQ292" s="615"/>
      <c r="AR292" s="615"/>
      <c r="AS292" s="615"/>
    </row>
    <row r="293" spans="12:45">
      <c r="L293" s="615"/>
      <c r="M293" s="615"/>
      <c r="AB293" s="615"/>
      <c r="AC293" s="615"/>
      <c r="AD293" s="615"/>
      <c r="AE293" s="615"/>
      <c r="AF293" s="615"/>
      <c r="AG293" s="615"/>
      <c r="AH293" s="615"/>
      <c r="AI293" s="615"/>
      <c r="AJ293" s="615"/>
      <c r="AK293" s="615"/>
      <c r="AL293" s="615"/>
      <c r="AM293" s="615"/>
      <c r="AN293" s="615"/>
      <c r="AO293" s="615"/>
      <c r="AP293" s="615"/>
      <c r="AQ293" s="615"/>
      <c r="AR293" s="615"/>
      <c r="AS293" s="615"/>
    </row>
    <row r="294" spans="12:45">
      <c r="L294" s="615"/>
      <c r="M294" s="615"/>
      <c r="AB294" s="615"/>
      <c r="AC294" s="615"/>
      <c r="AD294" s="615"/>
      <c r="AE294" s="615"/>
      <c r="AF294" s="615"/>
      <c r="AG294" s="615"/>
      <c r="AH294" s="615"/>
      <c r="AI294" s="615"/>
      <c r="AJ294" s="615"/>
      <c r="AK294" s="615"/>
      <c r="AL294" s="615"/>
      <c r="AM294" s="615"/>
      <c r="AN294" s="615"/>
      <c r="AO294" s="615"/>
      <c r="AP294" s="615"/>
      <c r="AQ294" s="615"/>
      <c r="AR294" s="615"/>
      <c r="AS294" s="615"/>
    </row>
    <row r="295" spans="12:45">
      <c r="L295" s="615"/>
      <c r="M295" s="615"/>
      <c r="AB295" s="615"/>
      <c r="AC295" s="615"/>
      <c r="AD295" s="615"/>
      <c r="AE295" s="615"/>
      <c r="AF295" s="615"/>
      <c r="AG295" s="615"/>
      <c r="AH295" s="615"/>
      <c r="AI295" s="615"/>
      <c r="AJ295" s="615"/>
      <c r="AK295" s="615"/>
      <c r="AL295" s="615"/>
      <c r="AM295" s="615"/>
      <c r="AN295" s="615"/>
      <c r="AO295" s="615"/>
      <c r="AP295" s="615"/>
      <c r="AQ295" s="615"/>
      <c r="AR295" s="615"/>
      <c r="AS295" s="615"/>
    </row>
    <row r="296" spans="12:45">
      <c r="L296" s="615"/>
      <c r="M296" s="615"/>
      <c r="AB296" s="615"/>
      <c r="AC296" s="615"/>
      <c r="AD296" s="615"/>
      <c r="AE296" s="615"/>
      <c r="AF296" s="615"/>
      <c r="AG296" s="615"/>
      <c r="AH296" s="615"/>
      <c r="AI296" s="615"/>
      <c r="AJ296" s="615"/>
      <c r="AK296" s="615"/>
      <c r="AL296" s="615"/>
      <c r="AM296" s="615"/>
      <c r="AN296" s="615"/>
      <c r="AO296" s="615"/>
      <c r="AP296" s="615"/>
      <c r="AQ296" s="615"/>
      <c r="AR296" s="615"/>
      <c r="AS296" s="615"/>
    </row>
    <row r="297" spans="12:45">
      <c r="L297" s="615"/>
      <c r="M297" s="615"/>
      <c r="AB297" s="615"/>
      <c r="AC297" s="615"/>
      <c r="AD297" s="615"/>
      <c r="AE297" s="615"/>
      <c r="AF297" s="615"/>
      <c r="AG297" s="615"/>
      <c r="AH297" s="615"/>
      <c r="AI297" s="615"/>
      <c r="AJ297" s="615"/>
      <c r="AK297" s="615"/>
      <c r="AL297" s="615"/>
      <c r="AM297" s="615"/>
      <c r="AN297" s="615"/>
      <c r="AO297" s="615"/>
      <c r="AP297" s="615"/>
      <c r="AQ297" s="615"/>
      <c r="AR297" s="615"/>
      <c r="AS297" s="615"/>
    </row>
    <row r="298" spans="12:45">
      <c r="L298" s="615"/>
      <c r="M298" s="615"/>
      <c r="AB298" s="615"/>
      <c r="AC298" s="615"/>
      <c r="AD298" s="615"/>
      <c r="AE298" s="615"/>
      <c r="AF298" s="615"/>
      <c r="AG298" s="615"/>
      <c r="AH298" s="615"/>
      <c r="AI298" s="615"/>
      <c r="AJ298" s="615"/>
      <c r="AK298" s="615"/>
      <c r="AL298" s="615"/>
      <c r="AM298" s="615"/>
      <c r="AN298" s="615"/>
      <c r="AO298" s="615"/>
      <c r="AP298" s="615"/>
      <c r="AQ298" s="615"/>
      <c r="AR298" s="615"/>
      <c r="AS298" s="615"/>
    </row>
    <row r="299" spans="12:45">
      <c r="L299" s="615"/>
      <c r="M299" s="615"/>
      <c r="AB299" s="615"/>
      <c r="AC299" s="615"/>
      <c r="AD299" s="615"/>
      <c r="AE299" s="615"/>
      <c r="AF299" s="615"/>
      <c r="AG299" s="615"/>
      <c r="AH299" s="615"/>
      <c r="AI299" s="615"/>
      <c r="AJ299" s="615"/>
      <c r="AK299" s="615"/>
      <c r="AL299" s="615"/>
      <c r="AM299" s="615"/>
      <c r="AN299" s="615"/>
      <c r="AO299" s="615"/>
      <c r="AP299" s="615"/>
      <c r="AQ299" s="615"/>
      <c r="AR299" s="615"/>
      <c r="AS299" s="615"/>
    </row>
    <row r="300" spans="12:45">
      <c r="L300" s="615"/>
      <c r="M300" s="615"/>
      <c r="AB300" s="615"/>
      <c r="AC300" s="615"/>
      <c r="AD300" s="615"/>
      <c r="AE300" s="615"/>
      <c r="AF300" s="615"/>
      <c r="AG300" s="615"/>
      <c r="AH300" s="615"/>
      <c r="AI300" s="615"/>
      <c r="AJ300" s="615"/>
      <c r="AK300" s="615"/>
      <c r="AL300" s="615"/>
      <c r="AM300" s="615"/>
      <c r="AN300" s="615"/>
      <c r="AO300" s="615"/>
      <c r="AP300" s="615"/>
      <c r="AQ300" s="615"/>
      <c r="AR300" s="615"/>
      <c r="AS300" s="615"/>
    </row>
    <row r="301" spans="12:45">
      <c r="L301" s="615"/>
      <c r="M301" s="615"/>
      <c r="AB301" s="615"/>
      <c r="AC301" s="615"/>
      <c r="AD301" s="615"/>
      <c r="AE301" s="615"/>
      <c r="AF301" s="615"/>
      <c r="AG301" s="615"/>
      <c r="AH301" s="615"/>
      <c r="AI301" s="615"/>
      <c r="AJ301" s="615"/>
      <c r="AK301" s="615"/>
      <c r="AL301" s="615"/>
      <c r="AM301" s="615"/>
      <c r="AN301" s="615"/>
      <c r="AO301" s="615"/>
      <c r="AP301" s="615"/>
      <c r="AQ301" s="615"/>
      <c r="AR301" s="615"/>
      <c r="AS301" s="615"/>
    </row>
    <row r="302" spans="12:45">
      <c r="L302" s="615"/>
      <c r="M302" s="615"/>
      <c r="AB302" s="615"/>
      <c r="AC302" s="615"/>
      <c r="AD302" s="615"/>
      <c r="AE302" s="615"/>
      <c r="AF302" s="615"/>
      <c r="AG302" s="615"/>
      <c r="AH302" s="615"/>
      <c r="AI302" s="615"/>
      <c r="AJ302" s="615"/>
      <c r="AK302" s="615"/>
      <c r="AL302" s="615"/>
      <c r="AM302" s="615"/>
      <c r="AN302" s="615"/>
      <c r="AO302" s="615"/>
      <c r="AP302" s="615"/>
      <c r="AQ302" s="615"/>
      <c r="AR302" s="615"/>
      <c r="AS302" s="615"/>
    </row>
    <row r="303" spans="12:45">
      <c r="L303" s="615"/>
      <c r="M303" s="615"/>
      <c r="AB303" s="615"/>
      <c r="AC303" s="615"/>
      <c r="AD303" s="615"/>
      <c r="AE303" s="615"/>
      <c r="AF303" s="615"/>
      <c r="AG303" s="615"/>
      <c r="AH303" s="615"/>
      <c r="AI303" s="615"/>
      <c r="AJ303" s="615"/>
      <c r="AK303" s="615"/>
      <c r="AL303" s="615"/>
      <c r="AM303" s="615"/>
      <c r="AN303" s="615"/>
      <c r="AO303" s="615"/>
      <c r="AP303" s="615"/>
      <c r="AQ303" s="615"/>
      <c r="AR303" s="615"/>
      <c r="AS303" s="615"/>
    </row>
    <row r="304" spans="12:45">
      <c r="L304" s="615"/>
      <c r="M304" s="615"/>
      <c r="AB304" s="615"/>
      <c r="AC304" s="615"/>
      <c r="AD304" s="615"/>
      <c r="AE304" s="615"/>
      <c r="AF304" s="615"/>
      <c r="AG304" s="615"/>
      <c r="AH304" s="615"/>
      <c r="AI304" s="615"/>
      <c r="AJ304" s="615"/>
      <c r="AK304" s="615"/>
      <c r="AL304" s="615"/>
      <c r="AM304" s="615"/>
      <c r="AN304" s="615"/>
      <c r="AO304" s="615"/>
      <c r="AP304" s="615"/>
      <c r="AQ304" s="615"/>
      <c r="AR304" s="615"/>
      <c r="AS304" s="615"/>
    </row>
    <row r="305" spans="12:45">
      <c r="L305" s="615"/>
      <c r="M305" s="615"/>
      <c r="AB305" s="615"/>
      <c r="AC305" s="615"/>
      <c r="AD305" s="615"/>
      <c r="AE305" s="615"/>
      <c r="AF305" s="615"/>
      <c r="AG305" s="615"/>
      <c r="AH305" s="615"/>
      <c r="AI305" s="615"/>
      <c r="AJ305" s="615"/>
      <c r="AK305" s="615"/>
      <c r="AL305" s="615"/>
      <c r="AM305" s="615"/>
      <c r="AN305" s="615"/>
      <c r="AO305" s="615"/>
      <c r="AP305" s="615"/>
      <c r="AQ305" s="615"/>
      <c r="AR305" s="615"/>
      <c r="AS305" s="615"/>
    </row>
    <row r="306" spans="12:45">
      <c r="L306" s="615"/>
      <c r="M306" s="615"/>
      <c r="AB306" s="615"/>
      <c r="AC306" s="615"/>
      <c r="AD306" s="615"/>
      <c r="AE306" s="615"/>
      <c r="AF306" s="615"/>
      <c r="AG306" s="615"/>
      <c r="AH306" s="615"/>
      <c r="AI306" s="615"/>
      <c r="AJ306" s="615"/>
      <c r="AK306" s="615"/>
      <c r="AL306" s="615"/>
      <c r="AM306" s="615"/>
      <c r="AN306" s="615"/>
      <c r="AO306" s="615"/>
      <c r="AP306" s="615"/>
      <c r="AQ306" s="615"/>
      <c r="AR306" s="615"/>
      <c r="AS306" s="615"/>
    </row>
    <row r="307" spans="12:45">
      <c r="L307" s="615"/>
      <c r="M307" s="615"/>
      <c r="AB307" s="615"/>
      <c r="AC307" s="615"/>
      <c r="AD307" s="615"/>
      <c r="AE307" s="615"/>
      <c r="AF307" s="615"/>
      <c r="AG307" s="615"/>
      <c r="AH307" s="615"/>
      <c r="AI307" s="615"/>
      <c r="AJ307" s="615"/>
      <c r="AK307" s="615"/>
      <c r="AL307" s="615"/>
      <c r="AM307" s="615"/>
      <c r="AN307" s="615"/>
      <c r="AO307" s="615"/>
      <c r="AP307" s="615"/>
      <c r="AQ307" s="615"/>
      <c r="AR307" s="615"/>
      <c r="AS307" s="615"/>
    </row>
    <row r="308" spans="12:45">
      <c r="L308" s="615"/>
      <c r="M308" s="615"/>
      <c r="AB308" s="615"/>
      <c r="AC308" s="615"/>
      <c r="AD308" s="615"/>
      <c r="AE308" s="615"/>
      <c r="AF308" s="615"/>
      <c r="AG308" s="615"/>
      <c r="AH308" s="615"/>
      <c r="AI308" s="615"/>
      <c r="AJ308" s="615"/>
      <c r="AK308" s="615"/>
      <c r="AL308" s="615"/>
      <c r="AM308" s="615"/>
      <c r="AN308" s="615"/>
      <c r="AO308" s="615"/>
      <c r="AP308" s="615"/>
      <c r="AQ308" s="615"/>
      <c r="AR308" s="615"/>
      <c r="AS308" s="615"/>
    </row>
    <row r="309" spans="12:45">
      <c r="L309" s="615"/>
      <c r="M309" s="615"/>
      <c r="AB309" s="615"/>
      <c r="AC309" s="615"/>
      <c r="AD309" s="615"/>
      <c r="AE309" s="615"/>
      <c r="AF309" s="615"/>
      <c r="AG309" s="615"/>
      <c r="AH309" s="615"/>
      <c r="AI309" s="615"/>
      <c r="AJ309" s="615"/>
      <c r="AK309" s="615"/>
      <c r="AL309" s="615"/>
      <c r="AM309" s="615"/>
      <c r="AN309" s="615"/>
      <c r="AO309" s="615"/>
      <c r="AP309" s="615"/>
      <c r="AQ309" s="615"/>
      <c r="AR309" s="615"/>
      <c r="AS309" s="615"/>
    </row>
    <row r="310" spans="12:45">
      <c r="L310" s="615"/>
      <c r="M310" s="615"/>
      <c r="AB310" s="615"/>
      <c r="AC310" s="615"/>
      <c r="AD310" s="615"/>
      <c r="AE310" s="615"/>
      <c r="AF310" s="615"/>
      <c r="AG310" s="615"/>
      <c r="AH310" s="615"/>
      <c r="AI310" s="615"/>
      <c r="AJ310" s="615"/>
      <c r="AK310" s="615"/>
      <c r="AL310" s="615"/>
      <c r="AM310" s="615"/>
      <c r="AN310" s="615"/>
      <c r="AO310" s="615"/>
      <c r="AP310" s="615"/>
      <c r="AQ310" s="615"/>
      <c r="AR310" s="615"/>
      <c r="AS310" s="615"/>
    </row>
    <row r="311" spans="12:45">
      <c r="L311" s="615"/>
      <c r="M311" s="615"/>
      <c r="AB311" s="615"/>
      <c r="AC311" s="615"/>
      <c r="AD311" s="615"/>
      <c r="AE311" s="615"/>
      <c r="AF311" s="615"/>
      <c r="AG311" s="615"/>
      <c r="AH311" s="615"/>
      <c r="AI311" s="615"/>
      <c r="AJ311" s="615"/>
      <c r="AK311" s="615"/>
      <c r="AL311" s="615"/>
      <c r="AM311" s="615"/>
      <c r="AN311" s="615"/>
      <c r="AO311" s="615"/>
      <c r="AP311" s="615"/>
      <c r="AQ311" s="615"/>
      <c r="AR311" s="615"/>
      <c r="AS311" s="615"/>
    </row>
  </sheetData>
  <sheetProtection sheet="1" objects="1" scenarios="1"/>
  <mergeCells count="93">
    <mergeCell ref="A28:C28"/>
    <mergeCell ref="E28:H28"/>
    <mergeCell ref="L28:M28"/>
    <mergeCell ref="A22:A23"/>
    <mergeCell ref="B22:B23"/>
    <mergeCell ref="C22:C23"/>
    <mergeCell ref="J22:J23"/>
    <mergeCell ref="K22:K23"/>
    <mergeCell ref="L22:M23"/>
    <mergeCell ref="A24:A25"/>
    <mergeCell ref="B24:M25"/>
    <mergeCell ref="A27:C27"/>
    <mergeCell ref="E27:H27"/>
    <mergeCell ref="L27:M27"/>
    <mergeCell ref="O18:R18"/>
    <mergeCell ref="O19:R19"/>
    <mergeCell ref="A20:A21"/>
    <mergeCell ref="B20:B21"/>
    <mergeCell ref="C20:C21"/>
    <mergeCell ref="J20:J21"/>
    <mergeCell ref="K20:K21"/>
    <mergeCell ref="L20:M21"/>
    <mergeCell ref="O20:R20"/>
    <mergeCell ref="O21:R21"/>
    <mergeCell ref="A18:A19"/>
    <mergeCell ref="B18:B19"/>
    <mergeCell ref="C18:C19"/>
    <mergeCell ref="J18:J19"/>
    <mergeCell ref="K18:K19"/>
    <mergeCell ref="L18:M19"/>
    <mergeCell ref="O15:R15"/>
    <mergeCell ref="A16:A17"/>
    <mergeCell ref="B16:B17"/>
    <mergeCell ref="C16:C17"/>
    <mergeCell ref="J16:J17"/>
    <mergeCell ref="K16:K17"/>
    <mergeCell ref="L16:M17"/>
    <mergeCell ref="O16:R16"/>
    <mergeCell ref="O17:R17"/>
    <mergeCell ref="A14:A15"/>
    <mergeCell ref="B14:B15"/>
    <mergeCell ref="C14:C15"/>
    <mergeCell ref="J14:J15"/>
    <mergeCell ref="K14:K15"/>
    <mergeCell ref="L14:M15"/>
    <mergeCell ref="O10:T10"/>
    <mergeCell ref="A12:A13"/>
    <mergeCell ref="B12:B13"/>
    <mergeCell ref="C12:C13"/>
    <mergeCell ref="J12:J13"/>
    <mergeCell ref="K12:K13"/>
    <mergeCell ref="L12:M13"/>
    <mergeCell ref="I8:I9"/>
    <mergeCell ref="J8:M8"/>
    <mergeCell ref="L9:M9"/>
    <mergeCell ref="A10:A11"/>
    <mergeCell ref="B10:B11"/>
    <mergeCell ref="C10:C11"/>
    <mergeCell ref="J10:J11"/>
    <mergeCell ref="K10:K11"/>
    <mergeCell ref="L10:M11"/>
    <mergeCell ref="A8:A9"/>
    <mergeCell ref="B8:B9"/>
    <mergeCell ref="C8:C9"/>
    <mergeCell ref="D8:E9"/>
    <mergeCell ref="F8:G9"/>
    <mergeCell ref="H8:H9"/>
    <mergeCell ref="A6:D6"/>
    <mergeCell ref="E6:F6"/>
    <mergeCell ref="G6:H6"/>
    <mergeCell ref="I6:J6"/>
    <mergeCell ref="K6:L6"/>
    <mergeCell ref="A7:B7"/>
    <mergeCell ref="C7:D7"/>
    <mergeCell ref="E7:H7"/>
    <mergeCell ref="I7:J7"/>
    <mergeCell ref="K7:M7"/>
    <mergeCell ref="A4:B4"/>
    <mergeCell ref="C4:E4"/>
    <mergeCell ref="I4:J4"/>
    <mergeCell ref="K4:L4"/>
    <mergeCell ref="P4:Q4"/>
    <mergeCell ref="B5:D5"/>
    <mergeCell ref="E5:G5"/>
    <mergeCell ref="H5:I5"/>
    <mergeCell ref="J5:L5"/>
    <mergeCell ref="P5:Q5"/>
    <mergeCell ref="C1:H1"/>
    <mergeCell ref="J1:K1"/>
    <mergeCell ref="L1:M1"/>
    <mergeCell ref="B2:G2"/>
    <mergeCell ref="H2:I2"/>
    <mergeCell ref="J2:M2"/>
  </mergeCells>
  <dataValidations count="12">
    <dataValidation type="list" allowBlank="1" showInputMessage="1" showErrorMessage="1" sqref="M4" xr:uid="{DD96E91D-9C4D-437B-AC84-52E157704D52}">
      <formula1>YN</formula1>
    </dataValidation>
    <dataValidation type="whole" errorStyle="information" allowBlank="1" showInputMessage="1" showErrorMessage="1" error="Enter Number not Range._x000a__x000a_If &gt;50% Rock Considered Bedrock - Zero Treatment Credit" promptTitle="Rock Fragment Percentage" prompt="Rock Fragement Percentage_x000a_0-35% Rock = 100% Credit_x000a_35-50% Rock in Sand = 50% Credit_x000a_50+% Rock = 0% Credit" sqref="C10:C23" xr:uid="{D67C0218-3975-4EE4-9865-7B631EF4116A}">
      <formula1>0</formula1>
      <formula2>50</formula2>
    </dataValidation>
    <dataValidation type="list" allowBlank="1" sqref="D10:D23" xr:uid="{084AF244-C3D3-48F0-8B44-6EF041B02B51}">
      <formula1>Hue</formula1>
    </dataValidation>
    <dataValidation type="list" allowBlank="1" sqref="G10:G23 E10:E23" xr:uid="{2022B28C-D9D8-4DC4-BC6D-83B03ECC1C52}">
      <formula1>ValueChroma</formula1>
    </dataValidation>
    <dataValidation type="list" allowBlank="1" sqref="J22 J18 J20 J14 J16 J10:J12" xr:uid="{94CF9215-0749-43C2-8F74-DB8EE94602DB}">
      <formula1>StructureShape</formula1>
    </dataValidation>
    <dataValidation type="list" allowBlank="1" sqref="K22 K18 K20 K14 K16 K10:K12" xr:uid="{0943D954-77F1-4673-B1B6-DB7216500801}">
      <formula1>StructureGrade</formula1>
    </dataValidation>
    <dataValidation type="list" allowBlank="1" sqref="L22 L20 L12 L14 L16 L18 L10:M11" xr:uid="{35129BCA-DD77-4830-AA44-9EEA1BD55E76}">
      <formula1>StructureConsistence</formula1>
    </dataValidation>
    <dataValidation type="list" allowBlank="1" sqref="B22 B18 B10 B12 B14 B16 B20" xr:uid="{1816157F-7882-4DB5-BD14-5100BEE5CEA5}">
      <formula1>SoilTexture7080</formula1>
    </dataValidation>
    <dataValidation type="list" allowBlank="1" sqref="I4" xr:uid="{70FF91A2-7296-4058-9DDE-7A026AB11B9F}">
      <formula1>SlopeShape</formula1>
    </dataValidation>
    <dataValidation type="decimal" errorStyle="information" showDropDown="1" showInputMessage="1" showErrorMessage="1" errorTitle="Slope" error="Check slope value" prompt="Land Slope" sqref="G4" xr:uid="{D990DAB4-FD10-4431-B6CC-8CEF1537E7B8}">
      <formula1>0</formula1>
      <formula2>25</formula2>
    </dataValidation>
    <dataValidation type="list" errorStyle="information" allowBlank="1" showInputMessage="1" showErrorMessage="1" error="Check type before proceeding" sqref="K7:M7" xr:uid="{CA4BE093-C0EA-4390-81B1-086BCC79DC52}">
      <formula1>ObservationType</formula1>
    </dataValidation>
    <dataValidation type="list" allowBlank="1" showInputMessage="1" prompt="If Mottle Color is entered, Redox Kind(s) needs to be completed." sqref="F10:F23" xr:uid="{D82D5462-DD9C-46C9-8C1E-B2136E98DD33}">
      <formula1>Hue</formula1>
    </dataValidation>
  </dataValidations>
  <printOptions horizontalCentered="1" verticalCentered="1"/>
  <pageMargins left="0.25" right="0.25" top="0.25" bottom="0.25" header="0" footer="0"/>
  <pageSetup fitToHeight="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654081" r:id="rId4" name="Check Box 1">
              <controlPr defaultSize="0" autoFill="0" autoLine="0" autoPict="0">
                <anchor moveWithCells="1" sizeWithCells="1">
                  <from>
                    <xdr:col>4</xdr:col>
                    <xdr:colOff>123825</xdr:colOff>
                    <xdr:row>2</xdr:row>
                    <xdr:rowOff>28575</xdr:rowOff>
                  </from>
                  <to>
                    <xdr:col>6</xdr:col>
                    <xdr:colOff>114300</xdr:colOff>
                    <xdr:row>2</xdr:row>
                    <xdr:rowOff>238125</xdr:rowOff>
                  </to>
                </anchor>
              </controlPr>
            </control>
          </mc:Choice>
        </mc:AlternateContent>
        <mc:AlternateContent xmlns:mc="http://schemas.openxmlformats.org/markup-compatibility/2006">
          <mc:Choice Requires="x14">
            <control shapeId="4654082" r:id="rId5" name="Check Box 2">
              <controlPr defaultSize="0" autoFill="0" autoLine="0" autoPict="0">
                <anchor moveWithCells="1" sizeWithCells="1">
                  <from>
                    <xdr:col>5</xdr:col>
                    <xdr:colOff>266700</xdr:colOff>
                    <xdr:row>2</xdr:row>
                    <xdr:rowOff>28575</xdr:rowOff>
                  </from>
                  <to>
                    <xdr:col>7</xdr:col>
                    <xdr:colOff>257175</xdr:colOff>
                    <xdr:row>2</xdr:row>
                    <xdr:rowOff>238125</xdr:rowOff>
                  </to>
                </anchor>
              </controlPr>
            </control>
          </mc:Choice>
        </mc:AlternateContent>
        <mc:AlternateContent xmlns:mc="http://schemas.openxmlformats.org/markup-compatibility/2006">
          <mc:Choice Requires="x14">
            <control shapeId="4654083" r:id="rId6" name="Check Box 3">
              <controlPr defaultSize="0" autoFill="0" autoLine="0" autoPict="0">
                <anchor moveWithCells="1" sizeWithCells="1">
                  <from>
                    <xdr:col>6</xdr:col>
                    <xdr:colOff>447675</xdr:colOff>
                    <xdr:row>2</xdr:row>
                    <xdr:rowOff>28575</xdr:rowOff>
                  </from>
                  <to>
                    <xdr:col>7</xdr:col>
                    <xdr:colOff>952500</xdr:colOff>
                    <xdr:row>2</xdr:row>
                    <xdr:rowOff>238125</xdr:rowOff>
                  </to>
                </anchor>
              </controlPr>
            </control>
          </mc:Choice>
        </mc:AlternateContent>
        <mc:AlternateContent xmlns:mc="http://schemas.openxmlformats.org/markup-compatibility/2006">
          <mc:Choice Requires="x14">
            <control shapeId="4654084" r:id="rId7" name="Check Box 4">
              <controlPr defaultSize="0" autoFill="0" autoLine="0" autoPict="0">
                <anchor moveWithCells="1" sizeWithCells="1">
                  <from>
                    <xdr:col>7</xdr:col>
                    <xdr:colOff>428625</xdr:colOff>
                    <xdr:row>2</xdr:row>
                    <xdr:rowOff>28575</xdr:rowOff>
                  </from>
                  <to>
                    <xdr:col>8</xdr:col>
                    <xdr:colOff>485775</xdr:colOff>
                    <xdr:row>2</xdr:row>
                    <xdr:rowOff>238125</xdr:rowOff>
                  </to>
                </anchor>
              </controlPr>
            </control>
          </mc:Choice>
        </mc:AlternateContent>
        <mc:AlternateContent xmlns:mc="http://schemas.openxmlformats.org/markup-compatibility/2006">
          <mc:Choice Requires="x14">
            <control shapeId="4654085" r:id="rId8" name="Check Box 5">
              <controlPr defaultSize="0" autoFill="0" autoLine="0" autoPict="0">
                <anchor moveWithCells="1" sizeWithCells="1">
                  <from>
                    <xdr:col>7</xdr:col>
                    <xdr:colOff>819150</xdr:colOff>
                    <xdr:row>2</xdr:row>
                    <xdr:rowOff>28575</xdr:rowOff>
                  </from>
                  <to>
                    <xdr:col>9</xdr:col>
                    <xdr:colOff>114300</xdr:colOff>
                    <xdr:row>2</xdr:row>
                    <xdr:rowOff>238125</xdr:rowOff>
                  </to>
                </anchor>
              </controlPr>
            </control>
          </mc:Choice>
        </mc:AlternateContent>
        <mc:AlternateContent xmlns:mc="http://schemas.openxmlformats.org/markup-compatibility/2006">
          <mc:Choice Requires="x14">
            <control shapeId="4654086" r:id="rId9" name="Check Box 6">
              <controlPr defaultSize="0" autoFill="0" autoLine="0" autoPict="0">
                <anchor moveWithCells="1" sizeWithCells="1">
                  <from>
                    <xdr:col>8</xdr:col>
                    <xdr:colOff>485775</xdr:colOff>
                    <xdr:row>2</xdr:row>
                    <xdr:rowOff>28575</xdr:rowOff>
                  </from>
                  <to>
                    <xdr:col>9</xdr:col>
                    <xdr:colOff>733425</xdr:colOff>
                    <xdr:row>2</xdr:row>
                    <xdr:rowOff>238125</xdr:rowOff>
                  </to>
                </anchor>
              </controlPr>
            </control>
          </mc:Choice>
        </mc:AlternateContent>
        <mc:AlternateContent xmlns:mc="http://schemas.openxmlformats.org/markup-compatibility/2006">
          <mc:Choice Requires="x14">
            <control shapeId="4654087" r:id="rId10" name="Check Box 7">
              <controlPr defaultSize="0" autoFill="0" autoLine="0" autoPict="0">
                <anchor moveWithCells="1" sizeWithCells="1">
                  <from>
                    <xdr:col>9</xdr:col>
                    <xdr:colOff>352425</xdr:colOff>
                    <xdr:row>2</xdr:row>
                    <xdr:rowOff>28575</xdr:rowOff>
                  </from>
                  <to>
                    <xdr:col>10</xdr:col>
                    <xdr:colOff>600075</xdr:colOff>
                    <xdr:row>2</xdr:row>
                    <xdr:rowOff>238125</xdr:rowOff>
                  </to>
                </anchor>
              </controlPr>
            </control>
          </mc:Choice>
        </mc:AlternateContent>
        <mc:AlternateContent xmlns:mc="http://schemas.openxmlformats.org/markup-compatibility/2006">
          <mc:Choice Requires="x14">
            <control shapeId="4654088" r:id="rId11" name="Check Box 8">
              <controlPr defaultSize="0" autoFill="0" autoLine="0" autoPict="0">
                <anchor moveWithCells="1">
                  <from>
                    <xdr:col>10</xdr:col>
                    <xdr:colOff>523875</xdr:colOff>
                    <xdr:row>2</xdr:row>
                    <xdr:rowOff>28575</xdr:rowOff>
                  </from>
                  <to>
                    <xdr:col>11</xdr:col>
                    <xdr:colOff>400050</xdr:colOff>
                    <xdr:row>2</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prompt="Indicator definitions are found on soil chart." xr:uid="{D09B3BEA-8C41-4165-A93B-0E440A4E0B0F}">
          <x14:formula1>
            <xm:f>'Drop-Down Lists'!$M$2:$M$34</xm:f>
          </x14:formula1>
          <xm:sqref>I10:I23</xm:sqref>
        </x14:dataValidation>
        <x14:dataValidation type="list" allowBlank="1" showInputMessage="1" xr:uid="{06D0A4A0-F17C-41AC-B703-FB7D50925CCC}">
          <x14:formula1>
            <xm:f>'Drop-Down Lists'!$U$2:$U$9</xm:f>
          </x14:formula1>
          <xm:sqref>B5:D5</xm:sqref>
        </x14:dataValidation>
        <x14:dataValidation type="list" allowBlank="1" xr:uid="{4DD9786E-EC9A-4F17-B824-AED81F3DE4A7}">
          <x14:formula1>
            <xm:f>'Drop-Down Lists'!$T$2:$T$10</xm:f>
          </x14:formula1>
          <xm:sqref>C4:E4</xm:sqref>
        </x14:dataValidation>
        <x14:dataValidation type="list" allowBlank="1" showInputMessage="1" prompt="If Redox Kind(s) are entered, Type of Indicator needs to be completed" xr:uid="{972002B4-0D81-4D99-8244-6694967187A8}">
          <x14:formula1>
            <xm:f>'Drop-Down Lists'!$L$2:$L$5</xm:f>
          </x14:formula1>
          <xm:sqref>H10:H23</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indexed="13"/>
  </sheetPr>
  <dimension ref="A1:AI147"/>
  <sheetViews>
    <sheetView showGridLines="0" view="pageBreakPreview" topLeftCell="B1" zoomScaleNormal="100" zoomScaleSheetLayoutView="100" workbookViewId="0">
      <selection activeCell="I4" sqref="I4:J4"/>
    </sheetView>
  </sheetViews>
  <sheetFormatPr defaultColWidth="8.85546875" defaultRowHeight="12.75"/>
  <cols>
    <col min="1" max="2" width="2.42578125" customWidth="1"/>
    <col min="3" max="14" width="7.42578125" customWidth="1"/>
    <col min="15" max="15" width="8.42578125" customWidth="1"/>
    <col min="23" max="23" width="17.42578125" customWidth="1"/>
  </cols>
  <sheetData>
    <row r="1" spans="1:19" ht="54.95" customHeight="1" thickBot="1">
      <c r="B1" s="321"/>
      <c r="C1" s="321"/>
      <c r="D1" s="321"/>
      <c r="E1" s="4056" t="s">
        <v>2392</v>
      </c>
      <c r="F1" s="4056"/>
      <c r="G1" s="4056"/>
      <c r="H1" s="4056"/>
      <c r="I1" s="4056"/>
      <c r="J1" s="4056"/>
      <c r="K1" s="4056"/>
      <c r="L1" s="135"/>
      <c r="M1" s="135"/>
      <c r="N1" s="135"/>
      <c r="O1" s="137"/>
      <c r="P1" s="137"/>
      <c r="Q1" s="137"/>
      <c r="R1" s="137"/>
      <c r="S1" s="137"/>
    </row>
    <row r="2" spans="1:19" ht="18.75" customHeight="1">
      <c r="A2" s="489" t="s">
        <v>2393</v>
      </c>
      <c r="B2" s="490"/>
      <c r="C2" s="490"/>
      <c r="D2" s="490"/>
      <c r="E2" s="490"/>
      <c r="F2" s="490"/>
      <c r="G2" s="490"/>
      <c r="H2" s="490"/>
      <c r="I2" s="490"/>
      <c r="J2" s="490"/>
      <c r="K2" s="490"/>
      <c r="L2" s="490"/>
      <c r="M2" s="490"/>
      <c r="N2" s="490"/>
      <c r="O2" s="491" t="str">
        <f>'Drop-Down Lists'!A2</f>
        <v>v 05.01.2026</v>
      </c>
      <c r="P2" s="137"/>
      <c r="Q2" s="137"/>
      <c r="R2" s="137"/>
      <c r="S2" s="137"/>
    </row>
    <row r="3" spans="1:19" ht="10.5" customHeight="1">
      <c r="A3" s="492"/>
      <c r="B3" s="262"/>
      <c r="C3" s="262"/>
      <c r="D3" s="262"/>
      <c r="E3" s="262"/>
      <c r="F3" s="262"/>
      <c r="G3" s="262"/>
      <c r="H3" s="262"/>
      <c r="I3" s="262"/>
      <c r="J3" s="262"/>
      <c r="K3" s="262"/>
      <c r="L3" s="262"/>
      <c r="M3" s="262"/>
      <c r="N3" s="262"/>
      <c r="O3" s="493"/>
      <c r="P3" s="137"/>
      <c r="Q3" s="137"/>
      <c r="R3" s="137"/>
      <c r="S3" s="137"/>
    </row>
    <row r="4" spans="1:19" ht="19.5" customHeight="1">
      <c r="A4" s="494"/>
      <c r="B4" s="139"/>
      <c r="C4" s="140" t="s">
        <v>2394</v>
      </c>
      <c r="D4" s="140"/>
      <c r="E4" s="140"/>
      <c r="F4" s="140"/>
      <c r="G4" s="136"/>
      <c r="H4" s="136"/>
      <c r="I4" s="4069"/>
      <c r="J4" s="4070"/>
      <c r="K4" s="136" t="s">
        <v>583</v>
      </c>
      <c r="L4" s="141"/>
      <c r="M4" s="137"/>
      <c r="N4" s="137"/>
      <c r="O4" s="495"/>
      <c r="P4" s="137"/>
      <c r="Q4" s="137"/>
      <c r="R4" s="137"/>
      <c r="S4" s="137"/>
    </row>
    <row r="5" spans="1:19" ht="10.5" customHeight="1">
      <c r="A5" s="496"/>
      <c r="B5" s="261"/>
      <c r="C5" s="261"/>
      <c r="D5" s="261"/>
      <c r="E5" s="261"/>
      <c r="F5" s="261"/>
      <c r="G5" s="261"/>
      <c r="H5" s="261"/>
      <c r="I5" s="261"/>
      <c r="J5" s="261"/>
      <c r="K5" s="261"/>
      <c r="L5" s="261"/>
      <c r="M5" s="261"/>
      <c r="N5" s="261"/>
      <c r="O5" s="497"/>
      <c r="P5" s="137"/>
      <c r="Q5" s="137"/>
      <c r="R5" s="137"/>
      <c r="S5" s="137"/>
    </row>
    <row r="6" spans="1:19" ht="16.5">
      <c r="A6" s="4025" t="s">
        <v>2395</v>
      </c>
      <c r="B6" s="4026"/>
      <c r="C6" s="4026"/>
      <c r="D6" s="4026"/>
      <c r="E6" s="4026"/>
      <c r="F6" s="4026"/>
      <c r="G6" s="4026"/>
      <c r="H6" s="4026"/>
      <c r="I6" s="4026"/>
      <c r="J6" s="4026"/>
      <c r="K6" s="4026"/>
      <c r="L6" s="4026"/>
      <c r="M6" s="4026"/>
      <c r="N6" s="4026"/>
      <c r="O6" s="4027"/>
      <c r="P6" s="137"/>
      <c r="Q6" s="137"/>
      <c r="R6" s="137"/>
      <c r="S6" s="137"/>
    </row>
    <row r="7" spans="1:19" ht="10.5" customHeight="1">
      <c r="A7" s="492"/>
      <c r="B7" s="262"/>
      <c r="C7" s="262"/>
      <c r="D7" s="262"/>
      <c r="E7" s="262"/>
      <c r="F7" s="262"/>
      <c r="G7" s="262"/>
      <c r="H7" s="262"/>
      <c r="I7" s="262"/>
      <c r="J7" s="262"/>
      <c r="K7" s="262"/>
      <c r="L7" s="262"/>
      <c r="M7" s="262"/>
      <c r="N7" s="262"/>
      <c r="O7" s="493"/>
      <c r="P7" s="137"/>
      <c r="Q7" s="137"/>
      <c r="R7" s="137"/>
      <c r="S7" s="137"/>
    </row>
    <row r="8" spans="1:19" ht="15" customHeight="1">
      <c r="A8" s="494"/>
      <c r="B8" s="142" t="s">
        <v>1011</v>
      </c>
      <c r="C8" s="4043" t="s">
        <v>2396</v>
      </c>
      <c r="D8" s="4065"/>
      <c r="E8" s="4065"/>
      <c r="F8" s="4065"/>
      <c r="G8" s="4065"/>
      <c r="H8" s="4065"/>
      <c r="I8" s="4065"/>
      <c r="J8" s="4065"/>
      <c r="K8" s="143"/>
      <c r="L8" s="140"/>
      <c r="M8" s="140"/>
      <c r="N8" s="136"/>
      <c r="O8" s="495"/>
      <c r="P8" s="137"/>
      <c r="Q8" s="137"/>
      <c r="R8" s="137"/>
      <c r="S8" s="137"/>
    </row>
    <row r="9" spans="1:19" ht="18" customHeight="1">
      <c r="A9" s="498"/>
      <c r="B9" s="145"/>
      <c r="C9" s="146" t="s">
        <v>2397</v>
      </c>
      <c r="D9" s="146"/>
      <c r="E9" s="146"/>
      <c r="F9" s="146"/>
      <c r="G9" s="146"/>
      <c r="H9" s="146"/>
      <c r="I9" s="146"/>
      <c r="J9" s="146"/>
      <c r="K9" s="146"/>
      <c r="L9" s="146"/>
      <c r="M9" s="146"/>
      <c r="N9" s="146"/>
      <c r="O9" s="495"/>
      <c r="P9" s="137"/>
      <c r="Q9" s="137"/>
      <c r="R9" s="137"/>
      <c r="S9" s="137"/>
    </row>
    <row r="10" spans="1:19" ht="10.5" customHeight="1">
      <c r="A10" s="499"/>
      <c r="B10" s="138"/>
      <c r="C10" s="138"/>
      <c r="D10" s="138"/>
      <c r="E10" s="138"/>
      <c r="F10" s="138"/>
      <c r="G10" s="138"/>
      <c r="H10" s="138"/>
      <c r="I10" s="138"/>
      <c r="J10" s="138"/>
      <c r="K10" s="138"/>
      <c r="L10" s="138"/>
      <c r="M10" s="138"/>
      <c r="N10" s="138"/>
      <c r="O10" s="495"/>
      <c r="P10" s="137"/>
      <c r="Q10" s="137"/>
      <c r="R10" s="137"/>
      <c r="S10" s="137"/>
    </row>
    <row r="11" spans="1:19" ht="15" customHeight="1">
      <c r="A11" s="494"/>
      <c r="B11" s="142" t="s">
        <v>1019</v>
      </c>
      <c r="C11" s="143" t="s">
        <v>2398</v>
      </c>
      <c r="D11" s="140"/>
      <c r="E11" s="140"/>
      <c r="F11" s="136"/>
      <c r="G11" s="136"/>
      <c r="H11" s="143"/>
      <c r="I11" s="140"/>
      <c r="J11" s="136"/>
      <c r="K11" s="143"/>
      <c r="L11" s="136"/>
      <c r="M11" s="140"/>
      <c r="N11" s="140"/>
      <c r="O11" s="495"/>
      <c r="P11" s="137"/>
      <c r="Q11" s="137"/>
      <c r="R11" s="137"/>
      <c r="S11" s="137"/>
    </row>
    <row r="12" spans="1:19" ht="10.5" customHeight="1">
      <c r="A12" s="499"/>
      <c r="B12" s="138"/>
      <c r="C12" s="138"/>
      <c r="D12" s="138"/>
      <c r="E12" s="138"/>
      <c r="F12" s="138"/>
      <c r="G12" s="138"/>
      <c r="H12" s="138"/>
      <c r="I12" s="138"/>
      <c r="J12" s="138"/>
      <c r="K12" s="138"/>
      <c r="L12" s="138"/>
      <c r="M12" s="138"/>
      <c r="N12" s="138"/>
      <c r="O12" s="495"/>
      <c r="P12" s="137"/>
      <c r="Q12" s="137"/>
      <c r="R12" s="137"/>
      <c r="S12" s="137"/>
    </row>
    <row r="13" spans="1:19" ht="19.5" customHeight="1">
      <c r="A13" s="494"/>
      <c r="B13" s="142"/>
      <c r="C13" s="182" t="s">
        <v>2399</v>
      </c>
      <c r="D13" s="140" t="s">
        <v>2400</v>
      </c>
      <c r="E13" s="740"/>
      <c r="F13" s="140" t="s">
        <v>2401</v>
      </c>
      <c r="G13" s="4066" t="s">
        <v>2402</v>
      </c>
      <c r="H13" s="4067"/>
      <c r="I13" s="4067"/>
      <c r="J13" s="4067"/>
      <c r="K13" s="4067"/>
      <c r="L13" s="4067"/>
      <c r="M13" s="4067"/>
      <c r="N13" s="4067"/>
      <c r="O13" s="495"/>
      <c r="P13" s="137"/>
      <c r="Q13" s="137"/>
      <c r="R13" s="137"/>
      <c r="S13" s="137"/>
    </row>
    <row r="14" spans="1:19" ht="16.5">
      <c r="A14" s="494"/>
      <c r="B14" s="142"/>
      <c r="C14" s="182"/>
      <c r="D14" s="140"/>
      <c r="E14" s="140"/>
      <c r="F14" s="140"/>
      <c r="G14" s="4067"/>
      <c r="H14" s="4067"/>
      <c r="I14" s="4067"/>
      <c r="J14" s="4067"/>
      <c r="K14" s="4067"/>
      <c r="L14" s="4067"/>
      <c r="M14" s="4067"/>
      <c r="N14" s="4067"/>
      <c r="O14" s="495"/>
      <c r="P14" s="137"/>
      <c r="Q14" s="137"/>
      <c r="R14" s="137"/>
      <c r="S14" s="137"/>
    </row>
    <row r="15" spans="1:19" ht="19.5" customHeight="1">
      <c r="A15" s="494"/>
      <c r="B15" s="142"/>
      <c r="C15" s="182" t="s">
        <v>2403</v>
      </c>
      <c r="D15" s="143" t="s">
        <v>183</v>
      </c>
      <c r="E15" s="740"/>
      <c r="F15" s="140" t="s">
        <v>2401</v>
      </c>
      <c r="G15" s="4068"/>
      <c r="H15" s="4068"/>
      <c r="I15" s="4068"/>
      <c r="J15" s="4068"/>
      <c r="K15" s="4068"/>
      <c r="L15" s="4068"/>
      <c r="M15" s="4068"/>
      <c r="N15" s="4068"/>
      <c r="O15" s="495"/>
      <c r="P15" s="137"/>
      <c r="Q15" s="137"/>
      <c r="R15" s="137"/>
      <c r="S15" s="137"/>
    </row>
    <row r="16" spans="1:19" ht="10.5" customHeight="1">
      <c r="A16" s="499"/>
      <c r="B16" s="138"/>
      <c r="C16" s="284"/>
      <c r="D16" s="138"/>
      <c r="E16" s="138"/>
      <c r="F16" s="138"/>
      <c r="G16" s="138"/>
      <c r="H16" s="138"/>
      <c r="I16" s="138"/>
      <c r="J16" s="138"/>
      <c r="K16" s="138"/>
      <c r="L16" s="138"/>
      <c r="M16" s="138"/>
      <c r="N16" s="138"/>
      <c r="O16" s="495"/>
      <c r="P16" s="137"/>
      <c r="Q16" s="137"/>
      <c r="R16" s="137"/>
      <c r="S16" s="137"/>
    </row>
    <row r="17" spans="1:19" ht="19.5" customHeight="1">
      <c r="A17" s="494"/>
      <c r="B17" s="142"/>
      <c r="C17" s="182" t="s">
        <v>2404</v>
      </c>
      <c r="D17" s="143" t="s">
        <v>229</v>
      </c>
      <c r="E17" s="740"/>
      <c r="F17" s="140" t="s">
        <v>2401</v>
      </c>
      <c r="G17" s="136"/>
      <c r="H17" s="136"/>
      <c r="I17" s="136"/>
      <c r="J17" s="136"/>
      <c r="K17" s="136"/>
      <c r="L17" s="136"/>
      <c r="M17" s="136"/>
      <c r="N17" s="136"/>
      <c r="O17" s="495"/>
      <c r="P17" s="137"/>
      <c r="Q17" s="137"/>
      <c r="R17" s="137"/>
      <c r="S17" s="137"/>
    </row>
    <row r="18" spans="1:19" ht="10.5" customHeight="1">
      <c r="A18" s="4071"/>
      <c r="B18" s="4072"/>
      <c r="C18" s="4072"/>
      <c r="D18" s="4072"/>
      <c r="E18" s="4072"/>
      <c r="F18" s="4072"/>
      <c r="G18" s="4072"/>
      <c r="H18" s="4072"/>
      <c r="I18" s="4072"/>
      <c r="J18" s="4072"/>
      <c r="K18" s="4072"/>
      <c r="L18" s="4072"/>
      <c r="M18" s="4072"/>
      <c r="N18" s="4072"/>
      <c r="O18" s="497"/>
      <c r="P18" s="137"/>
      <c r="Q18" s="137"/>
      <c r="R18" s="137"/>
      <c r="S18" s="137"/>
    </row>
    <row r="19" spans="1:19" ht="18.600000000000001" customHeight="1">
      <c r="A19" s="4025" t="s">
        <v>2405</v>
      </c>
      <c r="B19" s="4026"/>
      <c r="C19" s="4026"/>
      <c r="D19" s="4026"/>
      <c r="E19" s="4026"/>
      <c r="F19" s="4026"/>
      <c r="G19" s="4026"/>
      <c r="H19" s="4026"/>
      <c r="I19" s="4026"/>
      <c r="J19" s="4026"/>
      <c r="K19" s="4026"/>
      <c r="L19" s="4026"/>
      <c r="M19" s="4026"/>
      <c r="N19" s="4026"/>
      <c r="O19" s="4027"/>
      <c r="P19" s="137"/>
      <c r="Q19" s="137"/>
      <c r="R19" s="137"/>
      <c r="S19" s="137"/>
    </row>
    <row r="20" spans="1:19" ht="33.75" customHeight="1">
      <c r="A20" s="4062" t="s">
        <v>2406</v>
      </c>
      <c r="B20" s="4063"/>
      <c r="C20" s="4063"/>
      <c r="D20" s="4063"/>
      <c r="E20" s="4063"/>
      <c r="F20" s="4063"/>
      <c r="G20" s="4063"/>
      <c r="H20" s="4063"/>
      <c r="I20" s="4063"/>
      <c r="J20" s="4063"/>
      <c r="K20" s="4063"/>
      <c r="L20" s="4063"/>
      <c r="M20" s="4063"/>
      <c r="N20" s="4063"/>
      <c r="O20" s="493"/>
      <c r="P20" s="137"/>
      <c r="Q20" s="137"/>
      <c r="R20" s="137"/>
      <c r="S20" s="137"/>
    </row>
    <row r="21" spans="1:19" ht="10.5" customHeight="1">
      <c r="A21" s="4064"/>
      <c r="B21" s="4050"/>
      <c r="C21" s="4050"/>
      <c r="D21" s="4050"/>
      <c r="E21" s="4050"/>
      <c r="F21" s="4050"/>
      <c r="G21" s="4050"/>
      <c r="H21" s="4050"/>
      <c r="I21" s="4050"/>
      <c r="J21" s="4050"/>
      <c r="K21" s="4050"/>
      <c r="L21" s="4050"/>
      <c r="M21" s="4050"/>
      <c r="N21" s="4050"/>
      <c r="O21" s="495"/>
      <c r="P21" s="137"/>
      <c r="Q21" s="137"/>
      <c r="R21" s="137"/>
      <c r="S21" s="137"/>
    </row>
    <row r="22" spans="1:19" ht="19.5" customHeight="1">
      <c r="A22" s="494"/>
      <c r="B22" s="142" t="s">
        <v>1011</v>
      </c>
      <c r="C22" s="140" t="s">
        <v>2407</v>
      </c>
      <c r="D22" s="140"/>
      <c r="E22" s="140"/>
      <c r="F22" s="136"/>
      <c r="G22" s="136"/>
      <c r="H22" s="136"/>
      <c r="I22" s="4069"/>
      <c r="J22" s="4070"/>
      <c r="K22" s="136" t="s">
        <v>583</v>
      </c>
      <c r="L22" s="140"/>
      <c r="M22" s="140"/>
      <c r="N22" s="136"/>
      <c r="O22" s="495"/>
      <c r="P22" s="137"/>
      <c r="Q22" s="137"/>
      <c r="R22" s="137"/>
      <c r="S22" s="137"/>
    </row>
    <row r="23" spans="1:19" ht="15" customHeight="1">
      <c r="A23" s="494"/>
      <c r="B23" s="142"/>
      <c r="C23" s="148" t="s">
        <v>2408</v>
      </c>
      <c r="D23" s="140"/>
      <c r="E23" s="140"/>
      <c r="F23" s="136"/>
      <c r="G23" s="136"/>
      <c r="H23" s="136"/>
      <c r="I23" s="136"/>
      <c r="J23" s="136"/>
      <c r="K23" s="136"/>
      <c r="L23" s="136"/>
      <c r="M23" s="136"/>
      <c r="N23" s="136"/>
      <c r="O23" s="495"/>
      <c r="P23" s="137"/>
      <c r="Q23" s="137"/>
      <c r="R23" s="137"/>
      <c r="S23" s="137"/>
    </row>
    <row r="24" spans="1:19" ht="10.5" customHeight="1">
      <c r="A24" s="499"/>
      <c r="B24" s="138"/>
      <c r="C24" s="138"/>
      <c r="D24" s="138"/>
      <c r="E24" s="138"/>
      <c r="F24" s="138"/>
      <c r="G24" s="138"/>
      <c r="H24" s="138"/>
      <c r="I24" s="138"/>
      <c r="J24" s="138"/>
      <c r="K24" s="138"/>
      <c r="L24" s="138"/>
      <c r="M24" s="138"/>
      <c r="N24" s="138"/>
      <c r="O24" s="495"/>
      <c r="P24" s="137"/>
      <c r="Q24" s="137"/>
      <c r="R24" s="137"/>
      <c r="S24" s="137"/>
    </row>
    <row r="25" spans="1:19" ht="18" customHeight="1">
      <c r="A25" s="494"/>
      <c r="B25" s="142" t="s">
        <v>1019</v>
      </c>
      <c r="C25" s="143" t="s">
        <v>2409</v>
      </c>
      <c r="D25" s="140"/>
      <c r="E25" s="140"/>
      <c r="F25" s="136"/>
      <c r="G25" s="136"/>
      <c r="H25" s="136"/>
      <c r="I25" s="136"/>
      <c r="J25" s="136"/>
      <c r="K25" s="136"/>
      <c r="L25" s="136"/>
      <c r="M25" s="136"/>
      <c r="N25" s="136"/>
      <c r="O25" s="495"/>
      <c r="P25" s="137"/>
      <c r="Q25" s="137"/>
      <c r="R25" s="137"/>
      <c r="S25" s="137"/>
    </row>
    <row r="26" spans="1:19" ht="19.5" customHeight="1">
      <c r="A26" s="494"/>
      <c r="B26" s="142"/>
      <c r="C26" s="4091">
        <f>I22</f>
        <v>0</v>
      </c>
      <c r="D26" s="4092"/>
      <c r="E26" s="149" t="s">
        <v>1343</v>
      </c>
      <c r="F26" s="741"/>
      <c r="G26" s="140" t="s">
        <v>2410</v>
      </c>
      <c r="H26" s="149" t="s">
        <v>1240</v>
      </c>
      <c r="I26" s="4060" t="str">
        <f>IF(ISBLANK(F26),"",C26*F26)</f>
        <v/>
      </c>
      <c r="J26" s="4073"/>
      <c r="K26" s="136" t="s">
        <v>1002</v>
      </c>
      <c r="L26" s="136"/>
      <c r="M26" s="136"/>
      <c r="N26" s="136"/>
      <c r="O26" s="495"/>
      <c r="P26" s="137"/>
      <c r="Q26" s="137"/>
      <c r="R26" s="137"/>
      <c r="S26" s="137"/>
    </row>
    <row r="27" spans="1:19" ht="10.5" customHeight="1">
      <c r="A27" s="496"/>
      <c r="B27" s="261"/>
      <c r="C27" s="261"/>
      <c r="D27" s="261"/>
      <c r="E27" s="261"/>
      <c r="F27" s="261"/>
      <c r="G27" s="261"/>
      <c r="H27" s="261"/>
      <c r="I27" s="261"/>
      <c r="J27" s="261"/>
      <c r="K27" s="261"/>
      <c r="L27" s="261"/>
      <c r="M27" s="261"/>
      <c r="N27" s="261"/>
      <c r="O27" s="497"/>
      <c r="P27" s="137"/>
      <c r="Q27" s="137"/>
      <c r="R27" s="137"/>
      <c r="S27" s="137"/>
    </row>
    <row r="28" spans="1:19" ht="18.75" customHeight="1">
      <c r="A28" s="4057" t="s">
        <v>2411</v>
      </c>
      <c r="B28" s="4058"/>
      <c r="C28" s="4058"/>
      <c r="D28" s="4058"/>
      <c r="E28" s="4058"/>
      <c r="F28" s="4058"/>
      <c r="G28" s="4058"/>
      <c r="H28" s="4058"/>
      <c r="I28" s="4058"/>
      <c r="J28" s="4058"/>
      <c r="K28" s="4058"/>
      <c r="L28" s="4058"/>
      <c r="M28" s="4058"/>
      <c r="N28" s="4058"/>
      <c r="O28" s="4059"/>
      <c r="P28" s="137"/>
      <c r="Q28" s="137"/>
      <c r="R28" s="137"/>
      <c r="S28" s="137"/>
    </row>
    <row r="29" spans="1:19" ht="10.5" customHeight="1">
      <c r="A29" s="500"/>
      <c r="B29" s="159"/>
      <c r="C29" s="162"/>
      <c r="D29" s="160"/>
      <c r="E29" s="160"/>
      <c r="F29" s="161"/>
      <c r="G29" s="162"/>
      <c r="H29" s="162"/>
      <c r="I29" s="162"/>
      <c r="J29" s="161"/>
      <c r="K29" s="272"/>
      <c r="L29" s="270"/>
      <c r="M29" s="270"/>
      <c r="N29" s="270"/>
      <c r="O29" s="493"/>
      <c r="P29" s="137"/>
      <c r="Q29" s="137"/>
      <c r="R29" s="137"/>
      <c r="S29" s="137"/>
    </row>
    <row r="30" spans="1:19" ht="15" customHeight="1">
      <c r="A30" s="494"/>
      <c r="B30" s="139" t="s">
        <v>1011</v>
      </c>
      <c r="C30" s="143" t="s">
        <v>2412</v>
      </c>
      <c r="D30" s="140"/>
      <c r="E30" s="140"/>
      <c r="F30" s="149"/>
      <c r="G30" s="136"/>
      <c r="H30" s="136"/>
      <c r="I30" s="136"/>
      <c r="J30" s="149"/>
      <c r="K30" s="150"/>
      <c r="L30" s="4093" t="s">
        <v>2413</v>
      </c>
      <c r="M30" s="4094"/>
      <c r="N30" s="4095"/>
      <c r="O30" s="495"/>
      <c r="P30" s="137"/>
      <c r="Q30" s="137"/>
      <c r="R30" s="137"/>
      <c r="S30" s="137"/>
    </row>
    <row r="31" spans="1:19" ht="10.5" customHeight="1">
      <c r="A31" s="494"/>
      <c r="B31" s="139"/>
      <c r="C31" s="143"/>
      <c r="D31" s="140"/>
      <c r="E31" s="140"/>
      <c r="F31" s="149"/>
      <c r="G31" s="136"/>
      <c r="H31" s="136"/>
      <c r="I31" s="136"/>
      <c r="J31" s="149"/>
      <c r="K31" s="150"/>
      <c r="L31" s="4096"/>
      <c r="M31" s="4097"/>
      <c r="N31" s="4098"/>
      <c r="O31" s="495"/>
      <c r="P31" s="137"/>
      <c r="Q31" s="137"/>
      <c r="R31" s="137"/>
      <c r="S31" s="137"/>
    </row>
    <row r="32" spans="1:19" ht="19.5" customHeight="1">
      <c r="A32" s="494"/>
      <c r="B32" s="139"/>
      <c r="C32" s="151" t="s">
        <v>2414</v>
      </c>
      <c r="D32" s="143"/>
      <c r="E32" s="143"/>
      <c r="F32" s="143"/>
      <c r="G32" s="136"/>
      <c r="H32" s="4083"/>
      <c r="I32" s="4084"/>
      <c r="J32" s="140" t="s">
        <v>1002</v>
      </c>
      <c r="K32" s="150"/>
      <c r="L32" s="4096"/>
      <c r="M32" s="4097"/>
      <c r="N32" s="4098"/>
      <c r="O32" s="495"/>
      <c r="P32" s="137"/>
      <c r="Q32" s="137"/>
      <c r="R32" s="137"/>
      <c r="S32" s="137"/>
    </row>
    <row r="33" spans="1:19" ht="10.5" customHeight="1">
      <c r="A33" s="494"/>
      <c r="B33" s="139"/>
      <c r="C33" s="143"/>
      <c r="D33" s="140"/>
      <c r="E33" s="140"/>
      <c r="F33" s="149"/>
      <c r="G33" s="136"/>
      <c r="H33" s="136"/>
      <c r="I33" s="149"/>
      <c r="J33" s="153"/>
      <c r="K33" s="150"/>
      <c r="L33" s="4096"/>
      <c r="M33" s="4097"/>
      <c r="N33" s="4098"/>
      <c r="O33" s="495"/>
      <c r="P33" s="137"/>
      <c r="Q33" s="137"/>
      <c r="R33" s="137"/>
      <c r="S33" s="137"/>
    </row>
    <row r="34" spans="1:19" ht="19.5" customHeight="1">
      <c r="A34" s="494"/>
      <c r="B34" s="154"/>
      <c r="C34" s="151" t="s">
        <v>2415</v>
      </c>
      <c r="D34" s="143"/>
      <c r="E34" s="143"/>
      <c r="F34" s="143"/>
      <c r="G34" s="143"/>
      <c r="H34" s="742"/>
      <c r="I34" s="153"/>
      <c r="J34" s="136"/>
      <c r="K34" s="150"/>
      <c r="L34" s="4096"/>
      <c r="M34" s="4097"/>
      <c r="N34" s="4098"/>
      <c r="O34" s="495"/>
      <c r="P34" s="137"/>
      <c r="Q34" s="137"/>
      <c r="R34" s="137"/>
      <c r="S34" s="137"/>
    </row>
    <row r="35" spans="1:19" ht="10.5" customHeight="1">
      <c r="A35" s="494"/>
      <c r="B35" s="154"/>
      <c r="C35" s="136"/>
      <c r="D35" s="149"/>
      <c r="E35" s="149"/>
      <c r="F35" s="153"/>
      <c r="G35" s="136"/>
      <c r="H35" s="153"/>
      <c r="I35" s="140"/>
      <c r="J35" s="136"/>
      <c r="K35" s="150"/>
      <c r="L35" s="4096"/>
      <c r="M35" s="4097"/>
      <c r="N35" s="4098"/>
      <c r="O35" s="495"/>
      <c r="P35" s="137"/>
      <c r="Q35" s="137"/>
      <c r="R35" s="137"/>
      <c r="S35" s="137"/>
    </row>
    <row r="36" spans="1:19" ht="19.5" customHeight="1">
      <c r="A36" s="494"/>
      <c r="B36" s="154"/>
      <c r="C36" s="4050" t="s">
        <v>2416</v>
      </c>
      <c r="D36" s="4085"/>
      <c r="E36" s="4085"/>
      <c r="F36" s="4085"/>
      <c r="G36" s="4085"/>
      <c r="H36" s="742"/>
      <c r="I36" s="143" t="s">
        <v>2417</v>
      </c>
      <c r="J36" s="136"/>
      <c r="K36" s="150"/>
      <c r="L36" s="4099"/>
      <c r="M36" s="4100"/>
      <c r="N36" s="4101"/>
      <c r="O36" s="495"/>
      <c r="P36" s="137"/>
      <c r="Q36" s="137"/>
      <c r="R36" s="137"/>
      <c r="S36" s="137"/>
    </row>
    <row r="37" spans="1:19" ht="10.5" customHeight="1">
      <c r="A37" s="494"/>
      <c r="B37" s="154"/>
      <c r="C37" s="136"/>
      <c r="D37" s="149"/>
      <c r="E37" s="149"/>
      <c r="F37" s="153"/>
      <c r="G37" s="136"/>
      <c r="H37" s="153"/>
      <c r="I37" s="140"/>
      <c r="J37" s="136"/>
      <c r="K37" s="150"/>
      <c r="L37" s="362"/>
      <c r="M37" s="362"/>
      <c r="N37" s="362"/>
      <c r="O37" s="495"/>
      <c r="P37" s="137"/>
      <c r="Q37" s="137"/>
      <c r="R37" s="137"/>
      <c r="S37" s="137"/>
    </row>
    <row r="38" spans="1:19" ht="15" customHeight="1">
      <c r="A38" s="494"/>
      <c r="B38" s="142" t="s">
        <v>1019</v>
      </c>
      <c r="C38" s="143" t="s">
        <v>2418</v>
      </c>
      <c r="D38" s="140"/>
      <c r="E38" s="140"/>
      <c r="F38" s="136"/>
      <c r="G38" s="136"/>
      <c r="H38" s="143"/>
      <c r="I38" s="140"/>
      <c r="J38" s="136"/>
      <c r="K38" s="143"/>
      <c r="L38" s="362"/>
      <c r="M38" s="362"/>
      <c r="N38" s="362"/>
      <c r="O38" s="495"/>
      <c r="P38" s="137"/>
      <c r="Q38" s="137"/>
      <c r="R38" s="137"/>
      <c r="S38" s="137"/>
    </row>
    <row r="39" spans="1:19" ht="18" customHeight="1">
      <c r="A39" s="494"/>
      <c r="B39" s="142"/>
      <c r="C39" s="143" t="s">
        <v>2419</v>
      </c>
      <c r="D39" s="140"/>
      <c r="E39" s="140"/>
      <c r="F39" s="136"/>
      <c r="G39" s="136"/>
      <c r="H39" s="136"/>
      <c r="I39" s="136"/>
      <c r="J39" s="136"/>
      <c r="K39" s="136"/>
      <c r="L39" s="136"/>
      <c r="M39" s="136"/>
      <c r="N39" s="136"/>
      <c r="O39" s="495"/>
      <c r="P39" s="137"/>
      <c r="Q39" s="137"/>
      <c r="R39" s="137"/>
      <c r="S39" s="137"/>
    </row>
    <row r="40" spans="1:19" ht="19.5" customHeight="1">
      <c r="A40" s="494"/>
      <c r="B40" s="142"/>
      <c r="C40" s="4082">
        <f>I4</f>
        <v>0</v>
      </c>
      <c r="D40" s="4061"/>
      <c r="E40" s="149" t="s">
        <v>1343</v>
      </c>
      <c r="F40" s="740"/>
      <c r="G40" s="140" t="s">
        <v>2410</v>
      </c>
      <c r="H40" s="149" t="s">
        <v>1240</v>
      </c>
      <c r="I40" s="4060" t="str">
        <f>IF(ISBLANK(F40),"",C40*F40)</f>
        <v/>
      </c>
      <c r="J40" s="4073"/>
      <c r="K40" s="136" t="s">
        <v>1002</v>
      </c>
      <c r="L40" s="136"/>
      <c r="M40" s="136"/>
      <c r="N40" s="136"/>
      <c r="O40" s="495"/>
      <c r="P40" s="137"/>
      <c r="Q40" s="137"/>
      <c r="R40" s="137"/>
      <c r="S40" s="137"/>
    </row>
    <row r="41" spans="1:19" ht="10.5" customHeight="1">
      <c r="A41" s="496"/>
      <c r="B41" s="261"/>
      <c r="C41" s="261"/>
      <c r="D41" s="261"/>
      <c r="E41" s="261"/>
      <c r="F41" s="261"/>
      <c r="G41" s="261"/>
      <c r="H41" s="261"/>
      <c r="I41" s="261"/>
      <c r="J41" s="261"/>
      <c r="K41" s="261"/>
      <c r="L41" s="261"/>
      <c r="M41" s="261"/>
      <c r="N41" s="261"/>
      <c r="O41" s="497"/>
      <c r="P41" s="137"/>
      <c r="Q41" s="137"/>
      <c r="R41" s="137"/>
      <c r="S41" s="137"/>
    </row>
    <row r="42" spans="1:19" ht="10.5" customHeight="1">
      <c r="A42" s="492"/>
      <c r="B42" s="262"/>
      <c r="C42" s="262"/>
      <c r="D42" s="262"/>
      <c r="E42" s="262"/>
      <c r="F42" s="262"/>
      <c r="G42" s="262"/>
      <c r="H42" s="262"/>
      <c r="I42" s="262"/>
      <c r="J42" s="262"/>
      <c r="K42" s="262"/>
      <c r="L42" s="262"/>
      <c r="M42" s="262"/>
      <c r="N42" s="262"/>
      <c r="O42" s="493"/>
      <c r="P42" s="137"/>
      <c r="Q42" s="137"/>
      <c r="R42" s="137"/>
      <c r="S42" s="137"/>
    </row>
    <row r="43" spans="1:19" ht="15" customHeight="1">
      <c r="A43" s="494"/>
      <c r="B43" s="139" t="s">
        <v>1019</v>
      </c>
      <c r="C43" s="143" t="s">
        <v>2420</v>
      </c>
      <c r="D43" s="140"/>
      <c r="E43" s="140"/>
      <c r="F43" s="149"/>
      <c r="G43" s="136"/>
      <c r="H43" s="136"/>
      <c r="I43" s="136"/>
      <c r="J43" s="149"/>
      <c r="K43" s="153"/>
      <c r="L43" s="264"/>
      <c r="M43" s="264"/>
      <c r="N43" s="264"/>
      <c r="O43" s="495"/>
      <c r="P43" s="137"/>
      <c r="Q43" s="137"/>
      <c r="R43" s="137"/>
      <c r="S43" s="137"/>
    </row>
    <row r="44" spans="1:19" ht="15" customHeight="1">
      <c r="A44" s="494"/>
      <c r="B44" s="139"/>
      <c r="C44" s="143" t="s">
        <v>2421</v>
      </c>
      <c r="D44" s="140"/>
      <c r="E44" s="140"/>
      <c r="F44" s="149"/>
      <c r="G44" s="136"/>
      <c r="H44" s="136"/>
      <c r="I44" s="136"/>
      <c r="J44" s="149"/>
      <c r="K44" s="153"/>
      <c r="L44" s="136"/>
      <c r="M44" s="136"/>
      <c r="N44" s="136"/>
      <c r="O44" s="495"/>
      <c r="P44" s="137"/>
      <c r="Q44" s="137"/>
      <c r="R44" s="137"/>
      <c r="S44" s="137"/>
    </row>
    <row r="45" spans="1:19" ht="10.5" customHeight="1">
      <c r="A45" s="494"/>
      <c r="B45" s="139"/>
      <c r="C45" s="143"/>
      <c r="D45" s="140"/>
      <c r="E45" s="140"/>
      <c r="F45" s="149"/>
      <c r="G45" s="136"/>
      <c r="H45" s="136"/>
      <c r="I45" s="136"/>
      <c r="J45" s="149"/>
      <c r="K45" s="153"/>
      <c r="L45" s="4074" t="s">
        <v>2422</v>
      </c>
      <c r="M45" s="4075"/>
      <c r="N45" s="4076"/>
      <c r="O45" s="495"/>
      <c r="P45" s="137"/>
      <c r="Q45" s="137"/>
      <c r="R45" s="137"/>
      <c r="S45" s="137"/>
    </row>
    <row r="46" spans="1:19" ht="19.5" customHeight="1">
      <c r="A46" s="494"/>
      <c r="B46" s="139"/>
      <c r="C46" s="4082" t="str">
        <f>IF(ISBLANK(I4)," ",I4)</f>
        <v xml:space="preserve"> </v>
      </c>
      <c r="D46" s="4061"/>
      <c r="E46" s="149" t="s">
        <v>1343</v>
      </c>
      <c r="F46" s="140" t="s">
        <v>2423</v>
      </c>
      <c r="G46" s="140"/>
      <c r="H46" s="4060" t="str">
        <f>IF(ISBLANK(I4), " ", C46*3)</f>
        <v xml:space="preserve"> </v>
      </c>
      <c r="I46" s="4061"/>
      <c r="J46" s="136" t="s">
        <v>1002</v>
      </c>
      <c r="K46" s="136"/>
      <c r="L46" s="4077"/>
      <c r="M46" s="4067"/>
      <c r="N46" s="4078"/>
      <c r="O46" s="495"/>
      <c r="P46" s="137"/>
      <c r="Q46" s="137"/>
      <c r="R46" s="137"/>
      <c r="S46" s="137"/>
    </row>
    <row r="47" spans="1:19" ht="10.5" customHeight="1">
      <c r="A47" s="494"/>
      <c r="B47" s="139"/>
      <c r="C47" s="143"/>
      <c r="D47" s="155"/>
      <c r="E47" s="149"/>
      <c r="F47" s="136"/>
      <c r="G47" s="136"/>
      <c r="H47" s="156"/>
      <c r="I47" s="138"/>
      <c r="J47" s="136"/>
      <c r="K47" s="136"/>
      <c r="L47" s="4077"/>
      <c r="M47" s="4067"/>
      <c r="N47" s="4078"/>
      <c r="O47" s="495"/>
      <c r="P47" s="137"/>
      <c r="Q47" s="137"/>
      <c r="R47" s="137"/>
      <c r="S47" s="137"/>
    </row>
    <row r="48" spans="1:19" ht="19.5" customHeight="1">
      <c r="A48" s="494"/>
      <c r="B48" s="139"/>
      <c r="C48" s="143" t="s">
        <v>2424</v>
      </c>
      <c r="D48" s="143"/>
      <c r="E48" s="143"/>
      <c r="F48" s="143"/>
      <c r="G48" s="143"/>
      <c r="H48" s="742"/>
      <c r="I48" s="153"/>
      <c r="J48" s="136"/>
      <c r="K48" s="136"/>
      <c r="L48" s="4077"/>
      <c r="M48" s="4067"/>
      <c r="N48" s="4078"/>
      <c r="O48" s="495"/>
      <c r="P48" s="137"/>
      <c r="Q48" s="137"/>
      <c r="R48" s="137"/>
      <c r="S48" s="137"/>
    </row>
    <row r="49" spans="1:19" ht="10.5" customHeight="1">
      <c r="A49" s="494"/>
      <c r="B49" s="139"/>
      <c r="C49" s="136"/>
      <c r="D49" s="149"/>
      <c r="E49" s="149"/>
      <c r="F49" s="153"/>
      <c r="G49" s="136"/>
      <c r="H49" s="153"/>
      <c r="I49" s="140"/>
      <c r="J49" s="136"/>
      <c r="K49" s="153"/>
      <c r="L49" s="4077"/>
      <c r="M49" s="4067"/>
      <c r="N49" s="4078"/>
      <c r="O49" s="495"/>
      <c r="P49" s="137"/>
      <c r="Q49" s="137"/>
      <c r="R49" s="137"/>
      <c r="S49" s="137"/>
    </row>
    <row r="50" spans="1:19" ht="19.5" customHeight="1">
      <c r="A50" s="494"/>
      <c r="B50" s="139"/>
      <c r="C50" s="4050" t="s">
        <v>2416</v>
      </c>
      <c r="D50" s="4085"/>
      <c r="E50" s="4085"/>
      <c r="F50" s="4085"/>
      <c r="G50" s="4085"/>
      <c r="H50" s="742"/>
      <c r="I50" s="143" t="s">
        <v>2417</v>
      </c>
      <c r="J50" s="136"/>
      <c r="K50" s="153"/>
      <c r="L50" s="4077"/>
      <c r="M50" s="4067"/>
      <c r="N50" s="4078"/>
      <c r="O50" s="495"/>
      <c r="P50" s="137"/>
      <c r="Q50" s="137"/>
      <c r="R50" s="137"/>
      <c r="S50" s="369"/>
    </row>
    <row r="51" spans="1:19" ht="10.5" customHeight="1">
      <c r="A51" s="494"/>
      <c r="B51" s="139"/>
      <c r="C51" s="147"/>
      <c r="D51" s="263"/>
      <c r="E51" s="263"/>
      <c r="F51" s="263"/>
      <c r="G51" s="263"/>
      <c r="H51" s="153"/>
      <c r="I51" s="153"/>
      <c r="J51" s="136"/>
      <c r="K51" s="153"/>
      <c r="L51" s="4079"/>
      <c r="M51" s="4080"/>
      <c r="N51" s="4081"/>
      <c r="O51" s="495"/>
      <c r="P51" s="137"/>
      <c r="Q51" s="137"/>
      <c r="R51" s="137"/>
      <c r="S51" s="369"/>
    </row>
    <row r="52" spans="1:19" ht="15" customHeight="1">
      <c r="A52" s="494"/>
      <c r="B52" s="139" t="s">
        <v>1168</v>
      </c>
      <c r="C52" s="143" t="s">
        <v>2425</v>
      </c>
      <c r="D52" s="140"/>
      <c r="E52" s="140"/>
      <c r="F52" s="149"/>
      <c r="G52" s="136"/>
      <c r="H52" s="136"/>
      <c r="I52" s="136"/>
      <c r="J52" s="149"/>
      <c r="K52" s="153"/>
      <c r="L52" s="271"/>
      <c r="M52" s="271"/>
      <c r="N52" s="271"/>
      <c r="O52" s="495"/>
      <c r="P52" s="137"/>
      <c r="Q52" s="137"/>
      <c r="R52" s="137"/>
      <c r="S52" s="137"/>
    </row>
    <row r="53" spans="1:19" ht="15" customHeight="1">
      <c r="A53" s="494"/>
      <c r="B53" s="139"/>
      <c r="C53" s="143" t="s">
        <v>2426</v>
      </c>
      <c r="D53" s="140"/>
      <c r="E53" s="140"/>
      <c r="F53" s="149"/>
      <c r="G53" s="136"/>
      <c r="H53" s="136"/>
      <c r="I53" s="136"/>
      <c r="J53" s="149"/>
      <c r="K53" s="153"/>
      <c r="L53" s="153"/>
      <c r="M53" s="136"/>
      <c r="N53" s="136"/>
      <c r="O53" s="495"/>
      <c r="P53" s="137"/>
      <c r="Q53" s="137"/>
      <c r="R53" s="137"/>
      <c r="S53" s="137"/>
    </row>
    <row r="54" spans="1:19" ht="10.5" customHeight="1">
      <c r="A54" s="494"/>
      <c r="B54" s="139"/>
      <c r="C54" s="143"/>
      <c r="D54" s="140"/>
      <c r="E54" s="140"/>
      <c r="F54" s="149"/>
      <c r="G54" s="136"/>
      <c r="H54" s="136"/>
      <c r="I54" s="136"/>
      <c r="J54" s="149"/>
      <c r="K54" s="153"/>
      <c r="L54" s="153"/>
      <c r="M54" s="136"/>
      <c r="N54" s="136"/>
      <c r="O54" s="495"/>
      <c r="P54" s="137"/>
      <c r="Q54" s="137"/>
      <c r="R54" s="137"/>
      <c r="S54" s="137"/>
    </row>
    <row r="55" spans="1:19" ht="19.5" customHeight="1">
      <c r="A55" s="494"/>
      <c r="B55" s="139"/>
      <c r="C55" s="4082" t="str">
        <f>C46</f>
        <v xml:space="preserve"> </v>
      </c>
      <c r="D55" s="4061"/>
      <c r="E55" s="149" t="s">
        <v>1343</v>
      </c>
      <c r="F55" s="140" t="s">
        <v>2427</v>
      </c>
      <c r="G55" s="136"/>
      <c r="H55" s="4102" t="str">
        <f>IF(ISBLANK(I4), " ", C55*4)</f>
        <v xml:space="preserve"> </v>
      </c>
      <c r="I55" s="4061"/>
      <c r="J55" s="136" t="s">
        <v>1002</v>
      </c>
      <c r="K55" s="136"/>
      <c r="L55" s="136"/>
      <c r="M55" s="136"/>
      <c r="N55" s="136"/>
      <c r="O55" s="495"/>
      <c r="P55" s="137"/>
      <c r="Q55" s="137"/>
      <c r="R55" s="137"/>
      <c r="S55" s="137"/>
    </row>
    <row r="56" spans="1:19" ht="10.5" customHeight="1">
      <c r="A56" s="494"/>
      <c r="B56" s="139"/>
      <c r="C56" s="143"/>
      <c r="D56" s="140"/>
      <c r="E56" s="140"/>
      <c r="F56" s="149"/>
      <c r="G56" s="136"/>
      <c r="H56" s="136"/>
      <c r="I56" s="136"/>
      <c r="J56" s="149"/>
      <c r="K56" s="136"/>
      <c r="L56" s="136"/>
      <c r="M56" s="136"/>
      <c r="N56" s="136"/>
      <c r="O56" s="495"/>
      <c r="P56" s="137"/>
      <c r="Q56" s="137"/>
      <c r="R56" s="137"/>
      <c r="S56" s="137"/>
    </row>
    <row r="57" spans="1:19" ht="19.5" customHeight="1">
      <c r="A57" s="494"/>
      <c r="B57" s="139"/>
      <c r="C57" s="143" t="s">
        <v>2428</v>
      </c>
      <c r="D57" s="143"/>
      <c r="E57" s="143"/>
      <c r="F57" s="143"/>
      <c r="G57" s="143"/>
      <c r="H57" s="742"/>
      <c r="I57" s="153"/>
      <c r="J57" s="136"/>
      <c r="K57" s="152"/>
      <c r="L57" s="152"/>
      <c r="M57" s="152"/>
      <c r="N57" s="152"/>
      <c r="O57" s="495"/>
      <c r="P57" s="137"/>
      <c r="Q57" s="137"/>
      <c r="R57" s="137"/>
      <c r="S57" s="137"/>
    </row>
    <row r="58" spans="1:19" ht="10.5" customHeight="1">
      <c r="A58" s="494"/>
      <c r="B58" s="139"/>
      <c r="C58" s="136"/>
      <c r="D58" s="149"/>
      <c r="E58" s="149"/>
      <c r="F58" s="153"/>
      <c r="G58" s="136"/>
      <c r="H58" s="153"/>
      <c r="I58" s="140"/>
      <c r="J58" s="136"/>
      <c r="K58" s="153"/>
      <c r="L58" s="153"/>
      <c r="M58" s="136"/>
      <c r="N58" s="136"/>
      <c r="O58" s="495"/>
      <c r="P58" s="137"/>
      <c r="Q58" s="137"/>
      <c r="R58" s="137"/>
      <c r="S58" s="137"/>
    </row>
    <row r="59" spans="1:19" ht="19.5" customHeight="1">
      <c r="A59" s="494"/>
      <c r="B59" s="139"/>
      <c r="C59" s="4050" t="s">
        <v>2416</v>
      </c>
      <c r="D59" s="4085"/>
      <c r="E59" s="4085"/>
      <c r="F59" s="4085"/>
      <c r="G59" s="4085"/>
      <c r="H59" s="742"/>
      <c r="I59" s="143" t="s">
        <v>2417</v>
      </c>
      <c r="J59" s="136"/>
      <c r="K59" s="153"/>
      <c r="L59" s="153"/>
      <c r="M59" s="136"/>
      <c r="N59" s="136"/>
      <c r="O59" s="495"/>
      <c r="P59" s="137"/>
      <c r="Q59" s="137"/>
      <c r="R59" s="137"/>
    </row>
    <row r="60" spans="1:19" ht="10.5" customHeight="1">
      <c r="A60" s="494"/>
      <c r="B60" s="139"/>
      <c r="C60" s="136"/>
      <c r="D60" s="149"/>
      <c r="E60" s="149"/>
      <c r="F60" s="153"/>
      <c r="G60" s="136"/>
      <c r="H60" s="153"/>
      <c r="I60" s="140"/>
      <c r="J60" s="136"/>
      <c r="K60" s="153"/>
      <c r="L60" s="153"/>
      <c r="M60" s="136"/>
      <c r="N60" s="136"/>
      <c r="O60" s="495"/>
      <c r="P60" s="137"/>
      <c r="Q60" s="137"/>
      <c r="R60" s="137"/>
    </row>
    <row r="61" spans="1:19" ht="15" customHeight="1">
      <c r="A61" s="494"/>
      <c r="B61" s="139" t="s">
        <v>1172</v>
      </c>
      <c r="C61" s="143" t="s">
        <v>2429</v>
      </c>
      <c r="D61" s="140"/>
      <c r="E61" s="140"/>
      <c r="F61" s="149"/>
      <c r="G61" s="136"/>
      <c r="H61" s="136"/>
      <c r="I61" s="136"/>
      <c r="J61" s="149"/>
      <c r="K61" s="153"/>
      <c r="L61" s="163"/>
      <c r="M61" s="152"/>
      <c r="N61" s="152"/>
      <c r="O61" s="495"/>
      <c r="P61" s="137"/>
      <c r="Q61" s="137"/>
      <c r="R61" s="137"/>
      <c r="S61" s="137"/>
    </row>
    <row r="62" spans="1:19" ht="31.5" customHeight="1">
      <c r="A62" s="494"/>
      <c r="B62" s="139"/>
      <c r="C62" s="4103" t="s">
        <v>2430</v>
      </c>
      <c r="D62" s="4104"/>
      <c r="E62" s="4104"/>
      <c r="F62" s="4104"/>
      <c r="G62" s="4104"/>
      <c r="H62" s="4104"/>
      <c r="I62" s="4104"/>
      <c r="J62" s="4104"/>
      <c r="K62" s="4104"/>
      <c r="L62" s="4104"/>
      <c r="M62" s="4104"/>
      <c r="N62" s="4104"/>
      <c r="O62" s="495"/>
      <c r="P62" s="137"/>
      <c r="Q62" s="137"/>
      <c r="R62" s="137"/>
      <c r="S62" s="137"/>
    </row>
    <row r="63" spans="1:19" ht="10.5" customHeight="1">
      <c r="A63" s="494"/>
      <c r="B63" s="139"/>
      <c r="C63" s="143"/>
      <c r="D63" s="140"/>
      <c r="E63" s="140"/>
      <c r="F63" s="149"/>
      <c r="G63" s="136"/>
      <c r="H63" s="136"/>
      <c r="I63" s="136"/>
      <c r="J63" s="149"/>
      <c r="K63" s="153"/>
      <c r="L63" s="152"/>
      <c r="M63" s="152"/>
      <c r="N63" s="152"/>
      <c r="O63" s="495"/>
      <c r="P63" s="137"/>
      <c r="Q63" s="137"/>
      <c r="R63" s="137"/>
      <c r="S63" s="137"/>
    </row>
    <row r="64" spans="1:19" ht="19.5" customHeight="1">
      <c r="A64" s="494"/>
      <c r="B64" s="139"/>
      <c r="C64" s="164"/>
      <c r="D64" s="165"/>
      <c r="E64" s="149"/>
      <c r="F64" s="136"/>
      <c r="G64" s="136"/>
      <c r="H64" s="4083"/>
      <c r="I64" s="4084"/>
      <c r="J64" s="136" t="s">
        <v>1002</v>
      </c>
      <c r="K64" s="163"/>
      <c r="L64" s="152"/>
      <c r="M64" s="152"/>
      <c r="N64" s="152"/>
      <c r="O64" s="495"/>
      <c r="P64" s="137"/>
      <c r="Q64" s="137"/>
      <c r="R64" s="137"/>
      <c r="S64" s="137"/>
    </row>
    <row r="65" spans="1:26" ht="10.5" customHeight="1">
      <c r="A65" s="494"/>
      <c r="B65" s="139"/>
      <c r="C65" s="143"/>
      <c r="D65" s="140"/>
      <c r="E65" s="140"/>
      <c r="F65" s="149"/>
      <c r="G65" s="136"/>
      <c r="H65" s="136"/>
      <c r="I65" s="136"/>
      <c r="J65" s="149"/>
      <c r="K65" s="137"/>
      <c r="L65" s="152"/>
      <c r="M65" s="152"/>
      <c r="N65" s="152"/>
      <c r="O65" s="495"/>
      <c r="P65" s="137"/>
      <c r="Q65" s="137"/>
      <c r="R65" s="137"/>
      <c r="S65" s="137"/>
    </row>
    <row r="66" spans="1:26" ht="19.5" customHeight="1">
      <c r="A66" s="494"/>
      <c r="B66" s="139"/>
      <c r="C66" s="143" t="s">
        <v>2428</v>
      </c>
      <c r="D66" s="143"/>
      <c r="E66" s="143"/>
      <c r="F66" s="143"/>
      <c r="G66" s="143"/>
      <c r="H66" s="742"/>
      <c r="I66" s="153"/>
      <c r="J66" s="136"/>
      <c r="K66" s="152"/>
      <c r="L66" s="152"/>
      <c r="M66" s="152"/>
      <c r="N66" s="152"/>
      <c r="O66" s="495"/>
      <c r="P66" s="137"/>
      <c r="Q66" s="137"/>
      <c r="R66" s="137"/>
      <c r="S66" s="137"/>
    </row>
    <row r="67" spans="1:26" ht="10.5" customHeight="1">
      <c r="A67" s="494"/>
      <c r="B67" s="139"/>
      <c r="C67" s="143"/>
      <c r="D67" s="140"/>
      <c r="E67" s="140"/>
      <c r="F67" s="149"/>
      <c r="G67" s="136"/>
      <c r="H67" s="136"/>
      <c r="I67" s="136"/>
      <c r="J67" s="149"/>
      <c r="K67" s="137"/>
      <c r="L67" s="152"/>
      <c r="M67" s="152"/>
      <c r="N67" s="152"/>
      <c r="O67" s="495"/>
      <c r="P67" s="137"/>
      <c r="Q67" s="137"/>
      <c r="R67" s="137"/>
      <c r="S67" s="137"/>
    </row>
    <row r="68" spans="1:26" ht="24" customHeight="1">
      <c r="A68" s="494"/>
      <c r="B68" s="139"/>
      <c r="C68" s="4050" t="s">
        <v>2431</v>
      </c>
      <c r="D68" s="4085"/>
      <c r="E68" s="4085"/>
      <c r="F68" s="4085"/>
      <c r="G68" s="4085"/>
      <c r="H68" s="283"/>
      <c r="I68" s="149"/>
      <c r="J68" s="136"/>
      <c r="K68" s="152"/>
      <c r="L68" s="152"/>
      <c r="M68" s="152"/>
      <c r="N68" s="152"/>
      <c r="O68" s="495"/>
      <c r="P68" s="137"/>
      <c r="Q68" s="137"/>
      <c r="R68" s="137"/>
      <c r="S68" s="137"/>
    </row>
    <row r="69" spans="1:26" ht="6" customHeight="1">
      <c r="A69" s="494"/>
      <c r="B69" s="139"/>
      <c r="C69" s="147"/>
      <c r="D69" s="263"/>
      <c r="E69" s="263"/>
      <c r="F69" s="263"/>
      <c r="G69" s="263"/>
      <c r="H69" s="283"/>
      <c r="I69" s="149"/>
      <c r="J69" s="136"/>
      <c r="K69" s="152"/>
      <c r="L69" s="152"/>
      <c r="M69" s="152"/>
      <c r="N69" s="152"/>
      <c r="O69" s="495"/>
      <c r="P69" s="137"/>
      <c r="Q69" s="137"/>
      <c r="R69" s="137"/>
      <c r="S69" s="137"/>
    </row>
    <row r="70" spans="1:26" ht="24" customHeight="1">
      <c r="A70" s="494"/>
      <c r="B70" s="139" t="s">
        <v>1177</v>
      </c>
      <c r="C70" s="151" t="s">
        <v>2432</v>
      </c>
      <c r="D70" s="263"/>
      <c r="E70" s="263"/>
      <c r="F70" s="263"/>
      <c r="G70" s="263"/>
      <c r="H70" s="283"/>
      <c r="I70" s="149"/>
      <c r="J70" s="136"/>
      <c r="K70" s="152"/>
      <c r="L70" s="152"/>
      <c r="M70" s="152"/>
      <c r="N70" s="152"/>
      <c r="O70" s="495"/>
      <c r="P70" s="137"/>
      <c r="Q70" s="137"/>
      <c r="R70" s="137"/>
      <c r="S70" s="137"/>
    </row>
    <row r="71" spans="1:26" ht="6" customHeight="1">
      <c r="A71" s="501"/>
      <c r="B71" s="157"/>
      <c r="C71" s="166"/>
      <c r="D71" s="167"/>
      <c r="E71" s="167"/>
      <c r="F71" s="168"/>
      <c r="G71" s="158"/>
      <c r="H71" s="158"/>
      <c r="I71" s="158"/>
      <c r="J71" s="168"/>
      <c r="K71" s="169"/>
      <c r="L71" s="170"/>
      <c r="M71" s="170"/>
      <c r="N71" s="170"/>
      <c r="O71" s="497"/>
      <c r="P71" s="137"/>
      <c r="Q71" s="137"/>
      <c r="R71" s="137"/>
      <c r="S71" s="137"/>
    </row>
    <row r="72" spans="1:26" ht="18.75" customHeight="1">
      <c r="A72" s="4110" t="s">
        <v>2433</v>
      </c>
      <c r="B72" s="4111"/>
      <c r="C72" s="4111"/>
      <c r="D72" s="4111"/>
      <c r="E72" s="4111"/>
      <c r="F72" s="4111"/>
      <c r="G72" s="4111"/>
      <c r="H72" s="4111"/>
      <c r="I72" s="4111"/>
      <c r="J72" s="4111"/>
      <c r="K72" s="4111"/>
      <c r="L72" s="4111"/>
      <c r="M72" s="4111"/>
      <c r="N72" s="4111"/>
      <c r="O72" s="4112"/>
    </row>
    <row r="73" spans="1:26" ht="10.5" customHeight="1">
      <c r="A73" s="500"/>
      <c r="B73" s="273"/>
      <c r="C73" s="162"/>
      <c r="D73" s="162"/>
      <c r="E73" s="162"/>
      <c r="F73" s="162"/>
      <c r="G73" s="162"/>
      <c r="H73" s="162"/>
      <c r="I73" s="162"/>
      <c r="J73" s="162"/>
      <c r="K73" s="162"/>
      <c r="L73" s="162"/>
      <c r="M73" s="162"/>
      <c r="N73" s="162"/>
      <c r="O73" s="502"/>
    </row>
    <row r="74" spans="1:26" ht="19.5" customHeight="1">
      <c r="A74" s="494"/>
      <c r="B74" s="139" t="s">
        <v>1011</v>
      </c>
      <c r="C74" s="151" t="s">
        <v>2434</v>
      </c>
      <c r="D74" s="143"/>
      <c r="E74" s="143"/>
      <c r="F74" s="143"/>
      <c r="G74" s="143"/>
      <c r="H74" s="4044"/>
      <c r="I74" s="4046"/>
      <c r="J74" s="140" t="s">
        <v>762</v>
      </c>
      <c r="K74" s="488" t="str">
        <f>IF(ISBLANK(H74),"",H74/12)</f>
        <v/>
      </c>
      <c r="L74" s="4042" t="s">
        <v>2435</v>
      </c>
      <c r="M74" s="4043"/>
      <c r="N74" s="1179"/>
      <c r="O74" s="503" t="s">
        <v>609</v>
      </c>
      <c r="P74" s="368"/>
      <c r="Q74" s="8"/>
      <c r="X74" s="4021"/>
      <c r="Y74" s="4021"/>
      <c r="Z74" s="1"/>
    </row>
    <row r="75" spans="1:26" ht="10.5" customHeight="1">
      <c r="A75" s="494"/>
      <c r="B75" s="142"/>
      <c r="C75" s="140"/>
      <c r="D75" s="140"/>
      <c r="E75" s="140"/>
      <c r="F75" s="140"/>
      <c r="G75" s="136"/>
      <c r="H75" s="140"/>
      <c r="I75" s="140"/>
      <c r="J75" s="140"/>
      <c r="K75" s="140"/>
      <c r="L75" s="140"/>
      <c r="M75" s="143"/>
      <c r="N75" s="136"/>
      <c r="O75" s="503"/>
      <c r="P75" s="3"/>
      <c r="Q75" s="3"/>
      <c r="R75" s="1"/>
      <c r="S75" s="473"/>
      <c r="T75" s="473"/>
      <c r="U75" s="473"/>
      <c r="V75" s="473"/>
      <c r="W75" s="473"/>
      <c r="X75" s="1"/>
      <c r="Y75" s="28"/>
      <c r="Z75" s="28"/>
    </row>
    <row r="76" spans="1:26" ht="19.5" customHeight="1">
      <c r="A76" s="494"/>
      <c r="B76" s="16" t="s">
        <v>1019</v>
      </c>
      <c r="C76" s="7" t="s">
        <v>2436</v>
      </c>
      <c r="D76" s="8"/>
      <c r="E76" s="1"/>
      <c r="F76" s="36"/>
      <c r="G76" s="1"/>
      <c r="H76" s="4108"/>
      <c r="I76" s="4109"/>
      <c r="J76" s="8" t="s">
        <v>624</v>
      </c>
      <c r="K76" s="2992" t="s">
        <v>2437</v>
      </c>
      <c r="L76" s="2992"/>
      <c r="M76" s="2992"/>
      <c r="N76" s="2992"/>
      <c r="O76" s="4033"/>
      <c r="P76" s="473"/>
      <c r="Q76" s="1"/>
      <c r="Z76" s="4"/>
    </row>
    <row r="77" spans="1:26" ht="10.5" customHeight="1">
      <c r="A77" s="494"/>
      <c r="B77" s="142"/>
      <c r="C77" s="140"/>
      <c r="D77" s="140"/>
      <c r="E77" s="140"/>
      <c r="F77" s="140"/>
      <c r="G77" s="171"/>
      <c r="H77" s="172"/>
      <c r="I77" s="172"/>
      <c r="J77" s="172"/>
      <c r="K77" s="4034"/>
      <c r="L77" s="4035"/>
      <c r="M77" s="4035"/>
      <c r="N77" s="4035"/>
      <c r="O77" s="4036"/>
      <c r="P77" s="1"/>
      <c r="Q77" s="1"/>
      <c r="R77" s="1"/>
      <c r="S77" s="1"/>
      <c r="T77" s="1"/>
      <c r="U77" s="1"/>
      <c r="V77" s="1"/>
      <c r="W77" s="1"/>
      <c r="X77" s="1"/>
      <c r="Y77" s="4"/>
      <c r="Z77" s="4"/>
    </row>
    <row r="78" spans="1:26" ht="19.5" customHeight="1">
      <c r="A78" s="494"/>
      <c r="B78" s="139" t="s">
        <v>1168</v>
      </c>
      <c r="C78" s="151" t="s">
        <v>2438</v>
      </c>
      <c r="D78" s="143"/>
      <c r="E78" s="143"/>
      <c r="F78" s="143"/>
      <c r="G78" s="136"/>
      <c r="H78" s="4089"/>
      <c r="I78" s="4090"/>
      <c r="J78" s="143" t="s">
        <v>624</v>
      </c>
      <c r="K78" s="4037"/>
      <c r="L78" s="4038"/>
      <c r="M78" s="4038"/>
      <c r="N78" s="4038"/>
      <c r="O78" s="4039"/>
      <c r="P78" s="1"/>
      <c r="Q78" s="6"/>
      <c r="R78" s="1"/>
      <c r="S78" s="4021"/>
      <c r="T78" s="4021"/>
      <c r="U78" s="8"/>
      <c r="V78" s="1"/>
      <c r="W78" s="1"/>
      <c r="X78" s="1"/>
      <c r="Y78" s="1"/>
      <c r="Z78" s="1"/>
    </row>
    <row r="79" spans="1:26" ht="10.5" customHeight="1" thickBot="1">
      <c r="A79" s="504"/>
      <c r="B79" s="505"/>
      <c r="C79" s="506"/>
      <c r="D79" s="506"/>
      <c r="E79" s="506"/>
      <c r="F79" s="506"/>
      <c r="G79" s="506"/>
      <c r="H79" s="506"/>
      <c r="I79" s="506"/>
      <c r="J79" s="506"/>
      <c r="K79" s="506"/>
      <c r="L79" s="506"/>
      <c r="M79" s="506"/>
      <c r="N79" s="506"/>
      <c r="O79" s="507"/>
      <c r="P79" s="36"/>
      <c r="Q79" s="1"/>
      <c r="R79" s="1"/>
      <c r="S79" s="1"/>
      <c r="T79" s="1"/>
      <c r="U79" s="1"/>
      <c r="V79" s="1"/>
      <c r="W79" s="1"/>
      <c r="X79" s="1"/>
      <c r="Y79" s="1"/>
      <c r="Z79" s="1"/>
    </row>
    <row r="80" spans="1:26" ht="18.75" customHeight="1">
      <c r="A80" s="4047" t="s">
        <v>2439</v>
      </c>
      <c r="B80" s="4048"/>
      <c r="C80" s="4048"/>
      <c r="D80" s="4048"/>
      <c r="E80" s="4048"/>
      <c r="F80" s="4048"/>
      <c r="G80" s="4048"/>
      <c r="H80" s="4048"/>
      <c r="I80" s="4048"/>
      <c r="J80" s="4048"/>
      <c r="K80" s="4048"/>
      <c r="L80" s="4048"/>
      <c r="M80" s="4048"/>
      <c r="N80" s="4048"/>
      <c r="O80" s="4049"/>
      <c r="P80" s="1"/>
      <c r="Q80" s="16"/>
      <c r="R80" s="4"/>
      <c r="S80" s="32"/>
      <c r="T80" s="32"/>
      <c r="U80" s="4032"/>
      <c r="V80" s="4032"/>
      <c r="W80" s="1"/>
      <c r="X80" s="1"/>
      <c r="Y80" s="1"/>
      <c r="Z80" s="1"/>
    </row>
    <row r="81" spans="1:26" ht="10.5" customHeight="1">
      <c r="A81" s="508"/>
      <c r="B81" s="273"/>
      <c r="C81" s="273"/>
      <c r="D81" s="162"/>
      <c r="E81" s="162"/>
      <c r="F81" s="162"/>
      <c r="G81" s="275"/>
      <c r="H81" s="276"/>
      <c r="I81" s="276"/>
      <c r="J81" s="162"/>
      <c r="K81" s="162"/>
      <c r="L81" s="162"/>
      <c r="M81" s="162"/>
      <c r="N81" s="162"/>
      <c r="O81" s="502"/>
      <c r="P81" s="1"/>
      <c r="Q81" s="1"/>
      <c r="R81" s="1"/>
      <c r="S81" s="1"/>
      <c r="T81" s="1"/>
      <c r="U81" s="1"/>
      <c r="V81" s="1"/>
      <c r="W81" s="1"/>
      <c r="X81" s="1"/>
      <c r="Y81" s="1"/>
      <c r="Z81" s="1"/>
    </row>
    <row r="82" spans="1:26" ht="16.5">
      <c r="A82" s="509"/>
      <c r="B82" s="175" t="s">
        <v>1011</v>
      </c>
      <c r="C82" s="4086" t="s">
        <v>2440</v>
      </c>
      <c r="D82" s="4087"/>
      <c r="E82" s="4087"/>
      <c r="F82" s="4087"/>
      <c r="G82" s="4087"/>
      <c r="H82" s="4088"/>
      <c r="I82" s="176" t="s">
        <v>1019</v>
      </c>
      <c r="J82" s="150"/>
      <c r="K82" s="137"/>
      <c r="L82" s="137"/>
      <c r="M82" s="137"/>
      <c r="N82" s="136"/>
      <c r="O82" s="503"/>
    </row>
    <row r="83" spans="1:26" ht="16.5" customHeight="1">
      <c r="A83" s="509"/>
      <c r="B83" s="175"/>
      <c r="C83" s="4105" t="s">
        <v>2441</v>
      </c>
      <c r="D83" s="4106"/>
      <c r="E83" s="4106"/>
      <c r="F83" s="4106"/>
      <c r="G83" s="4106"/>
      <c r="H83" s="4107"/>
      <c r="I83" s="280"/>
      <c r="J83" s="137"/>
      <c r="K83" s="137"/>
      <c r="L83" s="280"/>
      <c r="M83" s="281"/>
      <c r="N83" s="136"/>
      <c r="O83" s="503"/>
      <c r="P83" s="136"/>
      <c r="Q83" s="136"/>
      <c r="R83" s="136"/>
      <c r="S83" s="136"/>
    </row>
    <row r="84" spans="1:26" ht="10.5" customHeight="1">
      <c r="A84" s="494"/>
      <c r="B84" s="175"/>
      <c r="C84" s="177"/>
      <c r="D84" s="162"/>
      <c r="E84" s="162"/>
      <c r="F84" s="162"/>
      <c r="G84" s="162"/>
      <c r="H84" s="274"/>
      <c r="I84" s="137"/>
      <c r="J84" s="137"/>
      <c r="K84" s="137"/>
      <c r="L84" s="137"/>
      <c r="M84" s="137"/>
      <c r="N84" s="136"/>
      <c r="O84" s="503"/>
      <c r="P84" s="136"/>
      <c r="Q84" s="136"/>
      <c r="R84" s="136"/>
      <c r="S84" s="136"/>
    </row>
    <row r="85" spans="1:26" ht="19.5" customHeight="1">
      <c r="A85" s="494"/>
      <c r="B85" s="175"/>
      <c r="C85" s="4042" t="s">
        <v>697</v>
      </c>
      <c r="D85" s="4043"/>
      <c r="E85" s="4044"/>
      <c r="F85" s="4045"/>
      <c r="G85" s="4046"/>
      <c r="H85" s="144"/>
      <c r="I85" s="149"/>
      <c r="J85" s="137"/>
      <c r="K85" s="137"/>
      <c r="L85" s="282"/>
      <c r="M85" s="138"/>
      <c r="N85" s="136"/>
      <c r="O85" s="503"/>
      <c r="P85" s="136"/>
      <c r="Q85" s="136"/>
      <c r="R85" s="136"/>
      <c r="S85" s="136"/>
    </row>
    <row r="86" spans="1:26" ht="10.5" customHeight="1">
      <c r="A86" s="494"/>
      <c r="B86" s="175"/>
      <c r="C86" s="178"/>
      <c r="D86" s="179"/>
      <c r="E86" s="174"/>
      <c r="F86" s="174"/>
      <c r="G86" s="136"/>
      <c r="H86" s="144"/>
      <c r="I86" s="149"/>
      <c r="J86" s="137"/>
      <c r="K86" s="137"/>
      <c r="L86" s="282"/>
      <c r="M86" s="138"/>
      <c r="N86" s="136"/>
      <c r="O86" s="495"/>
      <c r="P86" s="137"/>
      <c r="Q86" s="137"/>
      <c r="R86" s="137"/>
      <c r="S86" s="137"/>
    </row>
    <row r="87" spans="1:26" ht="19.5" customHeight="1">
      <c r="A87" s="494"/>
      <c r="B87" s="175"/>
      <c r="C87" s="4042" t="s">
        <v>2442</v>
      </c>
      <c r="D87" s="4043"/>
      <c r="E87" s="4044"/>
      <c r="F87" s="4045"/>
      <c r="G87" s="4046"/>
      <c r="H87" s="144"/>
      <c r="I87" s="149"/>
      <c r="J87" s="138"/>
      <c r="K87" s="137"/>
      <c r="L87" s="282"/>
      <c r="M87" s="138"/>
      <c r="N87" s="136"/>
      <c r="O87" s="495"/>
      <c r="P87" s="137"/>
      <c r="Q87" s="137"/>
      <c r="R87" s="137"/>
      <c r="S87" s="137"/>
    </row>
    <row r="88" spans="1:26" ht="10.5" customHeight="1">
      <c r="A88" s="494"/>
      <c r="B88" s="175"/>
      <c r="C88" s="178"/>
      <c r="D88" s="179"/>
      <c r="E88" s="174"/>
      <c r="F88" s="174"/>
      <c r="G88" s="136"/>
      <c r="H88" s="144"/>
      <c r="I88" s="149"/>
      <c r="J88" s="138"/>
      <c r="K88" s="137"/>
      <c r="L88" s="282"/>
      <c r="M88" s="138"/>
      <c r="N88" s="136"/>
      <c r="O88" s="495"/>
      <c r="P88" s="137"/>
      <c r="Q88" s="137"/>
      <c r="R88" s="137"/>
      <c r="S88" s="137"/>
    </row>
    <row r="89" spans="1:26" ht="19.5" customHeight="1">
      <c r="A89" s="494"/>
      <c r="B89" s="175"/>
      <c r="C89" s="4042" t="s">
        <v>705</v>
      </c>
      <c r="D89" s="4043"/>
      <c r="E89" s="4044"/>
      <c r="F89" s="4045"/>
      <c r="G89" s="4046"/>
      <c r="H89" s="144"/>
      <c r="I89" s="149"/>
      <c r="J89" s="138"/>
      <c r="K89" s="137"/>
      <c r="L89" s="282"/>
      <c r="M89" s="138"/>
      <c r="N89" s="136"/>
      <c r="O89" s="495"/>
      <c r="P89" s="137"/>
      <c r="Q89" s="137"/>
      <c r="R89" s="137"/>
      <c r="S89" s="137"/>
    </row>
    <row r="90" spans="1:26" ht="10.5" customHeight="1">
      <c r="A90" s="494"/>
      <c r="B90" s="175"/>
      <c r="C90" s="178"/>
      <c r="D90" s="179"/>
      <c r="E90" s="174"/>
      <c r="F90" s="174"/>
      <c r="G90" s="136"/>
      <c r="H90" s="144"/>
      <c r="I90" s="149"/>
      <c r="J90" s="138"/>
      <c r="K90" s="137"/>
      <c r="L90" s="282"/>
      <c r="M90" s="138"/>
      <c r="N90" s="136"/>
      <c r="O90" s="495"/>
      <c r="P90" s="137"/>
      <c r="Q90" s="137"/>
      <c r="R90" s="137"/>
      <c r="S90" s="137"/>
    </row>
    <row r="91" spans="1:26" ht="19.5" customHeight="1">
      <c r="A91" s="494"/>
      <c r="B91" s="175"/>
      <c r="C91" s="4042" t="s">
        <v>706</v>
      </c>
      <c r="D91" s="4043"/>
      <c r="E91" s="4044"/>
      <c r="F91" s="4045"/>
      <c r="G91" s="4046"/>
      <c r="H91" s="144"/>
      <c r="I91" s="149"/>
      <c r="J91" s="138"/>
      <c r="K91" s="137"/>
      <c r="L91" s="282"/>
      <c r="M91" s="138"/>
      <c r="N91" s="136"/>
      <c r="O91" s="495"/>
      <c r="P91" s="137"/>
      <c r="Q91" s="137"/>
      <c r="R91" s="137"/>
      <c r="S91" s="137"/>
    </row>
    <row r="92" spans="1:26" ht="10.5" customHeight="1">
      <c r="A92" s="494"/>
      <c r="B92" s="175"/>
      <c r="C92" s="178"/>
      <c r="D92" s="179"/>
      <c r="E92" s="136"/>
      <c r="F92" s="174"/>
      <c r="G92" s="136"/>
      <c r="H92" s="144"/>
      <c r="J92" s="149"/>
      <c r="K92" s="138"/>
      <c r="L92" s="137"/>
      <c r="M92" s="282"/>
      <c r="N92" s="138"/>
      <c r="O92" s="495"/>
      <c r="P92" s="137"/>
      <c r="Q92" s="137"/>
      <c r="R92" s="137"/>
      <c r="S92" s="137"/>
    </row>
    <row r="93" spans="1:26" ht="19.5" customHeight="1">
      <c r="A93" s="494"/>
      <c r="B93" s="154"/>
      <c r="C93" s="4053" t="s">
        <v>2443</v>
      </c>
      <c r="D93" s="4054"/>
      <c r="E93" s="4054"/>
      <c r="F93" s="4040"/>
      <c r="G93" s="4041"/>
      <c r="H93" s="144"/>
      <c r="J93" s="444"/>
      <c r="K93" s="444"/>
      <c r="L93" s="444"/>
      <c r="M93" s="444"/>
      <c r="N93" s="444"/>
      <c r="O93" s="495"/>
      <c r="P93" s="137"/>
      <c r="Q93" s="137"/>
      <c r="R93" s="137"/>
      <c r="S93" s="137"/>
    </row>
    <row r="94" spans="1:26" ht="10.5" customHeight="1">
      <c r="A94" s="494"/>
      <c r="B94" s="154"/>
      <c r="C94" s="180"/>
      <c r="D94" s="158"/>
      <c r="E94" s="158"/>
      <c r="F94" s="158"/>
      <c r="G94" s="158"/>
      <c r="H94" s="181"/>
      <c r="J94" s="152"/>
      <c r="K94" s="152"/>
      <c r="L94" s="152"/>
      <c r="M94" s="152"/>
      <c r="N94" s="137"/>
      <c r="O94" s="495"/>
      <c r="P94" s="137"/>
      <c r="Q94" s="137"/>
      <c r="R94" s="137"/>
      <c r="S94" s="137"/>
    </row>
    <row r="95" spans="1:26" ht="16.5" hidden="1" customHeight="1">
      <c r="A95" s="494"/>
      <c r="B95" s="154"/>
      <c r="C95" s="136"/>
      <c r="D95" s="136"/>
      <c r="E95" s="136"/>
      <c r="F95" s="136"/>
      <c r="G95" s="136"/>
      <c r="H95" s="136"/>
      <c r="K95" s="137"/>
      <c r="L95" s="137"/>
      <c r="M95" s="137"/>
      <c r="N95" s="137"/>
      <c r="O95" s="495"/>
      <c r="P95" s="137"/>
      <c r="Q95" s="137"/>
      <c r="R95" s="137"/>
      <c r="S95" s="137"/>
    </row>
    <row r="96" spans="1:26" ht="10.5" customHeight="1">
      <c r="A96" s="494"/>
      <c r="B96" s="136"/>
      <c r="C96" s="136"/>
      <c r="D96" s="136"/>
      <c r="E96" s="136"/>
      <c r="F96" s="136"/>
      <c r="G96" s="136"/>
      <c r="H96" s="136"/>
      <c r="O96" s="495"/>
      <c r="P96" s="137"/>
      <c r="Q96" s="137"/>
      <c r="R96" s="137"/>
      <c r="S96" s="137"/>
    </row>
    <row r="97" spans="1:19" ht="10.5" customHeight="1">
      <c r="A97" s="494"/>
      <c r="B97" s="136"/>
      <c r="C97" s="136"/>
      <c r="D97" s="136"/>
      <c r="E97" s="136"/>
      <c r="F97" s="136"/>
      <c r="G97" s="136"/>
      <c r="H97" s="136"/>
      <c r="O97" s="495"/>
      <c r="P97" s="137"/>
      <c r="Q97" s="137"/>
      <c r="R97" s="137"/>
      <c r="S97" s="137"/>
    </row>
    <row r="98" spans="1:19" ht="19.5" customHeight="1">
      <c r="A98" s="494"/>
      <c r="B98" s="139" t="s">
        <v>1168</v>
      </c>
      <c r="C98" s="4055" t="s">
        <v>2444</v>
      </c>
      <c r="D98" s="4055"/>
      <c r="E98" s="4055"/>
      <c r="F98" s="4051">
        <f>MIN(F93,M101)</f>
        <v>0</v>
      </c>
      <c r="G98" s="4052"/>
      <c r="H98" s="140" t="s">
        <v>1073</v>
      </c>
      <c r="J98" s="4031" t="s">
        <v>2445</v>
      </c>
      <c r="K98" s="4031"/>
      <c r="L98" s="4031"/>
      <c r="M98" s="4031"/>
      <c r="N98" s="743"/>
      <c r="O98" s="503" t="s">
        <v>926</v>
      </c>
      <c r="P98" s="137"/>
      <c r="Q98" s="137"/>
      <c r="R98" s="137"/>
      <c r="S98" s="137"/>
    </row>
    <row r="99" spans="1:19" ht="10.5" customHeight="1">
      <c r="A99" s="494"/>
      <c r="B99" s="142"/>
      <c r="C99" s="140"/>
      <c r="D99" s="140"/>
      <c r="E99" s="140"/>
      <c r="F99" s="140"/>
      <c r="G99" s="182"/>
      <c r="H99" s="173"/>
      <c r="J99" s="4031"/>
      <c r="K99" s="4031"/>
      <c r="L99" s="4031"/>
      <c r="M99" s="4031"/>
      <c r="N99" s="140"/>
      <c r="O99" s="495"/>
      <c r="P99" s="137"/>
      <c r="Q99" s="137"/>
      <c r="R99" s="137"/>
      <c r="S99" s="137"/>
    </row>
    <row r="100" spans="1:19" ht="10.5" customHeight="1">
      <c r="A100" s="494"/>
      <c r="O100" s="495"/>
      <c r="P100" s="137"/>
      <c r="Q100" s="137"/>
      <c r="R100" s="137"/>
      <c r="S100" s="137"/>
    </row>
    <row r="101" spans="1:19" ht="19.5" customHeight="1">
      <c r="A101" s="494"/>
      <c r="B101" s="142"/>
      <c r="C101" s="140"/>
      <c r="D101" s="140"/>
      <c r="E101" s="140"/>
      <c r="F101" s="140"/>
      <c r="G101" s="182"/>
      <c r="H101" s="173"/>
      <c r="I101" s="136"/>
      <c r="J101" s="140" t="s">
        <v>2443</v>
      </c>
      <c r="K101" s="140"/>
      <c r="L101" s="140"/>
      <c r="M101" s="4040"/>
      <c r="N101" s="4041"/>
      <c r="O101" s="495"/>
      <c r="P101" s="137"/>
      <c r="Q101" s="137"/>
      <c r="R101" s="137"/>
      <c r="S101" s="137"/>
    </row>
    <row r="102" spans="1:19" ht="10.5" customHeight="1">
      <c r="A102" s="501"/>
      <c r="B102" s="277"/>
      <c r="C102" s="167"/>
      <c r="D102" s="167"/>
      <c r="E102" s="167"/>
      <c r="F102" s="167"/>
      <c r="G102" s="278"/>
      <c r="H102" s="279"/>
      <c r="I102" s="167"/>
      <c r="J102" s="167"/>
      <c r="K102" s="158"/>
      <c r="L102" s="167"/>
      <c r="M102" s="167"/>
      <c r="N102" s="167"/>
      <c r="O102" s="497"/>
      <c r="P102" s="137"/>
      <c r="Q102" s="137"/>
      <c r="R102" s="137"/>
      <c r="S102" s="137"/>
    </row>
    <row r="103" spans="1:19" ht="18.75" customHeight="1">
      <c r="A103" s="4025" t="s">
        <v>2446</v>
      </c>
      <c r="B103" s="4026"/>
      <c r="C103" s="4026"/>
      <c r="D103" s="4026"/>
      <c r="E103" s="4026"/>
      <c r="F103" s="4026"/>
      <c r="G103" s="4026"/>
      <c r="H103" s="4026"/>
      <c r="I103" s="4026"/>
      <c r="J103" s="4026"/>
      <c r="K103" s="4026"/>
      <c r="L103" s="4026"/>
      <c r="M103" s="4026"/>
      <c r="N103" s="4026"/>
      <c r="O103" s="4027"/>
      <c r="P103" s="137"/>
      <c r="Q103" s="137"/>
      <c r="R103" s="137"/>
      <c r="S103" s="137"/>
    </row>
    <row r="104" spans="1:19" ht="10.5" customHeight="1">
      <c r="A104" s="508"/>
      <c r="B104" s="273"/>
      <c r="C104" s="273"/>
      <c r="D104" s="273"/>
      <c r="E104" s="273"/>
      <c r="F104" s="273"/>
      <c r="G104" s="273"/>
      <c r="H104" s="273"/>
      <c r="I104" s="273"/>
      <c r="J104" s="273"/>
      <c r="K104" s="273"/>
      <c r="L104" s="273"/>
      <c r="M104" s="273"/>
      <c r="N104" s="273"/>
      <c r="O104" s="493"/>
      <c r="P104" s="137"/>
      <c r="Q104" s="137"/>
      <c r="R104" s="137"/>
      <c r="S104" s="137"/>
    </row>
    <row r="105" spans="1:19" ht="15" customHeight="1">
      <c r="A105" s="509"/>
      <c r="B105" s="142" t="s">
        <v>1011</v>
      </c>
      <c r="C105" s="148" t="s">
        <v>2447</v>
      </c>
      <c r="D105" s="154"/>
      <c r="E105" s="154"/>
      <c r="F105" s="154"/>
      <c r="G105" s="140"/>
      <c r="H105" s="136"/>
      <c r="I105" s="140"/>
      <c r="J105" s="136"/>
      <c r="K105" s="136"/>
      <c r="L105" s="136"/>
      <c r="M105" s="154"/>
      <c r="N105" s="154"/>
      <c r="O105" s="495"/>
      <c r="P105" s="137"/>
      <c r="Q105" s="137"/>
      <c r="R105" s="137"/>
      <c r="S105" s="137"/>
    </row>
    <row r="106" spans="1:19" ht="10.5" customHeight="1">
      <c r="A106" s="494"/>
      <c r="B106" s="142"/>
      <c r="C106" s="140"/>
      <c r="D106" s="140"/>
      <c r="E106" s="140"/>
      <c r="F106" s="140"/>
      <c r="G106" s="182"/>
      <c r="H106" s="173"/>
      <c r="I106" s="140"/>
      <c r="J106" s="140"/>
      <c r="K106" s="136"/>
      <c r="L106" s="140"/>
      <c r="M106" s="140"/>
      <c r="N106" s="140"/>
      <c r="O106" s="495"/>
      <c r="P106" s="137"/>
      <c r="Q106" s="137"/>
      <c r="R106" s="137"/>
      <c r="S106" s="137"/>
    </row>
    <row r="107" spans="1:19" ht="19.5" customHeight="1">
      <c r="A107" s="494"/>
      <c r="B107" s="142" t="s">
        <v>1019</v>
      </c>
      <c r="C107" s="4050" t="s">
        <v>2448</v>
      </c>
      <c r="D107" s="4050"/>
      <c r="E107" s="4050"/>
      <c r="F107" s="4050"/>
      <c r="G107" s="4050"/>
      <c r="H107" s="4050"/>
      <c r="I107" s="4022"/>
      <c r="J107" s="4023"/>
      <c r="K107" s="4023"/>
      <c r="L107" s="4023"/>
      <c r="M107" s="4024"/>
      <c r="O107" s="495"/>
      <c r="P107" s="137"/>
      <c r="Q107" s="137"/>
      <c r="R107" s="137"/>
      <c r="S107" s="137"/>
    </row>
    <row r="108" spans="1:19" ht="10.5" customHeight="1">
      <c r="A108" s="494"/>
      <c r="B108" s="142"/>
      <c r="C108" s="140"/>
      <c r="D108" s="140"/>
      <c r="E108" s="140"/>
      <c r="F108" s="140"/>
      <c r="G108" s="182"/>
      <c r="H108" s="173"/>
      <c r="I108" s="140"/>
      <c r="J108" s="140"/>
      <c r="K108" s="136"/>
      <c r="L108" s="140"/>
      <c r="M108" s="140"/>
      <c r="N108" s="140"/>
      <c r="O108" s="495"/>
      <c r="P108" s="137"/>
      <c r="Q108" s="137"/>
      <c r="R108" s="137"/>
      <c r="S108" s="137"/>
    </row>
    <row r="109" spans="1:19" ht="24" customHeight="1">
      <c r="A109" s="494"/>
      <c r="B109" s="142" t="s">
        <v>1168</v>
      </c>
      <c r="C109" s="148" t="s">
        <v>2449</v>
      </c>
      <c r="D109" s="140"/>
      <c r="E109" s="3"/>
      <c r="F109" s="3"/>
      <c r="G109" s="3"/>
      <c r="H109" s="3"/>
      <c r="I109" s="3"/>
      <c r="J109" s="3"/>
      <c r="K109" s="3"/>
      <c r="L109" s="3"/>
      <c r="M109" s="3"/>
      <c r="N109" s="3"/>
      <c r="O109" s="2"/>
      <c r="P109" s="137"/>
      <c r="Q109" s="137"/>
      <c r="R109" s="137"/>
      <c r="S109" s="137"/>
    </row>
    <row r="110" spans="1:19" ht="10.5" customHeight="1">
      <c r="A110" s="494"/>
      <c r="B110" s="139"/>
      <c r="C110" s="140"/>
      <c r="D110" s="140"/>
      <c r="E110" s="140"/>
      <c r="F110" s="140"/>
      <c r="G110" s="182"/>
      <c r="H110" s="173"/>
      <c r="I110" s="140"/>
      <c r="J110" s="140"/>
      <c r="K110" s="136"/>
      <c r="L110" s="140"/>
      <c r="M110" s="140"/>
      <c r="N110" s="140"/>
      <c r="O110" s="495"/>
      <c r="P110" s="137"/>
      <c r="Q110" s="137"/>
      <c r="R110" s="137"/>
      <c r="S110" s="137"/>
    </row>
    <row r="111" spans="1:19" ht="19.5" customHeight="1">
      <c r="A111" s="494"/>
      <c r="B111" s="139" t="s">
        <v>1172</v>
      </c>
      <c r="C111" s="148" t="s">
        <v>2450</v>
      </c>
      <c r="D111" s="140"/>
      <c r="E111" s="140"/>
      <c r="F111" s="140"/>
      <c r="G111" s="182"/>
      <c r="H111" s="173"/>
      <c r="I111" s="136"/>
      <c r="J111" s="140"/>
      <c r="K111" s="4028"/>
      <c r="L111" s="4029"/>
      <c r="M111" s="4029"/>
      <c r="N111" s="4030"/>
      <c r="O111" s="495"/>
      <c r="P111" s="137"/>
      <c r="Q111" s="137"/>
      <c r="R111" s="137"/>
      <c r="S111" s="137"/>
    </row>
    <row r="112" spans="1:19" ht="10.5" customHeight="1">
      <c r="A112" s="494"/>
      <c r="B112" s="139"/>
      <c r="C112" s="140"/>
      <c r="D112" s="140"/>
      <c r="E112" s="140"/>
      <c r="F112" s="140"/>
      <c r="G112" s="182"/>
      <c r="H112" s="173"/>
      <c r="I112" s="140"/>
      <c r="J112" s="140"/>
      <c r="K112" s="136"/>
      <c r="L112" s="140"/>
      <c r="M112" s="140"/>
      <c r="N112" s="140"/>
      <c r="O112" s="495"/>
      <c r="P112" s="137"/>
      <c r="Q112" s="137"/>
      <c r="R112" s="137"/>
      <c r="S112" s="137"/>
    </row>
    <row r="113" spans="1:35" ht="19.5" customHeight="1">
      <c r="A113" s="494"/>
      <c r="B113" s="139" t="s">
        <v>1177</v>
      </c>
      <c r="C113" s="151" t="s">
        <v>2451</v>
      </c>
      <c r="D113" s="143"/>
      <c r="E113" s="143"/>
      <c r="F113" s="4044"/>
      <c r="G113" s="4045"/>
      <c r="H113" s="4045"/>
      <c r="I113" s="4045"/>
      <c r="J113" s="4045"/>
      <c r="K113" s="4046"/>
      <c r="L113" s="136"/>
      <c r="M113" s="153"/>
      <c r="N113" s="153"/>
      <c r="O113" s="495"/>
      <c r="P113" s="137"/>
      <c r="Q113" s="137"/>
      <c r="R113" s="137"/>
      <c r="S113" s="137"/>
    </row>
    <row r="114" spans="1:35" ht="24" customHeight="1">
      <c r="A114" s="494"/>
      <c r="B114" s="139"/>
      <c r="C114" s="4050" t="s">
        <v>2452</v>
      </c>
      <c r="D114" s="4050"/>
      <c r="E114" s="4050"/>
      <c r="F114" s="4050"/>
      <c r="G114" s="4050"/>
      <c r="H114" s="4050"/>
      <c r="I114" s="4050"/>
      <c r="J114" s="4050"/>
      <c r="K114" s="4050"/>
      <c r="L114" s="4050"/>
      <c r="M114" s="153"/>
      <c r="N114" s="153"/>
      <c r="O114" s="495"/>
      <c r="P114" s="137"/>
      <c r="Q114" s="137"/>
      <c r="R114" s="137"/>
      <c r="S114" s="137"/>
    </row>
    <row r="115" spans="1:35" ht="10.5" customHeight="1">
      <c r="A115" s="494"/>
      <c r="B115" s="154"/>
      <c r="C115" s="4050"/>
      <c r="D115" s="4050"/>
      <c r="E115" s="4050"/>
      <c r="F115" s="4050"/>
      <c r="G115" s="4050"/>
      <c r="H115" s="4050"/>
      <c r="I115" s="4050"/>
      <c r="J115" s="4050"/>
      <c r="K115" s="4050"/>
      <c r="L115" s="4050"/>
      <c r="M115" s="136"/>
      <c r="N115" s="179"/>
      <c r="O115" s="495"/>
      <c r="P115" s="137"/>
      <c r="Q115" s="137"/>
      <c r="R115" s="137"/>
      <c r="S115" s="137"/>
    </row>
    <row r="116" spans="1:35" ht="10.5" customHeight="1" thickBot="1">
      <c r="A116" s="510"/>
      <c r="B116" s="511"/>
      <c r="C116" s="512"/>
      <c r="D116" s="512"/>
      <c r="E116" s="512"/>
      <c r="F116" s="512"/>
      <c r="G116" s="512"/>
      <c r="H116" s="512"/>
      <c r="I116" s="512"/>
      <c r="J116" s="512"/>
      <c r="K116" s="512"/>
      <c r="L116" s="512"/>
      <c r="M116" s="512"/>
      <c r="N116" s="2381"/>
      <c r="O116" s="513"/>
      <c r="P116" s="137"/>
      <c r="Q116" s="137"/>
      <c r="R116" s="137"/>
      <c r="S116" s="137"/>
    </row>
    <row r="117" spans="1:35" ht="16.5">
      <c r="A117" s="154"/>
      <c r="B117" s="154"/>
      <c r="C117" s="136"/>
      <c r="D117" s="136"/>
      <c r="E117" s="136"/>
      <c r="F117" s="136"/>
      <c r="G117" s="136"/>
      <c r="H117" s="136"/>
      <c r="I117" s="136"/>
      <c r="J117" s="136"/>
      <c r="K117" s="136"/>
      <c r="L117" s="136"/>
      <c r="M117" s="136"/>
      <c r="N117" s="136"/>
      <c r="O117" s="137"/>
      <c r="P117" s="137"/>
      <c r="Q117" s="137"/>
      <c r="R117" s="12"/>
      <c r="S117" s="12"/>
      <c r="T117" s="66"/>
      <c r="U117" s="12"/>
      <c r="V117" s="66"/>
      <c r="W117" s="67"/>
      <c r="X117" s="68"/>
      <c r="Y117" s="68"/>
      <c r="Z117" s="12"/>
      <c r="AA117" s="69"/>
      <c r="AB117" s="12"/>
      <c r="AC117" s="75"/>
      <c r="AD117" s="74"/>
      <c r="AE117" s="1"/>
      <c r="AF117" s="1"/>
      <c r="AG117" s="23"/>
      <c r="AH117" s="1"/>
      <c r="AI117" s="12"/>
    </row>
    <row r="118" spans="1:35" ht="16.5">
      <c r="A118" s="154"/>
      <c r="B118" s="154"/>
      <c r="C118" s="136"/>
      <c r="D118" s="136"/>
      <c r="E118" s="136"/>
      <c r="F118" s="136"/>
      <c r="G118" s="136"/>
      <c r="H118" s="136"/>
      <c r="I118" s="136"/>
      <c r="J118" s="136"/>
      <c r="K118" s="136"/>
      <c r="L118" s="136"/>
      <c r="M118" s="136"/>
      <c r="N118" s="136"/>
      <c r="O118" s="137"/>
      <c r="P118" s="137"/>
      <c r="Q118" s="137"/>
      <c r="R118" s="12"/>
      <c r="S118" s="12"/>
      <c r="T118" s="66"/>
      <c r="U118" s="12"/>
      <c r="V118" s="70"/>
      <c r="W118" s="67"/>
      <c r="X118" s="68"/>
      <c r="Y118" s="68"/>
      <c r="Z118" s="12"/>
      <c r="AA118" s="69"/>
      <c r="AB118" s="12"/>
      <c r="AC118" s="75"/>
      <c r="AD118" s="74"/>
      <c r="AE118" s="1"/>
      <c r="AF118" s="1"/>
      <c r="AG118" s="23"/>
      <c r="AH118" s="1"/>
      <c r="AI118" s="12"/>
    </row>
    <row r="119" spans="1:35" ht="16.5">
      <c r="A119" s="154"/>
      <c r="B119" s="137"/>
      <c r="C119" s="137"/>
      <c r="D119" s="137"/>
      <c r="E119" s="137"/>
      <c r="F119" s="137"/>
      <c r="G119" s="137"/>
      <c r="H119" s="137"/>
      <c r="I119" s="137"/>
      <c r="J119" s="137"/>
      <c r="K119" s="137"/>
      <c r="L119" s="137"/>
      <c r="M119" s="137"/>
      <c r="N119" s="137"/>
      <c r="O119" s="137"/>
      <c r="P119" s="137"/>
      <c r="Q119" s="137"/>
      <c r="R119" s="12"/>
      <c r="S119" s="12"/>
      <c r="T119" s="66"/>
      <c r="U119" s="12"/>
      <c r="V119" s="70"/>
      <c r="W119" s="12"/>
      <c r="X119" s="68"/>
      <c r="Y119" s="68"/>
      <c r="Z119" s="12"/>
      <c r="AA119" s="69"/>
      <c r="AB119" s="12"/>
      <c r="AC119" s="75"/>
      <c r="AD119" s="1"/>
      <c r="AE119" s="1"/>
      <c r="AF119" s="1"/>
      <c r="AG119" s="1"/>
      <c r="AH119" s="1"/>
      <c r="AI119" s="12"/>
    </row>
    <row r="120" spans="1:35" ht="16.5">
      <c r="A120" s="154"/>
      <c r="B120" s="137"/>
      <c r="C120" s="137"/>
      <c r="D120" s="137"/>
      <c r="E120" s="137"/>
      <c r="F120" s="137"/>
      <c r="G120" s="137"/>
      <c r="H120" s="137"/>
      <c r="I120" s="137"/>
      <c r="J120" s="137"/>
      <c r="K120" s="137"/>
      <c r="L120" s="137"/>
      <c r="M120" s="137"/>
      <c r="N120" s="137"/>
      <c r="O120" s="137"/>
      <c r="P120" s="137"/>
      <c r="Q120" s="137"/>
      <c r="R120" s="12"/>
      <c r="S120" s="12"/>
      <c r="T120" s="66"/>
      <c r="U120" s="12"/>
      <c r="V120" s="70"/>
      <c r="W120" s="12"/>
      <c r="X120" s="68"/>
      <c r="Y120" s="12"/>
      <c r="Z120" s="12"/>
      <c r="AA120" s="69"/>
      <c r="AB120" s="12"/>
      <c r="AC120" s="75"/>
      <c r="AD120" s="1"/>
      <c r="AE120" s="1"/>
      <c r="AF120" s="1"/>
      <c r="AG120" s="1"/>
      <c r="AH120" s="1"/>
      <c r="AI120" s="12"/>
    </row>
    <row r="121" spans="1:35" ht="16.5">
      <c r="A121" s="154"/>
      <c r="B121" s="137"/>
      <c r="C121" s="137"/>
      <c r="D121" s="137"/>
      <c r="E121" s="137"/>
      <c r="F121" s="137"/>
      <c r="G121" s="137"/>
      <c r="H121" s="137"/>
      <c r="I121" s="137"/>
      <c r="J121" s="137"/>
      <c r="K121" s="137"/>
      <c r="L121" s="137"/>
      <c r="M121" s="137"/>
      <c r="N121" s="137"/>
      <c r="O121" s="137"/>
      <c r="P121" s="137"/>
      <c r="Q121" s="137"/>
      <c r="R121" s="12"/>
      <c r="S121" s="12"/>
      <c r="T121" s="66"/>
      <c r="U121" s="12"/>
      <c r="V121" s="70"/>
      <c r="W121" s="67"/>
      <c r="X121" s="68"/>
      <c r="Y121" s="12"/>
      <c r="Z121" s="12"/>
      <c r="AA121" s="69"/>
      <c r="AB121" s="12"/>
      <c r="AC121" s="12"/>
      <c r="AD121" s="12"/>
      <c r="AE121" s="12"/>
      <c r="AF121" s="12"/>
      <c r="AG121" s="12"/>
      <c r="AH121" s="12"/>
      <c r="AI121" s="12"/>
    </row>
    <row r="122" spans="1:35" ht="16.5">
      <c r="A122" s="154"/>
      <c r="B122" s="137"/>
      <c r="C122" s="137"/>
      <c r="D122" s="137"/>
      <c r="E122" s="137"/>
      <c r="F122" s="137"/>
      <c r="G122" s="137"/>
      <c r="H122" s="137"/>
      <c r="I122" s="137"/>
      <c r="J122" s="137"/>
      <c r="K122" s="137"/>
      <c r="L122" s="137"/>
      <c r="M122" s="137"/>
      <c r="N122" s="137"/>
      <c r="O122" s="137"/>
      <c r="P122" s="137"/>
      <c r="Q122" s="137"/>
      <c r="R122" s="12"/>
      <c r="S122" s="12"/>
      <c r="T122" s="66"/>
      <c r="U122" s="12"/>
      <c r="V122" s="70"/>
      <c r="W122" s="12"/>
      <c r="X122" s="68"/>
      <c r="Y122" s="12"/>
      <c r="Z122" s="12"/>
      <c r="AA122" s="69"/>
      <c r="AB122" s="12"/>
      <c r="AC122" s="12"/>
      <c r="AD122" s="12"/>
      <c r="AE122" s="12"/>
      <c r="AF122" s="12"/>
      <c r="AG122" s="12"/>
      <c r="AH122" s="12"/>
      <c r="AI122" s="12"/>
    </row>
    <row r="123" spans="1:35" ht="16.5">
      <c r="A123" s="137"/>
      <c r="B123" s="137"/>
      <c r="C123" s="137"/>
      <c r="D123" s="137"/>
      <c r="E123" s="137"/>
      <c r="F123" s="137"/>
      <c r="G123" s="137"/>
      <c r="H123" s="137"/>
      <c r="I123" s="137"/>
      <c r="J123" s="137"/>
      <c r="K123" s="137"/>
      <c r="L123" s="137"/>
      <c r="M123" s="137"/>
      <c r="N123" s="137"/>
      <c r="O123" s="137"/>
      <c r="P123" s="137"/>
      <c r="Q123" s="137"/>
      <c r="R123" s="65"/>
      <c r="S123" s="65"/>
      <c r="T123" s="65"/>
      <c r="U123" s="12"/>
      <c r="V123" s="70"/>
      <c r="W123" s="67"/>
      <c r="X123" s="68"/>
      <c r="Y123" s="12"/>
      <c r="Z123" s="12"/>
      <c r="AA123" s="69"/>
      <c r="AB123" s="12"/>
      <c r="AC123" s="12"/>
      <c r="AD123" s="12"/>
      <c r="AE123" s="12"/>
      <c r="AF123" s="12"/>
      <c r="AG123" s="12"/>
      <c r="AH123" s="12"/>
      <c r="AI123" s="12"/>
    </row>
    <row r="124" spans="1:35" ht="16.5">
      <c r="A124" s="137"/>
      <c r="B124" s="137"/>
      <c r="C124" s="137"/>
      <c r="D124" s="137"/>
      <c r="E124" s="137"/>
      <c r="F124" s="137"/>
      <c r="G124" s="137"/>
      <c r="H124" s="137"/>
      <c r="I124" s="137"/>
      <c r="J124" s="137"/>
      <c r="K124" s="137"/>
      <c r="L124" s="137"/>
      <c r="M124" s="137"/>
      <c r="N124" s="137"/>
      <c r="O124" s="137"/>
      <c r="P124" s="137"/>
      <c r="Q124" s="137"/>
      <c r="R124" s="12"/>
      <c r="S124" s="12"/>
      <c r="T124" s="12"/>
      <c r="U124" s="12"/>
      <c r="V124" s="70"/>
      <c r="W124" s="12"/>
      <c r="X124" s="68"/>
      <c r="Y124" s="12"/>
      <c r="Z124" s="12"/>
      <c r="AA124" s="69"/>
      <c r="AB124" s="12"/>
      <c r="AC124" s="12"/>
      <c r="AD124" s="12"/>
      <c r="AE124" s="12"/>
      <c r="AF124" s="12"/>
      <c r="AG124" s="12"/>
      <c r="AH124" s="12"/>
      <c r="AI124" s="12"/>
    </row>
    <row r="125" spans="1:35" ht="16.5">
      <c r="A125" s="137"/>
      <c r="B125" s="137"/>
      <c r="C125" s="137"/>
      <c r="D125" s="137"/>
      <c r="E125" s="137"/>
      <c r="F125" s="137"/>
      <c r="G125" s="137"/>
      <c r="H125" s="137"/>
      <c r="I125" s="137"/>
      <c r="J125" s="137"/>
      <c r="K125" s="137"/>
      <c r="L125" s="137"/>
      <c r="M125" s="137"/>
      <c r="N125" s="137"/>
      <c r="O125" s="137"/>
      <c r="P125" s="137"/>
      <c r="Q125" s="137"/>
      <c r="R125" s="12"/>
      <c r="S125" s="12"/>
      <c r="T125" s="12"/>
      <c r="U125" s="12"/>
      <c r="V125" s="70"/>
      <c r="W125" s="67"/>
      <c r="X125" s="68"/>
      <c r="Y125" s="12"/>
      <c r="Z125" s="12"/>
      <c r="AA125" s="12"/>
      <c r="AB125" s="12"/>
      <c r="AC125" s="12"/>
      <c r="AD125" s="12"/>
      <c r="AE125" s="12"/>
      <c r="AF125" s="12"/>
      <c r="AG125" s="12"/>
      <c r="AH125" s="12"/>
      <c r="AI125" s="12"/>
    </row>
    <row r="126" spans="1:35" ht="16.5">
      <c r="A126" s="137"/>
      <c r="B126" s="137"/>
      <c r="C126" s="137"/>
      <c r="D126" s="137"/>
      <c r="E126" s="137"/>
      <c r="F126" s="137"/>
      <c r="G126" s="137"/>
      <c r="H126" s="137"/>
      <c r="I126" s="137"/>
      <c r="J126" s="137"/>
      <c r="K126" s="137"/>
      <c r="L126" s="137"/>
      <c r="M126" s="137"/>
      <c r="N126" s="137"/>
      <c r="O126" s="137"/>
      <c r="P126" s="137"/>
      <c r="Q126" s="137"/>
      <c r="R126" s="12"/>
      <c r="S126" s="12"/>
      <c r="T126" s="12"/>
      <c r="U126" s="12"/>
      <c r="V126" s="70"/>
      <c r="W126" s="67"/>
      <c r="X126" s="68"/>
      <c r="Y126" s="12"/>
      <c r="Z126" s="12"/>
      <c r="AA126" s="12"/>
      <c r="AB126" s="12"/>
      <c r="AC126" s="12"/>
      <c r="AD126" s="12"/>
      <c r="AE126" s="12"/>
      <c r="AF126" s="12"/>
      <c r="AG126" s="12"/>
      <c r="AH126" s="12"/>
      <c r="AI126" s="12"/>
    </row>
    <row r="127" spans="1:35" ht="16.5">
      <c r="A127" s="137"/>
      <c r="B127" s="137"/>
      <c r="C127" s="137"/>
      <c r="D127" s="137"/>
      <c r="E127" s="137"/>
      <c r="F127" s="137"/>
      <c r="G127" s="137"/>
      <c r="H127" s="137"/>
      <c r="I127" s="137"/>
      <c r="J127" s="137"/>
      <c r="K127" s="137"/>
      <c r="L127" s="137"/>
      <c r="M127" s="137"/>
      <c r="N127" s="137"/>
      <c r="O127" s="137"/>
      <c r="P127" s="137"/>
      <c r="Q127" s="137"/>
      <c r="R127" s="12"/>
      <c r="S127" s="12"/>
      <c r="T127" s="12"/>
      <c r="U127" s="12"/>
      <c r="V127" s="70"/>
      <c r="W127" s="67"/>
      <c r="X127" s="68"/>
      <c r="Y127" s="12"/>
      <c r="Z127" s="12"/>
      <c r="AA127" s="12"/>
      <c r="AB127" s="12"/>
      <c r="AC127" s="12"/>
      <c r="AD127" s="12"/>
      <c r="AE127" s="12"/>
      <c r="AF127" s="12"/>
      <c r="AG127" s="12"/>
      <c r="AH127" s="12"/>
      <c r="AI127" s="12"/>
    </row>
    <row r="128" spans="1:35" ht="16.5">
      <c r="A128" s="137"/>
      <c r="B128" s="137"/>
      <c r="C128" s="137"/>
      <c r="D128" s="137"/>
      <c r="E128" s="137"/>
      <c r="F128" s="137"/>
      <c r="G128" s="137"/>
      <c r="H128" s="137"/>
      <c r="I128" s="137"/>
      <c r="J128" s="137"/>
      <c r="K128" s="137"/>
      <c r="L128" s="137"/>
      <c r="M128" s="137"/>
      <c r="N128" s="137"/>
      <c r="O128" s="137"/>
      <c r="P128" s="137"/>
      <c r="Q128" s="137"/>
      <c r="R128" s="12"/>
      <c r="S128" s="12"/>
      <c r="T128" s="12"/>
      <c r="U128" s="12"/>
      <c r="V128" s="70"/>
      <c r="W128" s="67"/>
      <c r="X128" s="12"/>
      <c r="Y128" s="12"/>
      <c r="Z128" s="12"/>
      <c r="AA128" s="12"/>
      <c r="AB128" s="12"/>
      <c r="AC128" s="12"/>
      <c r="AD128" s="12"/>
      <c r="AE128" s="12"/>
      <c r="AF128" s="12"/>
      <c r="AG128" s="12"/>
      <c r="AH128" s="12"/>
      <c r="AI128" s="12"/>
    </row>
    <row r="129" spans="1:35" ht="16.5">
      <c r="A129" s="137"/>
      <c r="B129" s="137"/>
      <c r="C129" s="137"/>
      <c r="D129" s="137"/>
      <c r="E129" s="137"/>
      <c r="F129" s="137"/>
      <c r="G129" s="137"/>
      <c r="H129" s="137"/>
      <c r="I129" s="137"/>
      <c r="J129" s="137"/>
      <c r="K129" s="137"/>
      <c r="L129" s="137"/>
      <c r="M129" s="137"/>
      <c r="N129" s="137"/>
      <c r="O129" s="137"/>
      <c r="P129" s="137"/>
      <c r="Q129" s="137"/>
      <c r="R129" s="12"/>
      <c r="S129" s="12"/>
      <c r="T129" s="12"/>
      <c r="U129" s="12"/>
      <c r="V129" s="70"/>
      <c r="W129" s="67"/>
      <c r="X129" s="12"/>
      <c r="Y129" s="12"/>
      <c r="Z129" s="12"/>
      <c r="AA129" s="12"/>
      <c r="AB129" s="12"/>
      <c r="AC129" s="12"/>
      <c r="AD129" s="12"/>
      <c r="AE129" s="12"/>
      <c r="AF129" s="12"/>
      <c r="AG129" s="12"/>
      <c r="AH129" s="12"/>
      <c r="AI129" s="12"/>
    </row>
    <row r="130" spans="1:35" ht="16.5">
      <c r="A130" s="137"/>
      <c r="B130" s="137"/>
      <c r="C130" s="137"/>
      <c r="D130" s="137"/>
      <c r="E130" s="137"/>
      <c r="F130" s="137"/>
      <c r="G130" s="137"/>
      <c r="H130" s="137"/>
      <c r="I130" s="137"/>
      <c r="J130" s="137"/>
      <c r="K130" s="137"/>
      <c r="L130" s="137"/>
      <c r="M130" s="137"/>
      <c r="N130" s="137"/>
      <c r="O130" s="137"/>
      <c r="P130" s="137"/>
      <c r="Q130" s="137"/>
      <c r="R130" s="12"/>
      <c r="S130" s="12"/>
      <c r="T130" s="12"/>
      <c r="U130" s="12"/>
      <c r="V130" s="70"/>
      <c r="W130" s="12"/>
      <c r="X130" s="12"/>
      <c r="Y130" s="12"/>
      <c r="Z130" s="12"/>
      <c r="AA130" s="12"/>
      <c r="AB130" s="12"/>
      <c r="AC130" s="12"/>
      <c r="AD130" s="12"/>
      <c r="AE130" s="12"/>
      <c r="AF130" s="12"/>
      <c r="AG130" s="12"/>
      <c r="AH130" s="12"/>
      <c r="AI130" s="12"/>
    </row>
    <row r="131" spans="1:35" ht="16.5">
      <c r="A131" s="137"/>
      <c r="B131" s="137"/>
      <c r="C131" s="137"/>
      <c r="D131" s="137"/>
      <c r="E131" s="137"/>
      <c r="F131" s="137"/>
      <c r="G131" s="137"/>
      <c r="H131" s="137"/>
      <c r="I131" s="137"/>
      <c r="J131" s="137"/>
      <c r="K131" s="137"/>
      <c r="L131" s="137"/>
      <c r="M131" s="137"/>
      <c r="N131" s="137"/>
      <c r="O131" s="137"/>
      <c r="P131" s="137"/>
      <c r="Q131" s="137"/>
      <c r="R131" s="12"/>
      <c r="S131" s="12"/>
      <c r="T131" s="12"/>
      <c r="U131" s="12"/>
      <c r="V131" s="70"/>
      <c r="W131" s="12"/>
      <c r="X131" s="12"/>
      <c r="Y131" s="12"/>
      <c r="Z131" s="12"/>
      <c r="AA131" s="12"/>
      <c r="AB131" s="12"/>
      <c r="AC131" s="12"/>
      <c r="AD131" s="12"/>
      <c r="AE131" s="12"/>
      <c r="AF131" s="12"/>
      <c r="AG131" s="12"/>
      <c r="AH131" s="12"/>
      <c r="AI131" s="12"/>
    </row>
    <row r="132" spans="1:35" ht="16.5">
      <c r="A132" s="137"/>
      <c r="B132" s="137"/>
      <c r="C132" s="137"/>
      <c r="D132" s="137"/>
      <c r="E132" s="137"/>
      <c r="F132" s="137"/>
      <c r="G132" s="137"/>
      <c r="H132" s="137"/>
      <c r="I132" s="137"/>
      <c r="J132" s="137"/>
      <c r="K132" s="137"/>
      <c r="L132" s="137"/>
      <c r="M132" s="137"/>
      <c r="N132" s="137"/>
      <c r="O132" s="137"/>
      <c r="P132" s="137"/>
      <c r="Q132" s="137"/>
      <c r="R132" s="12"/>
      <c r="S132" s="12"/>
      <c r="T132" s="12"/>
      <c r="U132" s="12"/>
      <c r="V132" s="70"/>
      <c r="W132" s="12"/>
      <c r="X132" s="12"/>
      <c r="Y132" s="12"/>
      <c r="Z132" s="12"/>
      <c r="AA132" s="12"/>
      <c r="AB132" s="12"/>
      <c r="AC132" s="12"/>
      <c r="AD132" s="12"/>
      <c r="AE132" s="12"/>
      <c r="AF132" s="12"/>
      <c r="AG132" s="12"/>
      <c r="AH132" s="12"/>
      <c r="AI132" s="12"/>
    </row>
    <row r="133" spans="1:35" ht="16.5">
      <c r="A133" s="137"/>
      <c r="B133" s="137"/>
      <c r="C133" s="137"/>
      <c r="D133" s="137"/>
      <c r="E133" s="137"/>
      <c r="F133" s="137"/>
      <c r="G133" s="137"/>
      <c r="H133" s="137"/>
      <c r="I133" s="137"/>
      <c r="J133" s="137"/>
      <c r="K133" s="137"/>
      <c r="L133" s="137"/>
      <c r="M133" s="137"/>
      <c r="N133" s="137"/>
      <c r="O133" s="137"/>
      <c r="P133" s="137"/>
      <c r="Q133" s="137"/>
      <c r="R133" s="12"/>
      <c r="S133" s="12"/>
      <c r="T133" s="12"/>
      <c r="U133" s="12"/>
      <c r="V133" s="70"/>
      <c r="W133" s="12"/>
      <c r="X133" s="12"/>
      <c r="Y133" s="12"/>
      <c r="Z133" s="12"/>
      <c r="AA133" s="12"/>
      <c r="AB133" s="12"/>
      <c r="AC133" s="12"/>
      <c r="AD133" s="12"/>
      <c r="AE133" s="12"/>
      <c r="AF133" s="12"/>
      <c r="AG133" s="12"/>
      <c r="AH133" s="12"/>
      <c r="AI133" s="12"/>
    </row>
    <row r="134" spans="1:35" ht="16.5">
      <c r="A134" s="137"/>
      <c r="B134" s="137"/>
      <c r="C134" s="137"/>
      <c r="D134" s="137"/>
      <c r="E134" s="137"/>
      <c r="F134" s="137"/>
      <c r="G134" s="137"/>
      <c r="H134" s="137"/>
      <c r="I134" s="137"/>
      <c r="J134" s="137"/>
      <c r="K134" s="137"/>
      <c r="L134" s="137"/>
      <c r="M134" s="137"/>
      <c r="N134" s="137"/>
      <c r="O134" s="137"/>
      <c r="P134" s="137"/>
      <c r="Q134" s="137"/>
      <c r="R134" s="12"/>
      <c r="S134" s="12"/>
      <c r="T134" s="12"/>
      <c r="U134" s="12"/>
      <c r="V134" s="70"/>
      <c r="W134" s="12"/>
      <c r="X134" s="12"/>
      <c r="Y134" s="12"/>
      <c r="Z134" s="12"/>
      <c r="AA134" s="12"/>
      <c r="AB134" s="12"/>
      <c r="AC134" s="12"/>
      <c r="AD134" s="12"/>
      <c r="AE134" s="12"/>
      <c r="AF134" s="12"/>
      <c r="AG134" s="12"/>
      <c r="AH134" s="12"/>
      <c r="AI134" s="12"/>
    </row>
    <row r="135" spans="1:35" ht="16.5">
      <c r="A135" s="137"/>
      <c r="B135" s="137"/>
      <c r="C135" s="137"/>
      <c r="D135" s="137"/>
      <c r="E135" s="137"/>
      <c r="F135" s="137"/>
      <c r="G135" s="137"/>
      <c r="H135" s="137"/>
      <c r="I135" s="137"/>
      <c r="J135" s="137"/>
      <c r="K135" s="137"/>
      <c r="L135" s="137"/>
      <c r="M135" s="137"/>
      <c r="N135" s="137"/>
      <c r="O135" s="137"/>
      <c r="P135" s="137"/>
      <c r="Q135" s="137"/>
      <c r="R135" s="12"/>
      <c r="S135" s="12"/>
      <c r="T135" s="12"/>
      <c r="U135" s="12"/>
      <c r="V135" s="70"/>
      <c r="W135" s="12"/>
      <c r="X135" s="12"/>
      <c r="Y135" s="12"/>
      <c r="Z135" s="12"/>
      <c r="AA135" s="12"/>
      <c r="AB135" s="12"/>
      <c r="AC135" s="12"/>
      <c r="AD135" s="12"/>
      <c r="AE135" s="12"/>
      <c r="AF135" s="12"/>
      <c r="AG135" s="12"/>
      <c r="AH135" s="12"/>
      <c r="AI135" s="12"/>
    </row>
    <row r="136" spans="1:35" ht="16.5">
      <c r="A136" s="137"/>
      <c r="B136" s="137"/>
      <c r="C136" s="137"/>
      <c r="D136" s="137"/>
      <c r="E136" s="137"/>
      <c r="F136" s="137"/>
      <c r="G136" s="137"/>
      <c r="H136" s="137"/>
      <c r="I136" s="137"/>
      <c r="J136" s="137"/>
      <c r="K136" s="137"/>
      <c r="L136" s="137"/>
      <c r="M136" s="137"/>
      <c r="N136" s="137"/>
      <c r="O136" s="137"/>
      <c r="P136" s="137"/>
      <c r="Q136" s="137"/>
      <c r="R136" s="12"/>
      <c r="S136" s="12"/>
      <c r="T136" s="12"/>
      <c r="U136" s="12"/>
      <c r="V136" s="70"/>
      <c r="W136" s="12"/>
      <c r="X136" s="12"/>
      <c r="Y136" s="12"/>
      <c r="Z136" s="12"/>
      <c r="AA136" s="12"/>
      <c r="AB136" s="12"/>
      <c r="AC136" s="12"/>
      <c r="AD136" s="12"/>
      <c r="AE136" s="12"/>
      <c r="AF136" s="12"/>
      <c r="AG136" s="12"/>
      <c r="AH136" s="12"/>
      <c r="AI136" s="12"/>
    </row>
    <row r="137" spans="1:35" ht="16.5">
      <c r="A137" s="137"/>
      <c r="B137" s="137"/>
      <c r="C137" s="137"/>
      <c r="D137" s="137"/>
      <c r="E137" s="137"/>
      <c r="F137" s="137"/>
      <c r="G137" s="137"/>
      <c r="H137" s="137"/>
      <c r="I137" s="137"/>
      <c r="J137" s="137"/>
      <c r="K137" s="137"/>
      <c r="L137" s="137"/>
      <c r="M137" s="137"/>
      <c r="N137" s="137"/>
      <c r="O137" s="137"/>
      <c r="P137" s="137"/>
      <c r="Q137" s="137"/>
      <c r="R137" s="12"/>
      <c r="S137" s="12"/>
      <c r="T137" s="12"/>
      <c r="U137" s="12"/>
      <c r="V137" s="70"/>
      <c r="W137" s="12"/>
      <c r="X137" s="12"/>
      <c r="Y137" s="12"/>
      <c r="Z137" s="12"/>
      <c r="AA137" s="12"/>
      <c r="AB137" s="12"/>
      <c r="AC137" s="12"/>
      <c r="AD137" s="12"/>
      <c r="AE137" s="12"/>
      <c r="AF137" s="12"/>
      <c r="AG137" s="12"/>
      <c r="AH137" s="12"/>
      <c r="AI137" s="12"/>
    </row>
    <row r="138" spans="1:35" ht="16.5">
      <c r="A138" s="137"/>
      <c r="B138" s="137"/>
      <c r="C138" s="137"/>
      <c r="D138" s="137"/>
      <c r="E138" s="137"/>
      <c r="F138" s="137"/>
      <c r="G138" s="137"/>
      <c r="H138" s="137"/>
      <c r="I138" s="137"/>
      <c r="J138" s="137"/>
      <c r="K138" s="137"/>
      <c r="L138" s="137"/>
      <c r="M138" s="137"/>
      <c r="N138" s="137"/>
      <c r="O138" s="137"/>
      <c r="P138" s="137"/>
      <c r="Q138" s="137"/>
      <c r="R138" s="12"/>
      <c r="S138" s="12"/>
      <c r="T138" s="12"/>
      <c r="U138" s="12"/>
      <c r="V138" s="70"/>
      <c r="W138" s="12"/>
      <c r="X138" s="12"/>
      <c r="Y138" s="12"/>
      <c r="Z138" s="12"/>
      <c r="AA138" s="12"/>
      <c r="AB138" s="12"/>
      <c r="AC138" s="12"/>
      <c r="AD138" s="12"/>
      <c r="AE138" s="12"/>
      <c r="AF138" s="12"/>
      <c r="AG138" s="12"/>
      <c r="AH138" s="12"/>
      <c r="AI138" s="12"/>
    </row>
    <row r="139" spans="1:35" ht="16.5">
      <c r="A139" s="137"/>
      <c r="P139" s="137"/>
      <c r="Q139" s="137"/>
      <c r="R139" s="12"/>
      <c r="S139" s="12"/>
      <c r="T139" s="12"/>
      <c r="U139" s="12"/>
      <c r="V139" s="70"/>
      <c r="W139" s="12"/>
      <c r="X139" s="12"/>
      <c r="Y139" s="12"/>
      <c r="Z139" s="12"/>
      <c r="AA139" s="12"/>
      <c r="AB139" s="12"/>
      <c r="AC139" s="12"/>
      <c r="AD139" s="12"/>
      <c r="AE139" s="12"/>
      <c r="AF139" s="12"/>
      <c r="AG139" s="12"/>
      <c r="AH139" s="12"/>
      <c r="AI139" s="12"/>
    </row>
    <row r="140" spans="1:35" ht="16.5">
      <c r="A140" s="137"/>
      <c r="P140" s="137"/>
      <c r="Q140" s="137"/>
      <c r="R140" s="12"/>
      <c r="S140" s="12"/>
      <c r="T140" s="12"/>
      <c r="U140" s="12"/>
      <c r="V140" s="70"/>
      <c r="W140" s="12"/>
      <c r="X140" s="12"/>
      <c r="Y140" s="12"/>
      <c r="Z140" s="12"/>
      <c r="AA140" s="12"/>
      <c r="AB140" s="12"/>
      <c r="AC140" s="12"/>
      <c r="AD140" s="12"/>
      <c r="AE140" s="12"/>
      <c r="AF140" s="12"/>
      <c r="AG140" s="12"/>
      <c r="AH140" s="12"/>
      <c r="AI140" s="12"/>
    </row>
    <row r="141" spans="1:35" ht="16.5">
      <c r="A141" s="137"/>
      <c r="P141" s="137"/>
      <c r="Q141" s="137"/>
      <c r="R141" s="12"/>
      <c r="S141" s="12"/>
      <c r="T141" s="12"/>
      <c r="U141" s="12"/>
      <c r="V141" s="70"/>
      <c r="W141" s="12"/>
      <c r="X141" s="12"/>
      <c r="Y141" s="12"/>
      <c r="Z141" s="12"/>
      <c r="AA141" s="12"/>
      <c r="AB141" s="12"/>
      <c r="AC141" s="12"/>
      <c r="AD141" s="12"/>
      <c r="AE141" s="12"/>
      <c r="AF141" s="12"/>
      <c r="AG141" s="12"/>
      <c r="AH141" s="12"/>
      <c r="AI141" s="12"/>
    </row>
    <row r="142" spans="1:35" ht="16.5">
      <c r="A142" s="137"/>
      <c r="P142" s="137"/>
      <c r="Q142" s="137"/>
      <c r="R142" s="12"/>
      <c r="S142" s="12"/>
      <c r="T142" s="12"/>
      <c r="U142" s="12"/>
      <c r="V142" s="70"/>
      <c r="W142" s="12"/>
      <c r="X142" s="12"/>
      <c r="Y142" s="12"/>
      <c r="Z142" s="12"/>
      <c r="AA142" s="12"/>
      <c r="AB142" s="12"/>
      <c r="AC142" s="12"/>
      <c r="AD142" s="12"/>
      <c r="AE142" s="12"/>
      <c r="AF142" s="12"/>
      <c r="AG142" s="12"/>
      <c r="AH142" s="12"/>
      <c r="AI142" s="12"/>
    </row>
    <row r="143" spans="1:35" ht="16.5">
      <c r="P143" s="137"/>
      <c r="Q143" s="137"/>
      <c r="R143" s="12"/>
      <c r="S143" s="12"/>
      <c r="T143" s="12"/>
      <c r="U143" s="12"/>
      <c r="V143" s="70"/>
      <c r="W143" s="12"/>
      <c r="X143" s="12"/>
      <c r="Y143" s="12"/>
      <c r="Z143" s="12"/>
      <c r="AA143" s="12"/>
      <c r="AB143" s="12"/>
      <c r="AC143" s="12"/>
      <c r="AD143" s="12"/>
      <c r="AE143" s="12"/>
      <c r="AF143" s="12"/>
      <c r="AG143" s="12"/>
      <c r="AH143" s="12"/>
      <c r="AI143" s="12"/>
    </row>
    <row r="144" spans="1:35" ht="16.5">
      <c r="P144" s="137"/>
      <c r="Q144" s="137"/>
      <c r="R144" s="12"/>
      <c r="S144" s="12"/>
      <c r="T144" s="12"/>
      <c r="U144" s="12"/>
      <c r="V144" s="70"/>
      <c r="W144" s="12"/>
      <c r="X144" s="65"/>
      <c r="Y144" s="65"/>
      <c r="Z144" s="65"/>
      <c r="AA144" s="65"/>
      <c r="AB144" s="65"/>
      <c r="AC144" s="65"/>
      <c r="AD144" s="65"/>
      <c r="AE144" s="65"/>
      <c r="AF144" s="65"/>
      <c r="AG144" s="65"/>
      <c r="AH144" s="65"/>
      <c r="AI144" s="65"/>
    </row>
    <row r="145" spans="16:35" ht="16.5">
      <c r="P145" s="137"/>
      <c r="Q145" s="137"/>
      <c r="R145" s="12"/>
      <c r="S145" s="12"/>
      <c r="T145" s="12"/>
      <c r="U145" s="12"/>
      <c r="V145" s="70"/>
      <c r="W145" s="12"/>
      <c r="X145" s="12"/>
      <c r="Y145" s="12"/>
      <c r="Z145" s="12"/>
      <c r="AA145" s="12"/>
      <c r="AB145" s="12"/>
      <c r="AC145" s="12"/>
      <c r="AD145" s="12"/>
      <c r="AE145" s="12"/>
      <c r="AF145" s="12"/>
      <c r="AG145" s="12"/>
      <c r="AH145" s="12"/>
      <c r="AI145" s="12"/>
    </row>
    <row r="146" spans="16:35" ht="16.5">
      <c r="P146" s="137"/>
      <c r="Q146" s="137"/>
      <c r="R146" s="12"/>
      <c r="S146" s="12"/>
      <c r="T146" s="12"/>
      <c r="U146" s="12"/>
      <c r="V146" s="70"/>
      <c r="W146" s="12"/>
      <c r="X146" s="12"/>
      <c r="Y146" s="12"/>
      <c r="Z146" s="12"/>
      <c r="AA146" s="12"/>
      <c r="AB146" s="12"/>
      <c r="AC146" s="12"/>
      <c r="AD146" s="12"/>
      <c r="AE146" s="12"/>
      <c r="AF146" s="12"/>
      <c r="AG146" s="12"/>
      <c r="AH146" s="12"/>
      <c r="AI146" s="12"/>
    </row>
    <row r="147" spans="16:35" ht="15">
      <c r="R147" s="12"/>
      <c r="S147" s="12"/>
      <c r="T147" s="12"/>
      <c r="U147" s="12"/>
      <c r="V147" s="70"/>
      <c r="W147" s="12"/>
      <c r="X147" s="12"/>
      <c r="Y147" s="12"/>
      <c r="Z147" s="12"/>
      <c r="AA147" s="12"/>
      <c r="AB147" s="12"/>
      <c r="AC147" s="12"/>
      <c r="AD147" s="12"/>
      <c r="AE147" s="12"/>
      <c r="AF147" s="12"/>
      <c r="AG147" s="12"/>
      <c r="AH147" s="12"/>
      <c r="AI147" s="12"/>
    </row>
  </sheetData>
  <sheetProtection sheet="1" objects="1" scenarios="1"/>
  <customSheetViews>
    <customSheetView guid="{D1431318-1DB8-4C45-813B-5A8065DFC797}" showPageBreaks="1" printArea="1" hiddenRows="1" view="pageBreakPreview">
      <selection activeCell="M66" sqref="M66"/>
      <rowBreaks count="2" manualBreakCount="2">
        <brk id="41" max="13" man="1"/>
        <brk id="79" max="16383" man="1"/>
      </rowBreaks>
      <pageMargins left="0" right="0" top="0" bottom="0" header="0" footer="0"/>
      <pageSetup fitToHeight="4" orientation="portrait" blackAndWhite="1" r:id="rId1"/>
      <headerFooter alignWithMargins="0"/>
    </customSheetView>
  </customSheetViews>
  <mergeCells count="60">
    <mergeCell ref="E87:G87"/>
    <mergeCell ref="A6:O6"/>
    <mergeCell ref="C26:D26"/>
    <mergeCell ref="L30:N36"/>
    <mergeCell ref="C40:D40"/>
    <mergeCell ref="H55:I55"/>
    <mergeCell ref="C55:D55"/>
    <mergeCell ref="C62:N62"/>
    <mergeCell ref="C83:H83"/>
    <mergeCell ref="E85:G85"/>
    <mergeCell ref="C59:G59"/>
    <mergeCell ref="C50:G50"/>
    <mergeCell ref="H64:I64"/>
    <mergeCell ref="H76:I76"/>
    <mergeCell ref="C68:G68"/>
    <mergeCell ref="A72:O72"/>
    <mergeCell ref="C82:H82"/>
    <mergeCell ref="H74:I74"/>
    <mergeCell ref="L74:M74"/>
    <mergeCell ref="H78:I78"/>
    <mergeCell ref="C85:D85"/>
    <mergeCell ref="E1:K1"/>
    <mergeCell ref="A28:O28"/>
    <mergeCell ref="H46:I46"/>
    <mergeCell ref="A19:O19"/>
    <mergeCell ref="A20:N21"/>
    <mergeCell ref="C8:J8"/>
    <mergeCell ref="G13:N15"/>
    <mergeCell ref="I22:J22"/>
    <mergeCell ref="A18:N18"/>
    <mergeCell ref="I26:J26"/>
    <mergeCell ref="L45:N51"/>
    <mergeCell ref="C46:D46"/>
    <mergeCell ref="I40:J40"/>
    <mergeCell ref="H32:I32"/>
    <mergeCell ref="C36:G36"/>
    <mergeCell ref="I4:J4"/>
    <mergeCell ref="C114:L115"/>
    <mergeCell ref="F98:G98"/>
    <mergeCell ref="C93:E93"/>
    <mergeCell ref="F113:K113"/>
    <mergeCell ref="F93:G93"/>
    <mergeCell ref="C107:H107"/>
    <mergeCell ref="C98:E98"/>
    <mergeCell ref="X74:Y74"/>
    <mergeCell ref="S78:T78"/>
    <mergeCell ref="I107:M107"/>
    <mergeCell ref="A103:O103"/>
    <mergeCell ref="K111:N111"/>
    <mergeCell ref="J98:M99"/>
    <mergeCell ref="U80:V80"/>
    <mergeCell ref="K76:O76"/>
    <mergeCell ref="K77:O78"/>
    <mergeCell ref="M101:N101"/>
    <mergeCell ref="C89:D89"/>
    <mergeCell ref="E91:G91"/>
    <mergeCell ref="E89:G89"/>
    <mergeCell ref="C91:D91"/>
    <mergeCell ref="C87:D87"/>
    <mergeCell ref="A80:O80"/>
  </mergeCells>
  <phoneticPr fontId="26" type="noConversion"/>
  <dataValidations count="10">
    <dataValidation type="list" allowBlank="1" showInputMessage="1" sqref="H76:I76" xr:uid="{00000000-0002-0000-2600-000000000000}">
      <formula1>Slope</formula1>
    </dataValidation>
    <dataValidation type="list" allowBlank="1" showInputMessage="1" showErrorMessage="1" sqref="E87:G87" xr:uid="{00000000-0002-0000-2600-000001000000}">
      <formula1>StructureShape</formula1>
    </dataValidation>
    <dataValidation type="list" allowBlank="1" showInputMessage="1" showErrorMessage="1" sqref="E89:G89" xr:uid="{00000000-0002-0000-2600-000002000000}">
      <formula1>StructureGrade</formula1>
    </dataValidation>
    <dataValidation type="list" allowBlank="1" showInputMessage="1" showErrorMessage="1" sqref="E91:G91" xr:uid="{00000000-0002-0000-2600-000003000000}">
      <formula1>StructureConsistence</formula1>
    </dataValidation>
    <dataValidation type="list" allowBlank="1" showInputMessage="1" showErrorMessage="1" sqref="F93:G93 M101:N101" xr:uid="{00000000-0002-0000-2600-000004000000}">
      <formula1>SHLR</formula1>
    </dataValidation>
    <dataValidation type="list" allowBlank="1" showInputMessage="1" showErrorMessage="1" sqref="I107:M107" xr:uid="{00000000-0002-0000-2600-000005000000}">
      <formula1>STA</formula1>
    </dataValidation>
    <dataValidation type="list" allowBlank="1" showInputMessage="1" showErrorMessage="1" sqref="F113:K113" xr:uid="{00000000-0002-0000-2600-000006000000}">
      <formula1>DistType</formula1>
    </dataValidation>
    <dataValidation type="list" allowBlank="1" showInputMessage="1" showErrorMessage="1" sqref="H78:I78" xr:uid="{00000000-0002-0000-2600-000007000000}">
      <formula1>Slope</formula1>
    </dataValidation>
    <dataValidation type="list" allowBlank="1" showInputMessage="1" showErrorMessage="1" sqref="E85:G85" xr:uid="{00000000-0002-0000-2600-000008000000}">
      <formula1>SoilTexture7080</formula1>
    </dataValidation>
    <dataValidation type="list" allowBlank="1" showInputMessage="1" showErrorMessage="1" sqref="H36 H59 H50" xr:uid="{00000000-0002-0000-2600-000009000000}">
      <formula1>EffScreen</formula1>
    </dataValidation>
  </dataValidations>
  <pageMargins left="0.25" right="0.25" top="0.42" bottom="0.42" header="0.17" footer="0.5"/>
  <pageSetup fitToHeight="4" orientation="portrait" blackAndWhite="1" r:id="rId2"/>
  <headerFooter alignWithMargins="0"/>
  <rowBreaks count="2" manualBreakCount="2">
    <brk id="41" max="13" man="1"/>
    <brk id="7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39285" r:id="rId5" name="Check Box 373">
              <controlPr defaultSize="0" autoFill="0" autoLine="0" autoPict="0">
                <anchor moveWithCells="1">
                  <from>
                    <xdr:col>5</xdr:col>
                    <xdr:colOff>85725</xdr:colOff>
                    <xdr:row>37</xdr:row>
                    <xdr:rowOff>0</xdr:rowOff>
                  </from>
                  <to>
                    <xdr:col>6</xdr:col>
                    <xdr:colOff>142875</xdr:colOff>
                    <xdr:row>38</xdr:row>
                    <xdr:rowOff>9525</xdr:rowOff>
                  </to>
                </anchor>
              </controlPr>
            </control>
          </mc:Choice>
        </mc:AlternateContent>
        <mc:AlternateContent xmlns:mc="http://schemas.openxmlformats.org/markup-compatibility/2006">
          <mc:Choice Requires="x14">
            <control shapeId="39286" r:id="rId6" name="Check Box 374">
              <controlPr defaultSize="0" autoFill="0" autoLine="0" autoPict="0">
                <anchor moveWithCells="1">
                  <from>
                    <xdr:col>6</xdr:col>
                    <xdr:colOff>266700</xdr:colOff>
                    <xdr:row>37</xdr:row>
                    <xdr:rowOff>0</xdr:rowOff>
                  </from>
                  <to>
                    <xdr:col>7</xdr:col>
                    <xdr:colOff>219075</xdr:colOff>
                    <xdr:row>38</xdr:row>
                    <xdr:rowOff>28575</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5">
    <tabColor rgb="FF66FF33"/>
  </sheetPr>
  <dimension ref="A1:AS143"/>
  <sheetViews>
    <sheetView showGridLines="0" showZeros="0" view="pageBreakPreview" zoomScaleNormal="100" zoomScaleSheetLayoutView="100" workbookViewId="0">
      <selection activeCell="G4" sqref="G4"/>
    </sheetView>
  </sheetViews>
  <sheetFormatPr defaultColWidth="8.85546875" defaultRowHeight="12.75"/>
  <cols>
    <col min="1" max="1" width="3.140625" customWidth="1"/>
    <col min="2" max="2" width="11.42578125" customWidth="1"/>
    <col min="3" max="3" width="13.42578125" customWidth="1"/>
    <col min="4" max="9" width="11.42578125" customWidth="1"/>
  </cols>
  <sheetData>
    <row r="1" spans="1:45" ht="54.95" customHeight="1">
      <c r="B1" s="322"/>
      <c r="D1" s="4113" t="s">
        <v>2453</v>
      </c>
      <c r="E1" s="4113"/>
      <c r="F1" s="4113"/>
      <c r="G1" s="342"/>
      <c r="H1" s="342"/>
      <c r="I1" s="343"/>
      <c r="J1" s="183"/>
      <c r="K1" s="183"/>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184"/>
      <c r="AL1" s="184"/>
      <c r="AM1" s="184"/>
      <c r="AN1" s="184"/>
      <c r="AO1" s="184"/>
      <c r="AP1" s="184"/>
      <c r="AQ1" s="184"/>
      <c r="AR1" s="184"/>
      <c r="AS1" s="184"/>
    </row>
    <row r="2" spans="1:45" ht="18" customHeight="1">
      <c r="A2" s="456" t="s">
        <v>1011</v>
      </c>
      <c r="B2" s="457" t="s">
        <v>2454</v>
      </c>
      <c r="C2" s="458"/>
      <c r="D2" s="3414" t="s">
        <v>1164</v>
      </c>
      <c r="E2" s="3414"/>
      <c r="F2" s="3415" t="str">
        <f>IF(ISBLANK('Design Details &amp; Summary'!S3)," ",'Design Details &amp; Summary'!S3)</f>
        <v xml:space="preserve"> </v>
      </c>
      <c r="G2" s="3415"/>
      <c r="H2" s="458"/>
      <c r="I2" s="706" t="str">
        <f>'Drop-Down Lists'!A2</f>
        <v>v 05.01.2026</v>
      </c>
      <c r="J2" s="3940"/>
      <c r="K2" s="3940"/>
      <c r="L2" s="3940"/>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row>
    <row r="3" spans="1:45" ht="10.5" customHeight="1">
      <c r="A3" s="186"/>
      <c r="B3" s="187"/>
      <c r="C3" s="188"/>
      <c r="D3" s="187"/>
      <c r="E3" s="188"/>
      <c r="F3" s="187"/>
      <c r="G3" s="187"/>
      <c r="H3" s="187"/>
      <c r="I3" s="189"/>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row>
    <row r="4" spans="1:45" ht="19.5" customHeight="1">
      <c r="A4" s="230" t="s">
        <v>475</v>
      </c>
      <c r="B4" s="297" t="s">
        <v>2660</v>
      </c>
      <c r="C4" s="226"/>
      <c r="D4" s="226"/>
      <c r="E4" s="226"/>
      <c r="G4" s="728"/>
      <c r="H4" s="185"/>
      <c r="I4" s="191"/>
      <c r="J4" s="185"/>
      <c r="K4" s="291"/>
      <c r="L4" s="291"/>
      <c r="M4" s="291"/>
      <c r="N4" s="291"/>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row>
    <row r="5" spans="1:45" ht="10.5" customHeight="1">
      <c r="A5" s="190"/>
      <c r="B5" s="192"/>
      <c r="C5" s="185"/>
      <c r="D5" s="185"/>
      <c r="E5" s="185"/>
      <c r="F5" s="185"/>
      <c r="G5" s="185"/>
      <c r="H5" s="185"/>
      <c r="I5" s="191"/>
      <c r="J5" s="185"/>
      <c r="K5" s="292"/>
      <c r="L5" s="292"/>
      <c r="M5" s="292"/>
      <c r="N5" s="292"/>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5"/>
    </row>
    <row r="6" spans="1:45" ht="18" customHeight="1">
      <c r="A6" s="190" t="s">
        <v>481</v>
      </c>
      <c r="B6" s="192" t="s">
        <v>2455</v>
      </c>
      <c r="C6" s="185"/>
      <c r="D6" s="197"/>
      <c r="E6" s="185"/>
      <c r="F6" s="197"/>
      <c r="G6" s="185"/>
      <c r="H6" s="185"/>
      <c r="I6" s="191"/>
      <c r="J6" s="185"/>
      <c r="K6" s="292"/>
      <c r="L6" s="292"/>
      <c r="M6" s="292"/>
      <c r="N6" s="292"/>
      <c r="O6" s="185"/>
      <c r="P6" s="185"/>
      <c r="Q6" s="185"/>
      <c r="R6" s="185"/>
      <c r="S6" s="185"/>
      <c r="T6" s="185"/>
      <c r="U6" s="185"/>
      <c r="V6" s="185"/>
      <c r="W6" s="185"/>
      <c r="X6" s="185"/>
      <c r="Y6" s="185"/>
      <c r="Z6" s="185"/>
      <c r="AA6" s="185"/>
      <c r="AB6" s="185"/>
      <c r="AC6" s="185"/>
      <c r="AD6" s="185"/>
      <c r="AE6" s="185"/>
      <c r="AF6" s="185"/>
      <c r="AG6" s="185"/>
      <c r="AH6" s="185"/>
      <c r="AI6" s="185"/>
      <c r="AJ6" s="185"/>
      <c r="AK6" s="185"/>
      <c r="AL6" s="185"/>
      <c r="AM6" s="185"/>
      <c r="AN6" s="185"/>
      <c r="AO6" s="185"/>
      <c r="AP6" s="185"/>
      <c r="AQ6" s="185"/>
      <c r="AR6" s="185"/>
      <c r="AS6" s="185"/>
    </row>
    <row r="7" spans="1:45" ht="10.5" customHeight="1">
      <c r="A7" s="193"/>
      <c r="B7" s="194"/>
      <c r="C7" s="195"/>
      <c r="D7" s="194"/>
      <c r="E7" s="194"/>
      <c r="F7" s="194"/>
      <c r="G7" s="194"/>
      <c r="H7" s="195"/>
      <c r="I7" s="196"/>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row>
    <row r="8" spans="1:45" ht="18" customHeight="1">
      <c r="A8" s="456" t="s">
        <v>1019</v>
      </c>
      <c r="B8" s="457" t="s">
        <v>2456</v>
      </c>
      <c r="C8" s="457"/>
      <c r="D8" s="457"/>
      <c r="E8" s="458"/>
      <c r="F8" s="458"/>
      <c r="G8" s="460"/>
      <c r="H8" s="458"/>
      <c r="I8" s="459"/>
      <c r="J8" s="185"/>
      <c r="K8" s="197"/>
      <c r="L8" s="197"/>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row>
    <row r="9" spans="1:45" ht="18" customHeight="1">
      <c r="A9" s="198"/>
      <c r="B9" s="185" t="s">
        <v>2457</v>
      </c>
      <c r="C9" s="185"/>
      <c r="D9" s="185"/>
      <c r="E9" s="197"/>
      <c r="F9" s="185"/>
      <c r="G9" s="185"/>
      <c r="H9" s="185"/>
      <c r="I9" s="191"/>
      <c r="J9" s="185"/>
      <c r="K9" s="197"/>
      <c r="L9" s="197"/>
      <c r="M9" s="185"/>
      <c r="N9" s="185"/>
      <c r="O9" s="185"/>
      <c r="P9" s="185"/>
      <c r="Q9" s="185"/>
      <c r="R9" s="185"/>
      <c r="S9" s="185"/>
      <c r="T9" s="185"/>
      <c r="U9" s="185"/>
      <c r="V9" s="185"/>
      <c r="W9" s="185"/>
      <c r="X9" s="185"/>
      <c r="Y9" s="185"/>
      <c r="Z9" s="185"/>
      <c r="AA9" s="185"/>
      <c r="AB9" s="185"/>
      <c r="AC9" s="185"/>
      <c r="AD9" s="185"/>
      <c r="AE9" s="185"/>
      <c r="AF9" s="185"/>
      <c r="AG9" s="185"/>
      <c r="AH9" s="185"/>
      <c r="AI9" s="185"/>
      <c r="AJ9" s="185"/>
      <c r="AK9" s="185"/>
      <c r="AL9" s="185"/>
      <c r="AM9" s="185"/>
      <c r="AN9" s="185"/>
      <c r="AO9" s="185"/>
      <c r="AP9" s="185"/>
      <c r="AQ9" s="185"/>
      <c r="AR9" s="185"/>
      <c r="AS9" s="185"/>
    </row>
    <row r="10" spans="1:45" ht="18" customHeight="1">
      <c r="A10" s="198"/>
      <c r="B10" s="199" t="s">
        <v>2458</v>
      </c>
      <c r="C10" s="197"/>
      <c r="D10" s="197"/>
      <c r="E10" s="197"/>
      <c r="F10" s="197"/>
      <c r="G10" s="197"/>
      <c r="H10" s="197"/>
      <c r="I10" s="200"/>
      <c r="J10" s="201"/>
      <c r="K10" s="4123"/>
      <c r="L10" s="4123"/>
      <c r="M10" s="185"/>
      <c r="N10" s="185"/>
      <c r="O10" s="185"/>
      <c r="P10" s="185"/>
      <c r="Q10" s="185"/>
      <c r="R10" s="185"/>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row>
    <row r="11" spans="1:45" ht="10.5" customHeight="1">
      <c r="A11" s="198"/>
      <c r="B11" s="199"/>
      <c r="C11" s="197"/>
      <c r="D11" s="197"/>
      <c r="E11" s="197"/>
      <c r="F11" s="197"/>
      <c r="G11" s="197"/>
      <c r="H11" s="197"/>
      <c r="I11" s="200"/>
      <c r="J11" s="4124"/>
      <c r="K11" s="4125"/>
      <c r="L11" s="4125"/>
      <c r="M11" s="185"/>
      <c r="N11" s="185"/>
      <c r="O11" s="185"/>
      <c r="P11" s="185"/>
      <c r="Q11" s="185"/>
      <c r="R11" s="185"/>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row>
    <row r="12" spans="1:45" ht="19.5" customHeight="1">
      <c r="A12" s="186"/>
      <c r="B12" s="600">
        <f>G4</f>
        <v>0</v>
      </c>
      <c r="C12" s="336" t="s">
        <v>2459</v>
      </c>
      <c r="D12" s="728"/>
      <c r="E12" s="224" t="s">
        <v>2460</v>
      </c>
      <c r="F12" s="601" t="str">
        <f>IF(ISBLANK(D12),"",B12*D12)</f>
        <v/>
      </c>
      <c r="G12" s="224" t="s">
        <v>1002</v>
      </c>
      <c r="I12" s="191"/>
      <c r="J12" s="202"/>
      <c r="K12" s="203"/>
      <c r="L12" s="203"/>
      <c r="M12" s="185"/>
      <c r="N12" s="185"/>
      <c r="O12" s="204"/>
      <c r="P12" s="204"/>
      <c r="Q12" s="204"/>
      <c r="R12" s="204"/>
      <c r="S12" s="204"/>
      <c r="T12" s="204"/>
      <c r="U12" s="204"/>
      <c r="V12" s="204"/>
      <c r="W12" s="185"/>
      <c r="X12" s="205"/>
      <c r="Y12" s="206"/>
      <c r="Z12" s="206"/>
      <c r="AA12" s="207"/>
      <c r="AB12" s="207"/>
      <c r="AC12" s="207"/>
      <c r="AD12" s="207"/>
      <c r="AE12" s="207"/>
      <c r="AF12" s="205"/>
      <c r="AG12" s="205"/>
      <c r="AH12" s="205"/>
      <c r="AI12" s="205"/>
      <c r="AJ12" s="205"/>
      <c r="AK12" s="205"/>
      <c r="AL12" s="205"/>
      <c r="AM12" s="205"/>
      <c r="AN12" s="205"/>
      <c r="AO12" s="205"/>
      <c r="AP12" s="205"/>
      <c r="AQ12" s="205"/>
      <c r="AR12" s="205"/>
      <c r="AS12" s="205"/>
    </row>
    <row r="13" spans="1:45" ht="10.5" customHeight="1">
      <c r="A13" s="198"/>
      <c r="B13" s="208"/>
      <c r="C13" s="197"/>
      <c r="D13" s="197"/>
      <c r="E13" s="197"/>
      <c r="F13" s="197"/>
      <c r="G13" s="197"/>
      <c r="H13" s="197"/>
      <c r="I13" s="200"/>
      <c r="J13" s="202"/>
      <c r="K13" s="203"/>
      <c r="L13" s="197"/>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5"/>
      <c r="AP13" s="185"/>
      <c r="AQ13" s="185"/>
      <c r="AR13" s="185"/>
      <c r="AS13" s="185"/>
    </row>
    <row r="14" spans="1:45" ht="18" customHeight="1">
      <c r="A14" s="456" t="s">
        <v>1168</v>
      </c>
      <c r="B14" s="457" t="s">
        <v>2461</v>
      </c>
      <c r="C14" s="458"/>
      <c r="D14" s="458"/>
      <c r="E14" s="458"/>
      <c r="F14" s="458"/>
      <c r="G14" s="458"/>
      <c r="H14" s="460"/>
      <c r="I14" s="461"/>
      <c r="J14" s="209"/>
      <c r="K14" s="203"/>
      <c r="L14" s="197"/>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5"/>
      <c r="AS14" s="185"/>
    </row>
    <row r="15" spans="1:45" ht="10.5" customHeight="1">
      <c r="A15" s="186"/>
      <c r="B15" s="187"/>
      <c r="C15" s="188"/>
      <c r="D15" s="187"/>
      <c r="E15" s="188"/>
      <c r="F15" s="187"/>
      <c r="G15" s="187"/>
      <c r="H15" s="187"/>
      <c r="I15" s="189"/>
      <c r="J15" s="202"/>
      <c r="K15" s="203"/>
      <c r="L15" s="197"/>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row>
    <row r="16" spans="1:45" ht="19.5" customHeight="1">
      <c r="A16" s="230" t="s">
        <v>475</v>
      </c>
      <c r="B16" s="224" t="s">
        <v>2462</v>
      </c>
      <c r="C16" s="185"/>
      <c r="E16" s="729"/>
      <c r="F16" s="224" t="s">
        <v>675</v>
      </c>
      <c r="G16" s="185"/>
      <c r="H16" s="185"/>
      <c r="I16" s="210"/>
      <c r="J16" s="209"/>
      <c r="K16" s="203"/>
      <c r="L16" s="197"/>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row>
    <row r="17" spans="1:45" ht="18" customHeight="1">
      <c r="A17" s="190"/>
      <c r="B17" s="211" t="s">
        <v>2463</v>
      </c>
      <c r="C17" s="185"/>
      <c r="D17" s="185"/>
      <c r="E17" s="185"/>
      <c r="F17" s="185"/>
      <c r="G17" s="185"/>
      <c r="H17" s="185"/>
      <c r="I17" s="191"/>
      <c r="J17" s="209"/>
      <c r="K17" s="203"/>
      <c r="L17" s="197"/>
      <c r="M17" s="185"/>
      <c r="N17" s="185"/>
      <c r="O17" s="185"/>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row>
    <row r="18" spans="1:45" ht="10.5" customHeight="1">
      <c r="A18" s="190"/>
      <c r="B18" s="192"/>
      <c r="C18" s="185"/>
      <c r="D18" s="185"/>
      <c r="E18" s="185"/>
      <c r="F18" s="185"/>
      <c r="G18" s="185"/>
      <c r="H18" s="185"/>
      <c r="I18" s="191"/>
      <c r="J18" s="209"/>
      <c r="K18" s="203"/>
      <c r="L18" s="203"/>
      <c r="M18" s="185"/>
      <c r="N18" s="185"/>
      <c r="O18" s="185"/>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row>
    <row r="19" spans="1:45" ht="18" customHeight="1">
      <c r="A19" s="190" t="s">
        <v>481</v>
      </c>
      <c r="B19" s="185" t="s">
        <v>2464</v>
      </c>
      <c r="C19" s="185"/>
      <c r="D19" s="185"/>
      <c r="E19" s="185"/>
      <c r="F19" s="185"/>
      <c r="G19" s="185"/>
      <c r="H19" s="185"/>
      <c r="I19" s="191"/>
      <c r="J19" s="209"/>
      <c r="K19" s="203"/>
      <c r="L19" s="203"/>
      <c r="M19" s="185"/>
      <c r="N19" s="185"/>
      <c r="O19" s="185"/>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row>
    <row r="20" spans="1:45" ht="10.5" customHeight="1">
      <c r="A20" s="190"/>
      <c r="B20" s="185"/>
      <c r="C20" s="185"/>
      <c r="D20" s="185"/>
      <c r="E20" s="185"/>
      <c r="F20" s="185"/>
      <c r="G20" s="185"/>
      <c r="H20" s="185"/>
      <c r="I20" s="191"/>
      <c r="J20" s="209"/>
      <c r="K20" s="203"/>
      <c r="L20" s="203"/>
      <c r="M20" s="185"/>
      <c r="N20" s="185"/>
      <c r="O20" s="185"/>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row>
    <row r="21" spans="1:45" ht="19.5" customHeight="1">
      <c r="A21" s="190"/>
      <c r="B21" s="601" t="str">
        <f>IF(ISBLANK(G4),"",G4)</f>
        <v/>
      </c>
      <c r="C21" s="336" t="s">
        <v>2465</v>
      </c>
      <c r="D21" s="601" t="str">
        <f>IF(ISBLANK(E16),"",E16)</f>
        <v/>
      </c>
      <c r="E21" s="224" t="s">
        <v>2466</v>
      </c>
      <c r="F21" s="601" t="str">
        <f>IF(ISBLANK(E16),"",B21/D21)</f>
        <v/>
      </c>
      <c r="G21" s="224" t="s">
        <v>1089</v>
      </c>
      <c r="I21" s="191"/>
      <c r="J21" s="209"/>
      <c r="K21" s="203"/>
      <c r="L21" s="203"/>
      <c r="M21" s="185"/>
      <c r="N21" s="185"/>
      <c r="O21" s="185"/>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row>
    <row r="22" spans="1:45" ht="10.5" customHeight="1">
      <c r="A22" s="190"/>
      <c r="B22" s="197"/>
      <c r="C22" s="185"/>
      <c r="D22" s="197"/>
      <c r="E22" s="185"/>
      <c r="F22" s="197"/>
      <c r="G22" s="197"/>
      <c r="H22" s="185"/>
      <c r="I22" s="191"/>
      <c r="J22" s="209"/>
      <c r="K22" s="203"/>
      <c r="L22" s="203"/>
      <c r="M22" s="185"/>
      <c r="N22" s="185"/>
      <c r="O22" s="185"/>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row>
    <row r="23" spans="1:45" ht="18" customHeight="1">
      <c r="A23" s="190" t="s">
        <v>487</v>
      </c>
      <c r="B23" s="185" t="s">
        <v>2467</v>
      </c>
      <c r="C23" s="185"/>
      <c r="D23" s="185"/>
      <c r="E23" s="185"/>
      <c r="F23" s="185"/>
      <c r="G23" s="185"/>
      <c r="H23" s="185"/>
      <c r="I23" s="191"/>
      <c r="J23" s="209"/>
      <c r="K23" s="213"/>
      <c r="L23" s="203"/>
      <c r="M23" s="185"/>
      <c r="N23" s="3941"/>
      <c r="O23" s="4114"/>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row>
    <row r="24" spans="1:45" ht="18" customHeight="1">
      <c r="A24" s="190" t="s">
        <v>2468</v>
      </c>
      <c r="B24" s="3943" t="s">
        <v>2469</v>
      </c>
      <c r="C24" s="3449"/>
      <c r="D24" s="3449"/>
      <c r="E24" s="3449"/>
      <c r="F24" s="3449"/>
      <c r="G24" s="3449"/>
      <c r="H24" s="3449"/>
      <c r="I24" s="4122"/>
      <c r="J24" s="209"/>
      <c r="K24" s="213"/>
      <c r="L24" s="203"/>
      <c r="M24" s="185"/>
      <c r="N24" s="214"/>
      <c r="O24" s="215"/>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row>
    <row r="25" spans="1:45" ht="10.5" customHeight="1">
      <c r="A25" s="190"/>
      <c r="B25" s="293"/>
      <c r="C25" s="293"/>
      <c r="D25" s="293"/>
      <c r="E25" s="293"/>
      <c r="F25" s="293"/>
      <c r="G25" s="293"/>
      <c r="H25" s="293"/>
      <c r="I25" s="290"/>
      <c r="J25" s="209"/>
      <c r="K25" s="213"/>
      <c r="L25" s="203"/>
      <c r="M25" s="185"/>
      <c r="N25" s="214"/>
      <c r="O25" s="215"/>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row>
    <row r="26" spans="1:45" ht="19.5" customHeight="1">
      <c r="A26" s="216"/>
      <c r="B26" s="601" t="str">
        <f>IF(ISBLANK(G4),"",G4)</f>
        <v/>
      </c>
      <c r="C26" s="336" t="s">
        <v>2459</v>
      </c>
      <c r="D26" s="728"/>
      <c r="E26" s="4118" t="s">
        <v>2470</v>
      </c>
      <c r="F26" s="4119"/>
      <c r="G26" s="602" t="str">
        <f>IF(ISBLANK(G4),"",B26*D26*0.00000834)</f>
        <v/>
      </c>
      <c r="H26" s="224" t="s">
        <v>2471</v>
      </c>
      <c r="I26" s="355"/>
      <c r="J26" s="209"/>
      <c r="K26" s="203"/>
      <c r="L26" s="203"/>
      <c r="M26" s="185"/>
      <c r="N26" s="185"/>
      <c r="O26" s="185"/>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row>
    <row r="27" spans="1:45" ht="10.5" customHeight="1">
      <c r="A27" s="216"/>
      <c r="B27" s="298"/>
      <c r="C27" s="299"/>
      <c r="D27" s="298"/>
      <c r="E27" s="300"/>
      <c r="F27" s="300"/>
      <c r="G27" s="294"/>
      <c r="H27" s="295"/>
      <c r="I27" s="355"/>
      <c r="J27" s="209"/>
      <c r="K27" s="203"/>
      <c r="L27" s="203"/>
      <c r="M27" s="185"/>
      <c r="N27" s="185"/>
      <c r="O27" s="185"/>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row>
    <row r="28" spans="1:45" ht="18" customHeight="1">
      <c r="A28" s="190" t="s">
        <v>1684</v>
      </c>
      <c r="B28" s="185" t="s">
        <v>2472</v>
      </c>
      <c r="C28" s="185"/>
      <c r="D28" s="217"/>
      <c r="E28" s="197"/>
      <c r="F28" s="185"/>
      <c r="G28" s="185"/>
      <c r="H28" s="197"/>
      <c r="I28" s="191"/>
      <c r="J28" s="209"/>
      <c r="K28" s="203"/>
      <c r="L28" s="203"/>
      <c r="M28" s="185"/>
      <c r="N28" s="185"/>
      <c r="O28" s="185"/>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row>
    <row r="29" spans="1:45" ht="10.5" customHeight="1">
      <c r="A29" s="190"/>
      <c r="B29" s="185"/>
      <c r="C29" s="185"/>
      <c r="D29" s="217"/>
      <c r="E29" s="197"/>
      <c r="F29" s="185"/>
      <c r="G29" s="185"/>
      <c r="H29" s="197"/>
      <c r="I29" s="191"/>
      <c r="J29" s="209"/>
      <c r="K29" s="203"/>
      <c r="L29" s="203"/>
      <c r="M29" s="185"/>
      <c r="N29" s="185"/>
      <c r="O29" s="185"/>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row>
    <row r="30" spans="1:45" ht="19.5" customHeight="1">
      <c r="A30" s="190"/>
      <c r="B30" s="601" t="str">
        <f>G26</f>
        <v/>
      </c>
      <c r="C30" s="224" t="s">
        <v>2473</v>
      </c>
      <c r="D30" s="601" t="str">
        <f>F21</f>
        <v/>
      </c>
      <c r="E30" s="224" t="s">
        <v>2474</v>
      </c>
      <c r="F30" s="4120" t="str">
        <f>IF(ISBLANK(E16),"",B30/D30)</f>
        <v/>
      </c>
      <c r="G30" s="4121"/>
      <c r="H30" s="224" t="s">
        <v>2475</v>
      </c>
      <c r="I30" s="191"/>
      <c r="J30" s="209"/>
      <c r="K30" s="203"/>
      <c r="L30" s="203"/>
      <c r="M30" s="185"/>
      <c r="N30" s="185"/>
      <c r="O30" s="185"/>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row>
    <row r="31" spans="1:45" ht="10.5" customHeight="1">
      <c r="A31" s="190"/>
      <c r="B31" s="197"/>
      <c r="C31" s="295"/>
      <c r="D31" s="197"/>
      <c r="E31" s="295"/>
      <c r="F31" s="197"/>
      <c r="G31" s="295"/>
      <c r="I31" s="191"/>
      <c r="J31" s="209"/>
      <c r="K31" s="203"/>
      <c r="L31" s="203"/>
      <c r="M31" s="185"/>
      <c r="N31" s="185"/>
      <c r="O31" s="185"/>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row>
    <row r="32" spans="1:45" ht="15" customHeight="1">
      <c r="A32" s="190"/>
      <c r="B32" s="218"/>
      <c r="C32" s="295"/>
      <c r="D32" s="197"/>
      <c r="E32" s="295"/>
      <c r="F32" s="197"/>
      <c r="G32" s="295"/>
      <c r="I32" s="191"/>
      <c r="J32" s="209"/>
      <c r="K32" s="203"/>
      <c r="L32" s="203"/>
      <c r="M32" s="185"/>
      <c r="N32" s="185"/>
      <c r="O32" s="185"/>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row>
    <row r="33" spans="1:45" ht="15" customHeight="1">
      <c r="A33" s="190" t="s">
        <v>2476</v>
      </c>
      <c r="B33" s="3931" t="s">
        <v>2477</v>
      </c>
      <c r="C33" s="4126"/>
      <c r="D33" s="4126"/>
      <c r="E33" s="4126"/>
      <c r="F33" s="4127"/>
      <c r="G33" s="4127"/>
      <c r="H33" s="4127"/>
      <c r="I33" s="4128"/>
      <c r="J33" s="209"/>
      <c r="K33" s="203"/>
      <c r="L33" s="203"/>
      <c r="M33" s="185"/>
      <c r="N33" s="185"/>
      <c r="O33" s="185"/>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row>
    <row r="34" spans="1:45" ht="10.5" customHeight="1">
      <c r="A34" s="190"/>
      <c r="B34" s="185"/>
      <c r="C34" s="185"/>
      <c r="D34" s="217"/>
      <c r="E34" s="197"/>
      <c r="F34" s="185"/>
      <c r="G34" s="185"/>
      <c r="H34" s="197"/>
      <c r="I34" s="191"/>
      <c r="J34" s="209"/>
      <c r="K34" s="203"/>
      <c r="L34" s="203"/>
      <c r="M34" s="185"/>
      <c r="N34" s="185"/>
      <c r="O34" s="185"/>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row>
    <row r="35" spans="1:45" ht="19.5" customHeight="1">
      <c r="A35" s="190"/>
      <c r="B35" s="603" t="str">
        <f>G26</f>
        <v/>
      </c>
      <c r="C35" s="224" t="s">
        <v>2478</v>
      </c>
      <c r="D35" s="298"/>
      <c r="E35" s="604" t="str">
        <f>IF(ISBLANK(E16), " ",B35/0.005)</f>
        <v xml:space="preserve"> </v>
      </c>
      <c r="F35" s="224" t="s">
        <v>1089</v>
      </c>
      <c r="I35" s="191"/>
      <c r="J35" s="209"/>
      <c r="K35" s="203"/>
      <c r="L35" s="203"/>
      <c r="M35" s="185"/>
      <c r="N35" s="185"/>
      <c r="O35" s="185"/>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row>
    <row r="36" spans="1:45" ht="10.5" customHeight="1">
      <c r="A36" s="190"/>
      <c r="B36" s="197"/>
      <c r="C36" s="185"/>
      <c r="D36" s="197"/>
      <c r="E36" s="185"/>
      <c r="F36" s="197"/>
      <c r="G36" s="197"/>
      <c r="H36" s="185"/>
      <c r="I36" s="191"/>
      <c r="J36" s="209"/>
      <c r="K36" s="203"/>
      <c r="L36" s="203"/>
      <c r="M36" s="185"/>
      <c r="N36" s="185"/>
      <c r="O36" s="185"/>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row>
    <row r="37" spans="1:45" ht="19.5" customHeight="1">
      <c r="A37" s="190" t="s">
        <v>2479</v>
      </c>
      <c r="B37" s="3931" t="s">
        <v>2480</v>
      </c>
      <c r="C37" s="4126"/>
      <c r="D37" s="4126"/>
      <c r="E37" s="4126"/>
      <c r="F37" s="566" t="str">
        <f>IF(ISBLANK(E16), " ", MAX(F21,E35))</f>
        <v xml:space="preserve"> </v>
      </c>
      <c r="G37" s="197"/>
      <c r="H37" s="185"/>
      <c r="I37" s="191"/>
      <c r="J37" s="209"/>
      <c r="K37" s="203"/>
      <c r="L37" s="203"/>
      <c r="M37" s="185"/>
      <c r="N37" s="185"/>
      <c r="O37" s="185"/>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row>
    <row r="38" spans="1:45" ht="10.5" customHeight="1">
      <c r="A38" s="190"/>
      <c r="B38" s="197"/>
      <c r="C38" s="185"/>
      <c r="D38" s="197"/>
      <c r="E38" s="185"/>
      <c r="F38" s="197"/>
      <c r="G38" s="197"/>
      <c r="H38" s="185"/>
      <c r="I38" s="191"/>
      <c r="J38" s="209"/>
      <c r="K38" s="203"/>
      <c r="L38" s="203"/>
      <c r="M38" s="185"/>
      <c r="N38" s="185"/>
      <c r="O38" s="185"/>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row>
    <row r="39" spans="1:45" ht="19.5" customHeight="1">
      <c r="A39" s="230" t="s">
        <v>493</v>
      </c>
      <c r="B39" s="224" t="s">
        <v>2481</v>
      </c>
      <c r="C39" s="185"/>
      <c r="D39" s="728"/>
      <c r="E39" s="224" t="s">
        <v>609</v>
      </c>
      <c r="G39" s="185"/>
      <c r="H39" s="185"/>
      <c r="I39" s="191"/>
      <c r="J39" s="209"/>
      <c r="K39" s="203"/>
      <c r="L39" s="203"/>
      <c r="M39" s="185"/>
      <c r="N39" s="185"/>
      <c r="O39" s="185"/>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row>
    <row r="40" spans="1:45" ht="10.5" customHeight="1">
      <c r="A40" s="190"/>
      <c r="B40" s="185"/>
      <c r="C40" s="185"/>
      <c r="D40" s="185"/>
      <c r="E40" s="185"/>
      <c r="F40" s="185"/>
      <c r="G40" s="185"/>
      <c r="H40" s="185"/>
      <c r="I40" s="191"/>
      <c r="J40" s="209"/>
      <c r="K40" s="203"/>
      <c r="L40" s="203"/>
      <c r="M40" s="185"/>
      <c r="N40" s="185"/>
      <c r="O40" s="185"/>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row>
    <row r="41" spans="1:45" ht="18" customHeight="1">
      <c r="A41" s="190" t="s">
        <v>498</v>
      </c>
      <c r="B41" s="185" t="s">
        <v>2482</v>
      </c>
      <c r="C41" s="185"/>
      <c r="D41" s="185"/>
      <c r="E41" s="185"/>
      <c r="F41" s="185"/>
      <c r="G41" s="185"/>
      <c r="H41" s="185"/>
      <c r="I41" s="191"/>
      <c r="J41" s="209"/>
      <c r="K41" s="203"/>
      <c r="L41" s="203"/>
      <c r="M41" s="185"/>
      <c r="N41" s="185"/>
      <c r="O41" s="185"/>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row>
    <row r="42" spans="1:45" ht="10.5" customHeight="1">
      <c r="A42" s="190"/>
      <c r="B42" s="185"/>
      <c r="C42" s="185"/>
      <c r="D42" s="185"/>
      <c r="E42" s="185"/>
      <c r="F42" s="185"/>
      <c r="G42" s="185"/>
      <c r="H42" s="185"/>
      <c r="I42" s="191"/>
      <c r="J42" s="209"/>
      <c r="K42" s="203"/>
      <c r="L42" s="203"/>
      <c r="M42" s="185"/>
      <c r="N42" s="185"/>
      <c r="O42" s="185"/>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row>
    <row r="43" spans="1:45" ht="24" customHeight="1">
      <c r="A43" s="216"/>
      <c r="B43" s="601" t="str">
        <f>F37</f>
        <v xml:space="preserve"> </v>
      </c>
      <c r="C43" s="224" t="s">
        <v>2483</v>
      </c>
      <c r="D43" s="601" t="str">
        <f>IF(ISBLANK(D39),"",D39)</f>
        <v/>
      </c>
      <c r="E43" s="224" t="s">
        <v>1716</v>
      </c>
      <c r="F43" s="601" t="str">
        <f>IF(ISBLANK(D39),"",B43/D43)</f>
        <v/>
      </c>
      <c r="G43" s="224" t="s">
        <v>609</v>
      </c>
      <c r="I43" s="191"/>
      <c r="J43" s="219"/>
      <c r="K43" s="220"/>
      <c r="L43" s="185"/>
      <c r="M43" s="185"/>
      <c r="N43" s="185"/>
      <c r="O43" s="185"/>
      <c r="P43" s="185"/>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row>
    <row r="44" spans="1:45" ht="10.5" customHeight="1">
      <c r="A44" s="216"/>
      <c r="B44" s="197"/>
      <c r="C44" s="185"/>
      <c r="D44" s="197"/>
      <c r="E44" s="185"/>
      <c r="F44" s="197"/>
      <c r="G44" s="185"/>
      <c r="H44" s="185"/>
      <c r="I44" s="191"/>
      <c r="J44" s="220"/>
      <c r="K44" s="220"/>
      <c r="L44" s="185"/>
      <c r="M44" s="185"/>
      <c r="N44" s="185"/>
      <c r="O44" s="185"/>
      <c r="P44" s="185"/>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row>
    <row r="45" spans="1:45" ht="24" customHeight="1">
      <c r="A45" s="216"/>
      <c r="B45" s="201" t="s">
        <v>1554</v>
      </c>
      <c r="C45" s="185"/>
      <c r="D45" s="728"/>
      <c r="F45" s="185"/>
      <c r="G45" s="185"/>
      <c r="H45" s="185"/>
      <c r="I45" s="191"/>
      <c r="J45" s="220"/>
      <c r="K45" s="220"/>
      <c r="L45" s="185"/>
      <c r="M45" s="185"/>
      <c r="N45" s="185"/>
      <c r="O45" s="185"/>
      <c r="P45" s="185"/>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row>
    <row r="46" spans="1:45" ht="18" customHeight="1">
      <c r="A46" s="198"/>
      <c r="B46" s="218" t="s">
        <v>2484</v>
      </c>
      <c r="C46" s="185"/>
      <c r="D46" s="197"/>
      <c r="E46" s="185"/>
      <c r="F46" s="197"/>
      <c r="G46" s="185"/>
      <c r="H46" s="185"/>
      <c r="I46" s="191"/>
      <c r="J46" s="185"/>
      <c r="K46" s="185"/>
      <c r="L46" s="185"/>
      <c r="M46" s="185"/>
      <c r="N46" s="185"/>
      <c r="O46" s="185"/>
      <c r="P46" s="185"/>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row>
    <row r="47" spans="1:45" ht="5.25" customHeight="1">
      <c r="A47" s="193"/>
      <c r="B47" s="195"/>
      <c r="C47" s="194"/>
      <c r="D47" s="195"/>
      <c r="E47" s="194"/>
      <c r="F47" s="195"/>
      <c r="G47" s="194"/>
      <c r="H47" s="194"/>
      <c r="I47" s="196"/>
      <c r="J47" s="185"/>
      <c r="K47" s="185"/>
      <c r="L47" s="185"/>
      <c r="M47" s="185"/>
      <c r="N47" s="185"/>
      <c r="O47" s="185"/>
      <c r="P47" s="185"/>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row>
    <row r="48" spans="1:45" ht="18" customHeight="1">
      <c r="A48" s="456" t="s">
        <v>1172</v>
      </c>
      <c r="B48" s="457" t="s">
        <v>2485</v>
      </c>
      <c r="C48" s="458"/>
      <c r="D48" s="458"/>
      <c r="E48" s="458"/>
      <c r="F48" s="458"/>
      <c r="G48" s="458"/>
      <c r="H48" s="458"/>
      <c r="I48" s="459"/>
      <c r="J48" s="185"/>
      <c r="K48" s="185"/>
      <c r="L48" s="185"/>
      <c r="M48" s="185"/>
      <c r="N48" s="185"/>
      <c r="O48" s="185"/>
      <c r="P48" s="185"/>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row>
    <row r="49" spans="1:45" ht="10.5" customHeight="1">
      <c r="A49" s="198"/>
      <c r="B49" s="192"/>
      <c r="C49" s="185"/>
      <c r="D49" s="185"/>
      <c r="E49" s="185"/>
      <c r="F49" s="185"/>
      <c r="G49" s="185"/>
      <c r="H49" s="197"/>
      <c r="I49" s="200"/>
      <c r="J49" s="197"/>
      <c r="K49" s="197"/>
      <c r="L49" s="185"/>
      <c r="M49" s="185"/>
      <c r="N49" s="185"/>
      <c r="O49" s="185"/>
      <c r="P49" s="185"/>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row>
    <row r="50" spans="1:45" ht="19.5" customHeight="1">
      <c r="A50" s="190" t="s">
        <v>475</v>
      </c>
      <c r="B50" s="185" t="s">
        <v>2486</v>
      </c>
      <c r="C50" s="185"/>
      <c r="D50" s="185"/>
      <c r="E50" s="4115"/>
      <c r="F50" s="4116"/>
      <c r="G50" s="4116"/>
      <c r="H50" s="4117"/>
      <c r="I50" s="191"/>
      <c r="J50" s="185"/>
      <c r="M50" s="185"/>
      <c r="N50" s="185"/>
      <c r="O50" s="185"/>
      <c r="P50" s="185"/>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row>
    <row r="51" spans="1:45" ht="48.75" customHeight="1">
      <c r="A51" s="190"/>
      <c r="B51" s="3929" t="s">
        <v>2487</v>
      </c>
      <c r="C51" s="4129"/>
      <c r="D51" s="4129"/>
      <c r="E51" s="4129"/>
      <c r="F51" s="4129"/>
      <c r="G51" s="4129"/>
      <c r="H51" s="4129"/>
      <c r="I51" s="4130"/>
      <c r="J51" s="185"/>
      <c r="M51" s="185"/>
      <c r="N51" s="185"/>
      <c r="O51" s="185"/>
      <c r="P51" s="185"/>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row>
    <row r="52" spans="1:45" ht="10.5" customHeight="1">
      <c r="A52" s="190"/>
      <c r="B52" s="185"/>
      <c r="C52" s="185"/>
      <c r="D52" s="185"/>
      <c r="E52" s="185"/>
      <c r="F52" s="185"/>
      <c r="G52" s="185"/>
      <c r="H52" s="185"/>
      <c r="I52" s="191"/>
      <c r="J52" s="185"/>
      <c r="K52" s="185"/>
      <c r="L52" s="185"/>
      <c r="M52" s="185"/>
      <c r="N52" s="185"/>
      <c r="O52" s="185"/>
      <c r="P52" s="185"/>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row>
    <row r="53" spans="1:45" ht="19.5" customHeight="1">
      <c r="A53" s="190" t="s">
        <v>481</v>
      </c>
      <c r="B53" s="185" t="s">
        <v>2488</v>
      </c>
      <c r="C53" s="185"/>
      <c r="D53" s="185"/>
      <c r="E53" s="728"/>
      <c r="F53" s="185" t="s">
        <v>609</v>
      </c>
      <c r="G53" s="185"/>
      <c r="H53" s="185"/>
      <c r="I53" s="191"/>
      <c r="J53" s="185"/>
      <c r="K53" s="185"/>
      <c r="L53" s="185"/>
      <c r="M53" s="185"/>
      <c r="N53" s="185"/>
      <c r="O53" s="185"/>
      <c r="P53" s="185"/>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row>
    <row r="54" spans="1:45" ht="18" customHeight="1">
      <c r="A54" s="190"/>
      <c r="B54" s="3945" t="s">
        <v>2489</v>
      </c>
      <c r="C54" s="4131"/>
      <c r="D54" s="4131"/>
      <c r="E54" s="4131"/>
      <c r="F54" s="4131"/>
      <c r="G54" s="4131"/>
      <c r="H54" s="4131"/>
      <c r="I54" s="4132"/>
      <c r="J54" s="185"/>
      <c r="K54" s="185"/>
      <c r="L54" s="185"/>
      <c r="M54" s="185"/>
      <c r="N54" s="185"/>
      <c r="O54" s="185"/>
      <c r="P54" s="185"/>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row>
    <row r="55" spans="1:45" ht="18" customHeight="1">
      <c r="A55" s="190"/>
      <c r="B55" s="4131"/>
      <c r="C55" s="4131"/>
      <c r="D55" s="4131"/>
      <c r="E55" s="4131"/>
      <c r="F55" s="4131"/>
      <c r="G55" s="4131"/>
      <c r="H55" s="4131"/>
      <c r="I55" s="4132"/>
      <c r="J55" s="185"/>
      <c r="K55" s="185"/>
      <c r="L55" s="185"/>
      <c r="M55" s="185"/>
      <c r="N55" s="185"/>
      <c r="O55" s="185"/>
      <c r="P55" s="185"/>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row>
    <row r="56" spans="1:45" ht="10.5" customHeight="1">
      <c r="A56" s="198"/>
      <c r="B56" s="192"/>
      <c r="C56" s="185"/>
      <c r="D56" s="185"/>
      <c r="E56" s="185"/>
      <c r="F56" s="185"/>
      <c r="G56" s="185"/>
      <c r="H56" s="695"/>
      <c r="I56" s="696"/>
      <c r="J56" s="197"/>
      <c r="K56" s="197"/>
      <c r="L56" s="185"/>
      <c r="O56" s="185"/>
      <c r="P56" s="185"/>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row>
    <row r="57" spans="1:45" ht="19.5" customHeight="1">
      <c r="A57" s="190"/>
      <c r="B57" s="185" t="s">
        <v>2490</v>
      </c>
      <c r="C57" s="221"/>
      <c r="D57" s="728"/>
      <c r="E57" s="224" t="s">
        <v>2491</v>
      </c>
      <c r="F57" s="605" t="str">
        <f>IF(ISBLANK(D57),"",D57/12)</f>
        <v/>
      </c>
      <c r="G57" s="185" t="s">
        <v>609</v>
      </c>
      <c r="H57" s="695"/>
      <c r="I57" s="696"/>
      <c r="J57" s="185"/>
      <c r="K57" s="185"/>
      <c r="L57" s="185"/>
      <c r="O57" s="185"/>
      <c r="P57" s="185"/>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row>
    <row r="58" spans="1:45" ht="23.1" customHeight="1">
      <c r="A58" s="198"/>
      <c r="B58" s="224" t="s">
        <v>2492</v>
      </c>
      <c r="C58" s="185"/>
      <c r="D58" s="185"/>
      <c r="E58" s="185"/>
      <c r="G58" s="185"/>
      <c r="H58" s="695"/>
      <c r="I58" s="696"/>
      <c r="J58" s="197"/>
      <c r="K58" s="197"/>
      <c r="L58" s="185"/>
      <c r="M58" s="185"/>
      <c r="N58" s="185"/>
      <c r="O58" s="185"/>
      <c r="P58" s="185"/>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row>
    <row r="59" spans="1:45" ht="19.5" customHeight="1">
      <c r="A59" s="190"/>
      <c r="B59" s="185" t="s">
        <v>2493</v>
      </c>
      <c r="C59" s="185"/>
      <c r="D59" s="728"/>
      <c r="E59" s="224" t="s">
        <v>2491</v>
      </c>
      <c r="F59" s="605" t="str">
        <f>IF(ISBLANK(D59),"",D59/12)</f>
        <v/>
      </c>
      <c r="G59" s="185" t="s">
        <v>609</v>
      </c>
      <c r="H59" s="695"/>
      <c r="I59" s="696"/>
      <c r="J59" s="185"/>
      <c r="K59" s="185"/>
      <c r="L59" s="185"/>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row>
    <row r="60" spans="1:45" ht="23.1" customHeight="1">
      <c r="A60" s="198"/>
      <c r="B60" s="224" t="s">
        <v>2494</v>
      </c>
      <c r="C60" s="185"/>
      <c r="D60" s="185"/>
      <c r="E60" s="185"/>
      <c r="G60" s="185"/>
      <c r="H60" s="695"/>
      <c r="I60" s="696"/>
      <c r="J60" s="197"/>
      <c r="K60" s="197"/>
      <c r="L60" s="185"/>
      <c r="M60" s="185"/>
      <c r="N60" s="185"/>
      <c r="O60" s="185"/>
      <c r="P60" s="185"/>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row>
    <row r="61" spans="1:45" ht="18" customHeight="1">
      <c r="A61" s="190" t="s">
        <v>487</v>
      </c>
      <c r="B61" s="3933" t="s">
        <v>2495</v>
      </c>
      <c r="C61" s="3933"/>
      <c r="D61" s="3933"/>
      <c r="E61" s="3933"/>
      <c r="F61" s="3933"/>
      <c r="G61" s="3933"/>
      <c r="H61" s="3933"/>
      <c r="I61" s="191"/>
      <c r="J61" s="192"/>
      <c r="K61" s="192"/>
      <c r="L61" s="185"/>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row>
    <row r="62" spans="1:45" ht="10.5" customHeight="1">
      <c r="A62" s="190"/>
      <c r="B62" s="285"/>
      <c r="C62" s="285"/>
      <c r="D62" s="285"/>
      <c r="E62" s="285"/>
      <c r="F62" s="285"/>
      <c r="G62" s="285"/>
      <c r="H62" s="285"/>
      <c r="I62" s="191"/>
      <c r="J62" s="192"/>
      <c r="K62" s="192"/>
      <c r="L62" s="185"/>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row>
    <row r="63" spans="1:45" ht="19.5" customHeight="1">
      <c r="A63" s="190"/>
      <c r="B63" s="601" t="str">
        <f>F37</f>
        <v xml:space="preserve"> </v>
      </c>
      <c r="C63" s="224" t="s">
        <v>2496</v>
      </c>
      <c r="D63" s="603" t="str">
        <f>IF(ISBLANK(D57),"",F57)</f>
        <v/>
      </c>
      <c r="E63" s="224" t="s">
        <v>1230</v>
      </c>
      <c r="F63" s="601" t="str">
        <f>IF(ISBLANK(D57),"",B63*D63)</f>
        <v/>
      </c>
      <c r="G63" s="224" t="s">
        <v>1241</v>
      </c>
      <c r="I63" s="191"/>
      <c r="J63" s="185"/>
      <c r="K63" s="185"/>
      <c r="L63" s="185"/>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row>
    <row r="64" spans="1:45" ht="18" customHeight="1">
      <c r="A64" s="190"/>
      <c r="B64" s="185" t="s">
        <v>2497</v>
      </c>
      <c r="C64" s="185"/>
      <c r="D64" s="185"/>
      <c r="E64" s="185"/>
      <c r="F64" s="185"/>
      <c r="G64" s="185"/>
      <c r="H64" s="185"/>
      <c r="I64" s="191"/>
      <c r="J64" s="185"/>
      <c r="K64" s="185"/>
      <c r="L64" s="185"/>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row>
    <row r="65" spans="1:45" ht="10.5" customHeight="1">
      <c r="A65" s="190"/>
      <c r="B65" s="185"/>
      <c r="C65" s="185"/>
      <c r="D65" s="185"/>
      <c r="E65" s="185"/>
      <c r="F65" s="185"/>
      <c r="G65" s="185"/>
      <c r="H65" s="185"/>
      <c r="I65" s="191"/>
      <c r="J65" s="185"/>
      <c r="K65" s="185"/>
      <c r="L65" s="185"/>
      <c r="M65" s="212"/>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row>
    <row r="66" spans="1:45" ht="19.5" customHeight="1">
      <c r="A66" s="190"/>
      <c r="B66" s="601" t="str">
        <f>F63</f>
        <v/>
      </c>
      <c r="C66" s="224" t="s">
        <v>2498</v>
      </c>
      <c r="D66" s="606" t="str">
        <f>IF(ISBLANK(D57),"",B66/27)</f>
        <v/>
      </c>
      <c r="E66" s="224" t="s">
        <v>1243</v>
      </c>
      <c r="G66" s="185"/>
      <c r="H66" s="185"/>
      <c r="I66" s="191"/>
      <c r="J66" s="185"/>
      <c r="K66" s="185"/>
      <c r="L66" s="185"/>
      <c r="M66" s="212"/>
      <c r="N66" s="212"/>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row>
    <row r="67" spans="1:45" ht="18" customHeight="1">
      <c r="A67" s="190" t="s">
        <v>1428</v>
      </c>
      <c r="B67" s="3933" t="s">
        <v>2499</v>
      </c>
      <c r="C67" s="3933"/>
      <c r="D67" s="3933"/>
      <c r="E67" s="3933"/>
      <c r="F67" s="3933"/>
      <c r="G67" s="3933"/>
      <c r="H67" s="3933"/>
      <c r="I67" s="191"/>
      <c r="J67" s="192"/>
      <c r="K67" s="192"/>
      <c r="L67" s="185" t="s">
        <v>1732</v>
      </c>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row>
    <row r="68" spans="1:45" ht="10.5" customHeight="1">
      <c r="A68" s="190"/>
      <c r="B68" s="285"/>
      <c r="C68" s="285"/>
      <c r="D68" s="285"/>
      <c r="E68" s="285"/>
      <c r="F68" s="285"/>
      <c r="G68" s="285"/>
      <c r="H68" s="285"/>
      <c r="I68" s="191"/>
      <c r="J68" s="192"/>
      <c r="K68" s="192"/>
      <c r="L68" s="185"/>
      <c r="M68" s="212"/>
      <c r="N68" s="212"/>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row>
    <row r="69" spans="1:45" ht="19.5" customHeight="1">
      <c r="A69" s="190"/>
      <c r="B69" s="601" t="str">
        <f>F37</f>
        <v xml:space="preserve"> </v>
      </c>
      <c r="C69" s="224" t="s">
        <v>2496</v>
      </c>
      <c r="D69" s="606" t="str">
        <f>IF(ISBLANK(D59),"",F59)</f>
        <v/>
      </c>
      <c r="E69" s="224" t="s">
        <v>1230</v>
      </c>
      <c r="F69" s="601" t="str">
        <f>IF(ISBLANK(D59),"",B69*D69)</f>
        <v/>
      </c>
      <c r="G69" s="224" t="s">
        <v>1241</v>
      </c>
      <c r="I69" s="191"/>
      <c r="J69" s="185"/>
      <c r="K69" s="185"/>
      <c r="L69" s="185"/>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row>
    <row r="70" spans="1:45" ht="18" customHeight="1">
      <c r="A70" s="190"/>
      <c r="B70" s="185" t="s">
        <v>2500</v>
      </c>
      <c r="C70" s="185"/>
      <c r="D70" s="185"/>
      <c r="E70" s="185"/>
      <c r="F70" s="185"/>
      <c r="G70" s="185"/>
      <c r="H70" s="185"/>
      <c r="I70" s="191"/>
      <c r="J70" s="185"/>
      <c r="K70" s="185"/>
      <c r="L70" s="185"/>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row>
    <row r="71" spans="1:45" ht="10.5" customHeight="1">
      <c r="A71" s="190"/>
      <c r="B71" s="185"/>
      <c r="C71" s="185"/>
      <c r="D71" s="185"/>
      <c r="E71" s="185"/>
      <c r="F71" s="185"/>
      <c r="G71" s="185"/>
      <c r="H71" s="185"/>
      <c r="I71" s="191"/>
      <c r="J71" s="185"/>
      <c r="K71" s="185"/>
      <c r="L71" s="185"/>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row>
    <row r="72" spans="1:45" ht="19.5" customHeight="1">
      <c r="A72" s="190"/>
      <c r="B72" s="601" t="str">
        <f>F69</f>
        <v/>
      </c>
      <c r="C72" s="224" t="s">
        <v>2498</v>
      </c>
      <c r="D72" s="606" t="str">
        <f>IF(ISBLANK(D59),"",B72/27)</f>
        <v/>
      </c>
      <c r="E72" s="224" t="s">
        <v>1243</v>
      </c>
      <c r="G72" s="185"/>
      <c r="H72" s="185"/>
      <c r="I72" s="191"/>
      <c r="J72" s="185"/>
      <c r="K72" s="185"/>
      <c r="L72" s="185"/>
      <c r="M72" s="212"/>
      <c r="N72" s="212"/>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row>
    <row r="73" spans="1:45" ht="10.5" customHeight="1">
      <c r="A73" s="190"/>
      <c r="B73" s="197"/>
      <c r="C73" s="185"/>
      <c r="D73" s="223"/>
      <c r="E73" s="185"/>
      <c r="F73" s="185"/>
      <c r="G73" s="185"/>
      <c r="H73" s="185"/>
      <c r="I73" s="191"/>
      <c r="J73" s="185"/>
      <c r="K73" s="185"/>
      <c r="L73" s="185"/>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row>
    <row r="74" spans="1:45" ht="19.5" customHeight="1">
      <c r="A74" s="230" t="s">
        <v>498</v>
      </c>
      <c r="B74" s="224" t="s">
        <v>2501</v>
      </c>
      <c r="C74" s="185"/>
      <c r="D74" s="728"/>
      <c r="E74" s="3926" t="s">
        <v>2502</v>
      </c>
      <c r="F74" s="3926"/>
      <c r="G74" s="3926"/>
      <c r="H74" s="3926"/>
      <c r="I74" s="4133"/>
      <c r="J74" s="694"/>
      <c r="K74" s="694"/>
      <c r="L74" s="694"/>
      <c r="M74" s="694"/>
      <c r="N74" s="212"/>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row>
    <row r="75" spans="1:45" ht="10.5" customHeight="1">
      <c r="A75" s="190"/>
      <c r="B75" s="185"/>
      <c r="C75" s="185"/>
      <c r="D75" s="185"/>
      <c r="E75" s="3926"/>
      <c r="F75" s="3926"/>
      <c r="G75" s="3926"/>
      <c r="H75" s="3926"/>
      <c r="I75" s="4133"/>
      <c r="J75" s="185"/>
      <c r="K75" s="185"/>
      <c r="L75" s="185"/>
      <c r="M75" s="212"/>
      <c r="N75" s="212"/>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row>
    <row r="76" spans="1:45" ht="19.5" customHeight="1">
      <c r="A76" s="230" t="s">
        <v>504</v>
      </c>
      <c r="B76" s="224" t="s">
        <v>2503</v>
      </c>
      <c r="C76" s="185"/>
      <c r="D76" s="728"/>
      <c r="E76" s="4134" t="s">
        <v>2504</v>
      </c>
      <c r="F76" s="3961"/>
      <c r="G76" s="3961"/>
      <c r="H76" s="3961"/>
      <c r="I76" s="191"/>
      <c r="J76" s="185"/>
      <c r="K76" s="185"/>
      <c r="L76" s="185"/>
      <c r="M76" s="212"/>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row>
    <row r="77" spans="1:45" ht="165" customHeight="1">
      <c r="A77" s="4135" t="s">
        <v>2505</v>
      </c>
      <c r="B77" s="4136"/>
      <c r="C77" s="4136"/>
      <c r="D77" s="514"/>
      <c r="E77" s="514"/>
      <c r="F77" s="514"/>
      <c r="G77" s="514"/>
      <c r="H77" s="514"/>
      <c r="I77" s="515"/>
      <c r="J77" s="185"/>
      <c r="K77" s="185"/>
      <c r="L77" s="185"/>
      <c r="M77" s="212"/>
      <c r="N77" s="212"/>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row>
    <row r="78" spans="1:45" ht="18" customHeight="1">
      <c r="A78" s="456" t="s">
        <v>1177</v>
      </c>
      <c r="B78" s="457" t="s">
        <v>2506</v>
      </c>
      <c r="C78" s="458"/>
      <c r="D78" s="458"/>
      <c r="E78" s="458"/>
      <c r="F78" s="458"/>
      <c r="G78" s="458"/>
      <c r="H78" s="458"/>
      <c r="I78" s="459"/>
      <c r="J78" s="185"/>
      <c r="K78" s="185"/>
      <c r="L78" s="185"/>
      <c r="M78" s="212"/>
      <c r="N78" s="212"/>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row>
    <row r="79" spans="1:45" ht="10.5" customHeight="1">
      <c r="A79" s="190"/>
      <c r="B79" s="185"/>
      <c r="C79" s="192"/>
      <c r="D79" s="192"/>
      <c r="E79" s="185"/>
      <c r="F79" s="185"/>
      <c r="G79" s="185"/>
      <c r="H79" s="185"/>
      <c r="I79" s="191"/>
      <c r="J79" s="185"/>
      <c r="K79" s="185"/>
      <c r="L79" s="185"/>
      <c r="M79" s="185"/>
      <c r="N79" s="185"/>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row>
    <row r="80" spans="1:45" ht="19.5" customHeight="1">
      <c r="A80" s="230" t="s">
        <v>475</v>
      </c>
      <c r="B80" s="224" t="s">
        <v>2507</v>
      </c>
      <c r="C80" s="192"/>
      <c r="D80" s="4142"/>
      <c r="E80" s="4143"/>
      <c r="F80" s="4143"/>
      <c r="G80" s="4144"/>
      <c r="I80" s="191"/>
      <c r="J80" s="185"/>
      <c r="K80" s="185"/>
      <c r="M80" s="185"/>
      <c r="N80" s="185"/>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row>
    <row r="81" spans="1:45" ht="10.5" customHeight="1">
      <c r="A81" s="190"/>
      <c r="B81" s="185"/>
      <c r="C81" s="192"/>
      <c r="D81" s="185"/>
      <c r="E81" s="185"/>
      <c r="F81" s="185"/>
      <c r="G81" s="185"/>
      <c r="I81" s="191"/>
      <c r="J81" s="185"/>
      <c r="K81" s="185"/>
      <c r="M81" s="185"/>
      <c r="N81" s="185"/>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row>
    <row r="82" spans="1:45" ht="19.5" customHeight="1">
      <c r="A82" s="230" t="s">
        <v>481</v>
      </c>
      <c r="B82" s="224" t="s">
        <v>2508</v>
      </c>
      <c r="C82" s="224"/>
      <c r="D82" s="728"/>
      <c r="E82" s="224" t="s">
        <v>609</v>
      </c>
      <c r="F82" s="218" t="s">
        <v>2509</v>
      </c>
      <c r="G82" s="289"/>
      <c r="I82" s="191"/>
      <c r="J82" s="185"/>
      <c r="K82" s="185"/>
      <c r="L82" s="185"/>
      <c r="M82" s="185"/>
      <c r="N82" s="185"/>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row>
    <row r="83" spans="1:45" ht="10.5" customHeight="1">
      <c r="A83" s="190"/>
      <c r="B83" s="211"/>
      <c r="C83" s="192"/>
      <c r="D83" s="192"/>
      <c r="E83" s="185"/>
      <c r="F83" s="185"/>
      <c r="G83" s="185"/>
      <c r="H83" s="185"/>
      <c r="I83" s="191"/>
      <c r="J83" s="185"/>
      <c r="K83" s="185"/>
      <c r="L83" s="185"/>
      <c r="M83" s="185"/>
      <c r="N83" s="185"/>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row>
    <row r="84" spans="1:45" ht="18" customHeight="1">
      <c r="A84" s="190" t="s">
        <v>487</v>
      </c>
      <c r="B84" s="185" t="s">
        <v>2510</v>
      </c>
      <c r="C84" s="185"/>
      <c r="D84" s="185"/>
      <c r="E84" s="185"/>
      <c r="F84" s="185"/>
      <c r="G84" s="185"/>
      <c r="H84" s="185"/>
      <c r="I84" s="191"/>
      <c r="J84" s="185"/>
      <c r="K84" s="185"/>
      <c r="L84" s="185"/>
      <c r="M84" s="185"/>
      <c r="N84" s="185"/>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row>
    <row r="85" spans="1:45" ht="10.5" customHeight="1">
      <c r="A85" s="190"/>
      <c r="B85" s="185"/>
      <c r="C85" s="185"/>
      <c r="D85" s="185"/>
      <c r="E85" s="185"/>
      <c r="F85" s="185"/>
      <c r="G85" s="185"/>
      <c r="H85" s="185"/>
      <c r="I85" s="191"/>
      <c r="J85" s="185"/>
      <c r="K85" s="185"/>
      <c r="L85" s="185"/>
      <c r="M85" s="185"/>
      <c r="N85" s="185"/>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row>
    <row r="86" spans="1:45" ht="19.5" customHeight="1">
      <c r="A86" s="190"/>
      <c r="B86" s="601" t="str">
        <f>F37</f>
        <v xml:space="preserve"> </v>
      </c>
      <c r="C86" s="224" t="s">
        <v>2496</v>
      </c>
      <c r="D86" s="601" t="str">
        <f>IF(ISBLANK(D82),"",D82)</f>
        <v/>
      </c>
      <c r="E86" s="224" t="s">
        <v>1230</v>
      </c>
      <c r="F86" s="601" t="str">
        <f>IF(ISBLANK(D82),"",B86*D86)</f>
        <v/>
      </c>
      <c r="G86" s="224" t="s">
        <v>1241</v>
      </c>
      <c r="I86" s="191"/>
      <c r="J86" s="185"/>
      <c r="K86" s="185"/>
      <c r="L86" s="185"/>
      <c r="M86" s="185"/>
      <c r="N86" s="185"/>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row>
    <row r="87" spans="1:45" ht="18" customHeight="1">
      <c r="A87" s="190"/>
      <c r="B87" s="185" t="s">
        <v>2511</v>
      </c>
      <c r="C87" s="185"/>
      <c r="D87" s="192"/>
      <c r="E87" s="185"/>
      <c r="F87" s="3941"/>
      <c r="G87" s="4114"/>
      <c r="H87" s="192"/>
      <c r="I87" s="191"/>
      <c r="J87" s="185"/>
      <c r="K87" s="185"/>
      <c r="L87" s="185"/>
      <c r="M87" s="185"/>
      <c r="N87" s="185"/>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row>
    <row r="88" spans="1:45" ht="10.5" customHeight="1">
      <c r="A88" s="190"/>
      <c r="B88" s="185"/>
      <c r="C88" s="185"/>
      <c r="D88" s="192"/>
      <c r="E88" s="185"/>
      <c r="F88" s="214"/>
      <c r="G88" s="215"/>
      <c r="H88" s="192"/>
      <c r="I88" s="191"/>
      <c r="J88" s="185"/>
      <c r="K88" s="185"/>
      <c r="L88" s="185"/>
      <c r="M88" s="185"/>
      <c r="N88" s="185"/>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row>
    <row r="89" spans="1:45" ht="19.5" customHeight="1">
      <c r="A89" s="190"/>
      <c r="B89" s="601" t="str">
        <f>F86</f>
        <v/>
      </c>
      <c r="C89" s="224" t="s">
        <v>2498</v>
      </c>
      <c r="D89" s="606" t="str">
        <f>IF(ISBLANK(D82),"",B89/27)</f>
        <v/>
      </c>
      <c r="E89" s="224" t="s">
        <v>1243</v>
      </c>
      <c r="G89" s="185"/>
      <c r="H89" s="185"/>
      <c r="I89" s="191"/>
      <c r="J89" s="185"/>
      <c r="K89" s="185"/>
      <c r="L89" s="185"/>
      <c r="M89" s="185"/>
      <c r="N89" s="185"/>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row>
    <row r="90" spans="1:45" ht="10.5" customHeight="1">
      <c r="A90" s="222"/>
      <c r="B90" s="227"/>
      <c r="C90" s="228"/>
      <c r="D90" s="228"/>
      <c r="E90" s="194"/>
      <c r="F90" s="194"/>
      <c r="G90" s="194"/>
      <c r="H90" s="194"/>
      <c r="I90" s="196"/>
      <c r="J90" s="185"/>
      <c r="K90" s="185"/>
      <c r="L90" s="185"/>
      <c r="M90" s="185"/>
      <c r="N90" s="185"/>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row>
    <row r="91" spans="1:45" ht="18" customHeight="1">
      <c r="A91" s="456" t="s">
        <v>1179</v>
      </c>
      <c r="B91" s="457" t="s">
        <v>1429</v>
      </c>
      <c r="C91" s="457"/>
      <c r="D91" s="458"/>
      <c r="E91" s="458"/>
      <c r="F91" s="458"/>
      <c r="G91" s="458"/>
      <c r="H91" s="458"/>
      <c r="I91" s="459"/>
      <c r="J91" s="185"/>
      <c r="K91" s="185"/>
      <c r="L91" s="229"/>
      <c r="M91" s="212"/>
      <c r="N91" s="212"/>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row>
    <row r="92" spans="1:45" ht="10.5" customHeight="1">
      <c r="A92" s="198"/>
      <c r="B92" s="197"/>
      <c r="C92" s="185"/>
      <c r="D92" s="223"/>
      <c r="E92" s="185"/>
      <c r="F92" s="185"/>
      <c r="G92" s="185"/>
      <c r="H92" s="185"/>
      <c r="I92" s="191"/>
      <c r="J92" s="185"/>
      <c r="K92" s="185"/>
      <c r="L92" s="229"/>
      <c r="M92" s="212"/>
      <c r="N92" s="212"/>
      <c r="O92" s="212"/>
      <c r="P92" s="212"/>
      <c r="Q92" s="212"/>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row>
    <row r="93" spans="1:45" ht="19.5" customHeight="1">
      <c r="A93" s="190" t="s">
        <v>475</v>
      </c>
      <c r="B93" s="185" t="s">
        <v>1330</v>
      </c>
      <c r="C93" s="185"/>
      <c r="D93" s="4137"/>
      <c r="E93" s="4140"/>
      <c r="F93" s="4140"/>
      <c r="G93" s="4141"/>
      <c r="I93" s="191"/>
      <c r="J93" s="185"/>
      <c r="K93" s="185"/>
      <c r="L93" s="229"/>
      <c r="M93" s="212"/>
      <c r="N93" s="212"/>
      <c r="O93" s="212"/>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row>
    <row r="94" spans="1:45" ht="10.5" customHeight="1">
      <c r="A94" s="190"/>
      <c r="B94" s="185"/>
      <c r="C94" s="185"/>
      <c r="D94" s="298"/>
      <c r="E94" s="298"/>
      <c r="F94" s="298"/>
      <c r="G94" s="298"/>
      <c r="I94" s="191"/>
      <c r="J94" s="185"/>
      <c r="K94" s="185"/>
      <c r="L94" s="229"/>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row>
    <row r="95" spans="1:45" ht="19.5" customHeight="1">
      <c r="A95" s="190"/>
      <c r="B95" s="185" t="s">
        <v>2512</v>
      </c>
      <c r="C95" s="185"/>
      <c r="D95" s="4137"/>
      <c r="E95" s="4138"/>
      <c r="F95" s="4138"/>
      <c r="G95" s="4139"/>
      <c r="I95" s="191"/>
      <c r="J95" s="185"/>
      <c r="K95" s="185"/>
      <c r="L95" s="229"/>
      <c r="M95" s="212"/>
      <c r="N95" s="212"/>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row>
    <row r="96" spans="1:45" ht="10.5" customHeight="1">
      <c r="A96" s="190"/>
      <c r="B96" s="185"/>
      <c r="C96" s="185"/>
      <c r="D96" s="185"/>
      <c r="E96" s="185"/>
      <c r="F96" s="185"/>
      <c r="G96" s="185"/>
      <c r="H96" s="185"/>
      <c r="I96" s="191"/>
      <c r="J96" s="185"/>
      <c r="K96" s="185"/>
      <c r="L96" s="229"/>
      <c r="M96" s="212"/>
      <c r="N96" s="212"/>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row>
    <row r="97" spans="1:45" ht="19.5" customHeight="1">
      <c r="A97" s="190" t="s">
        <v>481</v>
      </c>
      <c r="B97" s="185" t="s">
        <v>2513</v>
      </c>
      <c r="C97" s="185"/>
      <c r="D97" s="185"/>
      <c r="E97" s="728"/>
      <c r="F97" s="185" t="s">
        <v>609</v>
      </c>
      <c r="G97" s="185"/>
      <c r="H97" s="185"/>
      <c r="I97" s="191"/>
      <c r="J97" s="185"/>
      <c r="K97" s="185"/>
      <c r="L97" s="229"/>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row>
    <row r="98" spans="1:45" ht="10.5" customHeight="1">
      <c r="A98" s="190"/>
      <c r="B98" s="185"/>
      <c r="C98" s="185"/>
      <c r="D98" s="185"/>
      <c r="E98" s="197"/>
      <c r="F98" s="185"/>
      <c r="G98" s="185"/>
      <c r="H98" s="185"/>
      <c r="I98" s="191"/>
      <c r="J98" s="185"/>
      <c r="K98" s="185"/>
      <c r="L98" s="229"/>
      <c r="M98" s="212"/>
      <c r="N98" s="212"/>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row>
    <row r="99" spans="1:45" ht="18" customHeight="1">
      <c r="A99" s="190"/>
      <c r="B99" s="3959" t="s">
        <v>2514</v>
      </c>
      <c r="C99" s="3959"/>
      <c r="D99" s="3959"/>
      <c r="E99" s="3959"/>
      <c r="F99" s="185"/>
      <c r="G99" s="185"/>
      <c r="H99" s="185"/>
      <c r="I99" s="191"/>
      <c r="J99" s="185"/>
      <c r="K99" s="185"/>
      <c r="L99" s="229"/>
      <c r="M99" s="212"/>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row>
    <row r="100" spans="1:45" ht="10.5" customHeight="1">
      <c r="A100" s="190"/>
      <c r="B100" s="3959"/>
      <c r="C100" s="3959"/>
      <c r="D100" s="3959"/>
      <c r="E100" s="3959"/>
      <c r="F100" s="185"/>
      <c r="G100" s="185"/>
      <c r="H100" s="185"/>
      <c r="I100" s="191"/>
      <c r="J100" s="185"/>
      <c r="K100" s="185"/>
      <c r="L100" s="229"/>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row>
    <row r="101" spans="1:45" ht="18" customHeight="1">
      <c r="A101" s="230" t="s">
        <v>487</v>
      </c>
      <c r="B101" s="3960" t="s">
        <v>2515</v>
      </c>
      <c r="C101" s="3960"/>
      <c r="D101" s="3960"/>
      <c r="E101" s="3960"/>
      <c r="F101" s="3960"/>
      <c r="G101" s="288"/>
      <c r="H101" s="288"/>
      <c r="I101" s="231"/>
      <c r="J101" s="185"/>
      <c r="K101" s="185"/>
      <c r="L101" s="229"/>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row>
    <row r="102" spans="1:45" ht="18" customHeight="1">
      <c r="A102" s="232"/>
      <c r="B102" s="3960"/>
      <c r="C102" s="3960"/>
      <c r="D102" s="3960"/>
      <c r="E102" s="3960"/>
      <c r="F102" s="3960"/>
      <c r="G102" s="224"/>
      <c r="H102" s="224"/>
      <c r="I102" s="231"/>
      <c r="J102" s="185"/>
      <c r="K102" s="185"/>
      <c r="L102" s="229"/>
      <c r="M102" s="185"/>
      <c r="N102" s="185"/>
      <c r="O102" s="185"/>
      <c r="P102" s="185"/>
      <c r="Q102" s="185"/>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row>
    <row r="103" spans="1:45" ht="19.5" customHeight="1">
      <c r="A103" s="232"/>
      <c r="B103" s="601" t="str">
        <f>F37</f>
        <v xml:space="preserve"> </v>
      </c>
      <c r="C103" s="224" t="s">
        <v>2496</v>
      </c>
      <c r="D103" s="601" t="str">
        <f>IF(ISBLANK(E97),"",E97)</f>
        <v/>
      </c>
      <c r="E103" s="224" t="s">
        <v>1230</v>
      </c>
      <c r="F103" s="601" t="str">
        <f>IF(ISBLANK(E97),"",B103*D103)</f>
        <v/>
      </c>
      <c r="G103" s="224" t="s">
        <v>2516</v>
      </c>
      <c r="I103" s="191"/>
      <c r="J103" s="185"/>
      <c r="K103" s="185"/>
      <c r="L103" s="229"/>
      <c r="M103" s="185"/>
      <c r="N103" s="185"/>
      <c r="O103" s="185"/>
      <c r="P103" s="185"/>
      <c r="Q103" s="185"/>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row>
    <row r="104" spans="1:45" ht="10.5" customHeight="1">
      <c r="A104" s="232"/>
      <c r="B104" s="225"/>
      <c r="C104" s="197"/>
      <c r="D104" s="185"/>
      <c r="E104" s="197"/>
      <c r="F104" s="185"/>
      <c r="G104" s="197"/>
      <c r="H104" s="185"/>
      <c r="I104" s="191"/>
      <c r="J104" s="185"/>
      <c r="K104" s="185"/>
      <c r="L104" s="229"/>
      <c r="M104" s="185"/>
      <c r="N104" s="185"/>
      <c r="O104" s="185"/>
      <c r="P104" s="185"/>
      <c r="Q104" s="185"/>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row>
    <row r="105" spans="1:45" ht="18" customHeight="1">
      <c r="A105" s="190"/>
      <c r="B105" s="185" t="s">
        <v>2511</v>
      </c>
      <c r="C105" s="185"/>
      <c r="D105" s="185"/>
      <c r="E105" s="185"/>
      <c r="F105" s="185"/>
      <c r="G105" s="185"/>
      <c r="H105" s="185"/>
      <c r="I105" s="191"/>
      <c r="J105" s="185"/>
      <c r="K105" s="185"/>
      <c r="L105" s="229"/>
      <c r="M105" s="185"/>
      <c r="N105" s="185"/>
      <c r="O105" s="185"/>
      <c r="P105" s="185"/>
      <c r="Q105" s="185"/>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row>
    <row r="106" spans="1:45" ht="19.5" customHeight="1">
      <c r="A106" s="198"/>
      <c r="B106" s="601" t="str">
        <f>F103</f>
        <v/>
      </c>
      <c r="C106" s="224" t="s">
        <v>2498</v>
      </c>
      <c r="D106" s="606" t="str">
        <f>IF(ISBLANK(E97),"",B106/27)</f>
        <v/>
      </c>
      <c r="E106" s="224" t="s">
        <v>1243</v>
      </c>
      <c r="G106" s="185"/>
      <c r="H106" s="185"/>
      <c r="I106" s="191"/>
      <c r="J106" s="185"/>
      <c r="K106" s="185"/>
      <c r="L106" s="229"/>
      <c r="M106" s="185"/>
      <c r="N106" s="185"/>
      <c r="O106" s="185"/>
      <c r="P106" s="185"/>
      <c r="Q106" s="185"/>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row>
    <row r="107" spans="1:45" ht="10.5" customHeight="1">
      <c r="A107" s="198"/>
      <c r="B107" s="185"/>
      <c r="C107" s="197"/>
      <c r="D107" s="185"/>
      <c r="E107" s="223"/>
      <c r="F107" s="185"/>
      <c r="G107" s="185"/>
      <c r="H107" s="185"/>
      <c r="I107" s="191"/>
      <c r="J107" s="185"/>
      <c r="K107" s="185"/>
      <c r="L107" s="229"/>
      <c r="M107" s="185"/>
      <c r="N107" s="185"/>
      <c r="O107" s="185"/>
      <c r="P107" s="185"/>
      <c r="Q107" s="185"/>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row>
    <row r="108" spans="1:45" ht="18" customHeight="1">
      <c r="A108" s="456" t="s">
        <v>1181</v>
      </c>
      <c r="B108" s="457" t="s">
        <v>2517</v>
      </c>
      <c r="C108" s="457"/>
      <c r="D108" s="458"/>
      <c r="E108" s="458"/>
      <c r="F108" s="458"/>
      <c r="G108" s="458"/>
      <c r="H108" s="458"/>
      <c r="I108" s="459"/>
      <c r="J108" s="185"/>
      <c r="K108" s="185"/>
      <c r="L108" s="185"/>
      <c r="M108" s="185"/>
      <c r="N108" s="185"/>
      <c r="O108" s="185"/>
      <c r="P108" s="185"/>
      <c r="Q108" s="185"/>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row>
    <row r="109" spans="1:45" ht="10.5" customHeight="1">
      <c r="A109" s="190"/>
      <c r="B109" s="197"/>
      <c r="C109" s="185"/>
      <c r="D109" s="197"/>
      <c r="E109" s="185"/>
      <c r="F109" s="197"/>
      <c r="G109" s="197"/>
      <c r="H109" s="185"/>
      <c r="I109" s="191"/>
      <c r="J109" s="185"/>
      <c r="K109" s="185"/>
      <c r="L109" s="185"/>
      <c r="M109" s="185"/>
      <c r="N109" s="185"/>
      <c r="O109" s="185"/>
      <c r="P109" s="185"/>
      <c r="Q109" s="185"/>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row>
    <row r="110" spans="1:45" ht="18" customHeight="1">
      <c r="A110" s="190"/>
      <c r="B110" s="201" t="s">
        <v>2518</v>
      </c>
      <c r="C110" s="293"/>
      <c r="D110" s="293"/>
      <c r="E110" s="185"/>
      <c r="F110" s="185"/>
      <c r="G110" s="185"/>
      <c r="H110" s="185"/>
      <c r="I110" s="191"/>
      <c r="J110" s="192"/>
      <c r="K110" s="185"/>
      <c r="L110" s="185"/>
      <c r="M110" s="185"/>
      <c r="N110" s="185"/>
      <c r="O110" s="185"/>
      <c r="P110" s="185"/>
      <c r="Q110" s="185"/>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row>
    <row r="111" spans="1:45" ht="10.5" customHeight="1">
      <c r="A111" s="190"/>
      <c r="B111" s="293"/>
      <c r="C111" s="293"/>
      <c r="D111" s="293"/>
      <c r="E111" s="185"/>
      <c r="F111" s="185"/>
      <c r="G111" s="185"/>
      <c r="H111" s="185"/>
      <c r="I111" s="191"/>
      <c r="J111" s="192"/>
      <c r="K111" s="185"/>
      <c r="L111" s="185"/>
      <c r="M111" s="185"/>
      <c r="N111" s="185"/>
      <c r="O111" s="185"/>
      <c r="P111" s="185"/>
      <c r="Q111" s="185"/>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row>
    <row r="112" spans="1:45" ht="19.5" customHeight="1">
      <c r="A112" s="190"/>
      <c r="B112" s="185"/>
      <c r="C112" s="197"/>
      <c r="D112" s="728"/>
      <c r="E112" s="185" t="s">
        <v>609</v>
      </c>
      <c r="I112" s="191"/>
      <c r="J112" s="185"/>
      <c r="K112" s="192"/>
      <c r="L112" s="185"/>
      <c r="M112" s="185"/>
      <c r="N112" s="185"/>
      <c r="O112" s="185"/>
      <c r="P112" s="185"/>
      <c r="Q112" s="185"/>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row>
    <row r="113" spans="1:45" ht="24" customHeight="1">
      <c r="A113" s="190"/>
      <c r="B113" s="3945" t="s">
        <v>2519</v>
      </c>
      <c r="C113" s="3945"/>
      <c r="D113" s="3945"/>
      <c r="E113" s="3945"/>
      <c r="F113" s="3945"/>
      <c r="G113" s="3945"/>
      <c r="I113" s="191"/>
      <c r="J113" s="185"/>
      <c r="K113" s="192"/>
      <c r="L113" s="185"/>
      <c r="M113" s="185"/>
      <c r="N113" s="185"/>
      <c r="O113" s="185"/>
      <c r="P113" s="185"/>
      <c r="Q113" s="185"/>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row>
    <row r="114" spans="1:45" ht="45.75" customHeight="1">
      <c r="A114" s="190"/>
      <c r="B114" s="3945"/>
      <c r="C114" s="3945"/>
      <c r="D114" s="3945"/>
      <c r="E114" s="3945"/>
      <c r="F114" s="3945"/>
      <c r="G114" s="3945"/>
      <c r="H114" s="287"/>
      <c r="I114" s="286"/>
      <c r="J114" s="185"/>
      <c r="K114" s="192"/>
      <c r="L114" s="185"/>
      <c r="M114" s="185"/>
      <c r="N114" s="185"/>
      <c r="O114" s="185"/>
      <c r="P114" s="185"/>
      <c r="Q114" s="185"/>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row>
    <row r="115" spans="1:45" ht="10.5" customHeight="1">
      <c r="A115" s="222"/>
      <c r="B115" s="194"/>
      <c r="C115" s="194"/>
      <c r="D115" s="194"/>
      <c r="E115" s="194"/>
      <c r="F115" s="194"/>
      <c r="G115" s="194"/>
      <c r="H115" s="194"/>
      <c r="I115" s="196"/>
      <c r="J115" s="185"/>
      <c r="K115" s="185"/>
      <c r="L115" s="185"/>
      <c r="M115" s="185"/>
      <c r="N115" s="185"/>
      <c r="O115" s="185"/>
      <c r="P115" s="185"/>
      <c r="Q115" s="185"/>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row>
    <row r="116" spans="1:45" ht="18" customHeight="1">
      <c r="A116" s="456" t="s">
        <v>1184</v>
      </c>
      <c r="B116" s="457" t="s">
        <v>2520</v>
      </c>
      <c r="C116" s="458"/>
      <c r="D116" s="458"/>
      <c r="E116" s="458"/>
      <c r="F116" s="458"/>
      <c r="G116" s="458"/>
      <c r="H116" s="458"/>
      <c r="I116" s="459"/>
      <c r="J116" s="224"/>
      <c r="K116" s="185"/>
      <c r="L116" s="185"/>
      <c r="M116" s="185"/>
      <c r="N116" s="185"/>
      <c r="O116" s="185"/>
      <c r="P116" s="185"/>
      <c r="Q116" s="185"/>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row>
    <row r="117" spans="1:45" ht="10.5" customHeight="1">
      <c r="A117" s="198"/>
      <c r="B117" s="192"/>
      <c r="C117" s="185"/>
      <c r="D117" s="185"/>
      <c r="E117" s="185"/>
      <c r="F117" s="185"/>
      <c r="G117" s="185"/>
      <c r="H117" s="185"/>
      <c r="I117" s="191"/>
      <c r="J117" s="224"/>
      <c r="K117" s="185"/>
      <c r="L117" s="185"/>
      <c r="M117" s="185"/>
      <c r="N117" s="185"/>
      <c r="O117" s="185"/>
      <c r="P117" s="185"/>
      <c r="Q117" s="185"/>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row>
    <row r="118" spans="1:45" ht="18" customHeight="1">
      <c r="A118" s="198" t="s">
        <v>475</v>
      </c>
      <c r="B118" s="3943" t="s">
        <v>2521</v>
      </c>
      <c r="C118" s="3943"/>
      <c r="D118" s="3943"/>
      <c r="E118" s="3943"/>
      <c r="F118" s="3943"/>
      <c r="G118" s="3943"/>
      <c r="H118" s="3943"/>
      <c r="I118" s="4130"/>
      <c r="J118" s="185"/>
      <c r="K118" s="224"/>
      <c r="L118" s="224"/>
      <c r="M118" s="185"/>
      <c r="N118" s="185"/>
      <c r="O118" s="185"/>
      <c r="P118" s="185"/>
      <c r="Q118" s="185"/>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row>
    <row r="119" spans="1:45" ht="10.5" customHeight="1">
      <c r="A119" s="232"/>
      <c r="B119" s="224"/>
      <c r="C119" s="224"/>
      <c r="D119" s="224"/>
      <c r="E119" s="224"/>
      <c r="F119" s="224"/>
      <c r="G119" s="224"/>
      <c r="I119" s="334"/>
      <c r="J119" s="185"/>
      <c r="K119" s="185"/>
      <c r="L119" s="233"/>
      <c r="M119" s="224"/>
      <c r="N119" s="185"/>
      <c r="O119" s="185"/>
      <c r="P119" s="185"/>
      <c r="Q119" s="185"/>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row>
    <row r="120" spans="1:45" ht="19.5" customHeight="1">
      <c r="A120" s="232"/>
      <c r="B120" s="606" t="str">
        <f>IF(ISBLANK(E53),"",E53)</f>
        <v/>
      </c>
      <c r="C120" s="224" t="s">
        <v>2522</v>
      </c>
      <c r="D120" s="606" t="str">
        <f>IF(ISBLANK(D82),"",D82)</f>
        <v/>
      </c>
      <c r="E120" s="224" t="s">
        <v>2523</v>
      </c>
      <c r="F120" s="606" t="str">
        <f>IF(ISBLANK(E97),"",E97)</f>
        <v/>
      </c>
      <c r="G120" s="224" t="s">
        <v>1356</v>
      </c>
      <c r="H120" s="4146" t="s">
        <v>2524</v>
      </c>
      <c r="I120" s="4147"/>
      <c r="J120" s="185"/>
      <c r="K120" s="185"/>
      <c r="L120" s="185"/>
      <c r="M120" s="185"/>
      <c r="N120" s="224"/>
      <c r="O120" s="185"/>
      <c r="P120" s="185"/>
      <c r="Q120" s="185"/>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row>
    <row r="121" spans="1:45" ht="10.5" customHeight="1">
      <c r="A121" s="216"/>
      <c r="B121" s="185"/>
      <c r="C121" s="185"/>
      <c r="D121" s="185"/>
      <c r="E121" s="185"/>
      <c r="F121" s="185"/>
      <c r="G121" s="185"/>
      <c r="H121" s="4148"/>
      <c r="I121" s="4149"/>
      <c r="J121" s="185"/>
      <c r="K121" s="185"/>
      <c r="L121" s="185"/>
      <c r="M121" s="185"/>
      <c r="N121" s="185"/>
      <c r="O121" s="185"/>
      <c r="P121" s="185"/>
      <c r="Q121" s="185"/>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row>
    <row r="122" spans="1:45" ht="19.5" customHeight="1">
      <c r="A122" s="216"/>
      <c r="B122" s="606" t="str">
        <f>IF(ISBLANK(G4),"",D112)</f>
        <v/>
      </c>
      <c r="C122" s="224" t="s">
        <v>1230</v>
      </c>
      <c r="D122" s="606" t="str">
        <f>IF(ISBLANK(E97),"",B120+D120+F120+B122)</f>
        <v/>
      </c>
      <c r="E122" s="337" t="s">
        <v>609</v>
      </c>
      <c r="G122" s="185"/>
      <c r="H122" s="4150"/>
      <c r="I122" s="4151"/>
      <c r="J122" s="185"/>
      <c r="K122" s="185"/>
      <c r="L122" s="185"/>
      <c r="M122" s="185"/>
      <c r="N122" s="185"/>
      <c r="O122" s="185"/>
      <c r="P122" s="185"/>
      <c r="Q122" s="185"/>
      <c r="R122" s="185"/>
      <c r="S122" s="185"/>
      <c r="T122" s="185"/>
      <c r="U122" s="185"/>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row>
    <row r="123" spans="1:45" ht="10.5" customHeight="1">
      <c r="A123" s="216"/>
      <c r="B123" s="185"/>
      <c r="C123" s="185"/>
      <c r="D123" s="185"/>
      <c r="E123" s="185"/>
      <c r="F123" s="185"/>
      <c r="G123" s="185"/>
      <c r="H123" s="296"/>
      <c r="I123" s="334"/>
      <c r="J123" s="185"/>
      <c r="K123" s="185"/>
      <c r="L123" s="185"/>
      <c r="M123" s="185"/>
      <c r="N123" s="185"/>
      <c r="O123" s="185"/>
      <c r="P123" s="185"/>
      <c r="Q123" s="185"/>
      <c r="R123" s="185"/>
      <c r="S123" s="185"/>
      <c r="T123" s="185"/>
      <c r="U123" s="185"/>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row>
    <row r="124" spans="1:45" ht="32.25" customHeight="1">
      <c r="A124" s="234" t="s">
        <v>481</v>
      </c>
      <c r="B124" s="3933" t="s">
        <v>2525</v>
      </c>
      <c r="C124" s="3449"/>
      <c r="D124" s="3449"/>
      <c r="E124" s="3449"/>
      <c r="F124" s="3449"/>
      <c r="G124" s="3449"/>
      <c r="H124" s="212"/>
      <c r="I124" s="286"/>
      <c r="J124" s="201"/>
      <c r="K124" s="185"/>
      <c r="L124" s="185"/>
      <c r="M124" s="185"/>
      <c r="N124" s="185"/>
      <c r="O124" s="185"/>
      <c r="P124" s="185"/>
      <c r="Q124" s="185"/>
      <c r="R124" s="185"/>
      <c r="S124" s="185"/>
      <c r="T124" s="185"/>
      <c r="U124" s="185"/>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row>
    <row r="125" spans="1:45" ht="10.5" customHeight="1">
      <c r="A125" s="234"/>
      <c r="B125" s="285"/>
      <c r="C125" s="212"/>
      <c r="D125" s="212"/>
      <c r="E125" s="212"/>
      <c r="F125" s="212"/>
      <c r="G125" s="212"/>
      <c r="H125" s="212"/>
      <c r="I125" s="286"/>
      <c r="J125" s="185"/>
      <c r="K125" s="185"/>
      <c r="L125" s="185"/>
      <c r="M125" s="185"/>
      <c r="N125" s="185"/>
      <c r="O125" s="185"/>
      <c r="P125" s="185"/>
      <c r="Q125" s="185"/>
      <c r="R125" s="185"/>
      <c r="S125" s="185"/>
      <c r="T125" s="185"/>
      <c r="U125" s="185"/>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row>
    <row r="126" spans="1:45" ht="19.5" customHeight="1">
      <c r="A126" s="198"/>
      <c r="B126" s="606" t="str">
        <f>IF(ISBLANK(D39),"",D39)</f>
        <v/>
      </c>
      <c r="C126" s="224" t="s">
        <v>2526</v>
      </c>
      <c r="D126" s="606" t="str">
        <f>D122</f>
        <v/>
      </c>
      <c r="E126" s="224" t="s">
        <v>2527</v>
      </c>
      <c r="F126" s="606" t="str">
        <f>IF(ISBLANK(D39),"",(B126+(D126*2)+2))</f>
        <v/>
      </c>
      <c r="G126" s="224" t="s">
        <v>609</v>
      </c>
      <c r="I126" s="191"/>
      <c r="J126" s="185"/>
      <c r="K126" s="185"/>
      <c r="L126" s="185"/>
      <c r="M126" s="185"/>
      <c r="N126" s="185"/>
      <c r="O126" s="185"/>
      <c r="P126" s="185"/>
      <c r="Q126" s="185"/>
      <c r="R126" s="185"/>
      <c r="S126" s="185"/>
      <c r="T126" s="185"/>
      <c r="U126" s="185"/>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row>
    <row r="127" spans="1:45" ht="10.5" customHeight="1">
      <c r="A127" s="216"/>
      <c r="B127" s="185"/>
      <c r="C127" s="185"/>
      <c r="D127" s="185"/>
      <c r="E127" s="185"/>
      <c r="F127" s="185"/>
      <c r="G127" s="185"/>
      <c r="H127" s="185"/>
      <c r="I127" s="191"/>
      <c r="J127" s="185"/>
      <c r="K127" s="185"/>
      <c r="L127" s="185"/>
      <c r="M127" s="185"/>
      <c r="N127" s="185"/>
      <c r="O127" s="185"/>
      <c r="P127" s="185"/>
      <c r="Q127" s="185"/>
      <c r="R127" s="185"/>
      <c r="S127" s="185"/>
      <c r="T127" s="185"/>
      <c r="U127" s="185"/>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row>
    <row r="128" spans="1:45" ht="28.5" customHeight="1">
      <c r="A128" s="234" t="s">
        <v>487</v>
      </c>
      <c r="B128" s="3933" t="s">
        <v>2528</v>
      </c>
      <c r="C128" s="4125"/>
      <c r="D128" s="4125"/>
      <c r="E128" s="4125"/>
      <c r="F128" s="4125"/>
      <c r="G128" s="4125"/>
      <c r="H128" s="4125"/>
      <c r="I128" s="4145"/>
      <c r="J128" s="197"/>
      <c r="K128" s="185"/>
      <c r="L128" s="185"/>
      <c r="M128" s="185"/>
      <c r="N128" s="185"/>
      <c r="O128" s="185"/>
      <c r="P128" s="185"/>
      <c r="Q128" s="185"/>
      <c r="R128" s="185"/>
      <c r="S128" s="185"/>
      <c r="T128" s="185"/>
      <c r="U128" s="185"/>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row>
    <row r="129" spans="1:45" ht="10.5" customHeight="1">
      <c r="A129" s="234"/>
      <c r="B129" s="285"/>
      <c r="C129" s="212"/>
      <c r="D129" s="212"/>
      <c r="E129" s="212"/>
      <c r="F129" s="212"/>
      <c r="G129" s="212"/>
      <c r="H129" s="212"/>
      <c r="I129" s="286"/>
      <c r="J129" s="197"/>
      <c r="K129" s="185"/>
      <c r="L129" s="185"/>
      <c r="M129" s="185"/>
      <c r="N129" s="185"/>
      <c r="O129" s="185"/>
      <c r="P129" s="185"/>
      <c r="Q129" s="185"/>
      <c r="R129" s="185"/>
      <c r="S129" s="185"/>
      <c r="T129" s="185"/>
      <c r="U129" s="185"/>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row>
    <row r="130" spans="1:45" ht="19.5" customHeight="1">
      <c r="A130" s="198"/>
      <c r="B130" s="606" t="str">
        <f>F43</f>
        <v/>
      </c>
      <c r="C130" s="224" t="s">
        <v>2526</v>
      </c>
      <c r="D130" s="606" t="str">
        <f>D122</f>
        <v/>
      </c>
      <c r="E130" s="224" t="s">
        <v>2527</v>
      </c>
      <c r="F130" s="606" t="str">
        <f>IF(ISBLANK(D39),"",(B130+(D126*2)+2))</f>
        <v/>
      </c>
      <c r="G130" s="224" t="s">
        <v>609</v>
      </c>
      <c r="I130" s="191"/>
      <c r="J130" s="185"/>
      <c r="K130" s="185"/>
      <c r="L130" s="185"/>
      <c r="M130" s="185"/>
      <c r="N130" s="185"/>
      <c r="O130" s="185"/>
      <c r="P130" s="185"/>
      <c r="Q130" s="185"/>
      <c r="R130" s="185"/>
      <c r="S130" s="185"/>
      <c r="T130" s="185"/>
      <c r="U130" s="185"/>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row>
    <row r="131" spans="1:45" ht="10.5" customHeight="1">
      <c r="A131" s="216"/>
      <c r="B131" s="185"/>
      <c r="C131" s="185"/>
      <c r="D131" s="185"/>
      <c r="E131" s="197"/>
      <c r="F131" s="185"/>
      <c r="G131" s="185"/>
      <c r="H131" s="197"/>
      <c r="I131" s="191"/>
      <c r="J131" s="185"/>
      <c r="K131" s="185"/>
      <c r="L131" s="185"/>
      <c r="M131" s="185"/>
      <c r="N131" s="185"/>
      <c r="O131" s="185"/>
      <c r="P131" s="185"/>
      <c r="Q131" s="185"/>
      <c r="R131" s="185"/>
      <c r="S131" s="185"/>
      <c r="T131" s="185"/>
      <c r="U131" s="185"/>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row>
    <row r="132" spans="1:45" ht="18" customHeight="1">
      <c r="A132" s="198" t="s">
        <v>493</v>
      </c>
      <c r="B132" s="185" t="s">
        <v>2529</v>
      </c>
      <c r="C132" s="185"/>
      <c r="D132" s="185"/>
      <c r="E132" s="185"/>
      <c r="F132" s="185"/>
      <c r="G132" s="185"/>
      <c r="H132" s="185"/>
      <c r="I132" s="191"/>
      <c r="J132" s="185"/>
      <c r="K132" s="185"/>
      <c r="L132" s="185"/>
      <c r="M132" s="185"/>
      <c r="N132" s="185"/>
      <c r="O132" s="185"/>
      <c r="P132" s="185"/>
      <c r="Q132" s="185"/>
      <c r="R132" s="185"/>
      <c r="S132" s="185"/>
      <c r="T132" s="185"/>
      <c r="U132" s="185"/>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row>
    <row r="133" spans="1:45" ht="10.5" customHeight="1">
      <c r="A133" s="198"/>
      <c r="B133" s="185"/>
      <c r="C133" s="185"/>
      <c r="D133" s="185"/>
      <c r="E133" s="185"/>
      <c r="F133" s="185"/>
      <c r="G133" s="185"/>
      <c r="H133" s="185"/>
      <c r="I133" s="191"/>
      <c r="J133" s="185"/>
      <c r="K133" s="185"/>
      <c r="L133" s="185"/>
      <c r="M133" s="185"/>
      <c r="N133" s="185"/>
      <c r="O133" s="185"/>
      <c r="P133" s="185"/>
      <c r="Q133" s="185"/>
      <c r="R133" s="185"/>
      <c r="S133" s="185"/>
      <c r="T133" s="185"/>
      <c r="U133" s="185"/>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row>
    <row r="134" spans="1:45" ht="19.5" customHeight="1">
      <c r="A134" s="198"/>
      <c r="B134" s="606" t="str">
        <f>F126</f>
        <v/>
      </c>
      <c r="C134" s="224" t="s">
        <v>2530</v>
      </c>
      <c r="D134" s="606" t="str">
        <f>F130</f>
        <v/>
      </c>
      <c r="E134" s="224" t="s">
        <v>1230</v>
      </c>
      <c r="F134" s="606" t="str">
        <f>IF(ISBLANK(D39),"",B134*D134)</f>
        <v/>
      </c>
      <c r="G134" s="224" t="s">
        <v>1089</v>
      </c>
      <c r="I134" s="191"/>
      <c r="J134" s="185"/>
      <c r="K134" s="185"/>
      <c r="L134" s="185"/>
      <c r="M134" s="185"/>
      <c r="N134" s="185"/>
      <c r="O134" s="185"/>
      <c r="P134" s="185"/>
      <c r="Q134" s="185"/>
      <c r="R134" s="185"/>
      <c r="S134" s="185"/>
      <c r="T134" s="185"/>
      <c r="U134" s="185"/>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row>
    <row r="135" spans="1:45" ht="10.5" customHeight="1">
      <c r="A135" s="235"/>
      <c r="B135" s="236"/>
      <c r="C135" s="194"/>
      <c r="D135" s="194"/>
      <c r="E135" s="194"/>
      <c r="F135" s="194"/>
      <c r="G135" s="194"/>
      <c r="H135" s="194"/>
      <c r="I135" s="196"/>
      <c r="J135" s="2382"/>
      <c r="K135" s="185"/>
      <c r="L135" s="185"/>
      <c r="M135" s="185"/>
      <c r="N135" s="185"/>
      <c r="O135" s="185"/>
      <c r="P135" s="185"/>
      <c r="Q135" s="185"/>
      <c r="R135" s="185"/>
      <c r="S135" s="185"/>
      <c r="T135" s="185"/>
      <c r="U135" s="185"/>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row>
    <row r="136" spans="1:45" ht="16.5">
      <c r="A136" s="192"/>
      <c r="B136" s="237"/>
      <c r="C136" s="185"/>
      <c r="D136" s="185"/>
      <c r="E136" s="185"/>
      <c r="F136" s="185"/>
      <c r="G136" s="185"/>
      <c r="H136" s="185"/>
      <c r="I136" s="185"/>
      <c r="J136" s="185"/>
      <c r="K136" s="185"/>
      <c r="L136" s="185"/>
      <c r="M136" s="185"/>
      <c r="N136" s="185"/>
      <c r="O136" s="185"/>
      <c r="P136" s="185"/>
      <c r="Q136" s="185"/>
      <c r="R136" s="185"/>
      <c r="S136" s="185"/>
      <c r="T136" s="185"/>
      <c r="U136" s="185"/>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row>
    <row r="137" spans="1:45" ht="16.5">
      <c r="A137" s="212"/>
      <c r="B137" s="212"/>
      <c r="C137" s="212"/>
      <c r="D137" s="212"/>
      <c r="E137" s="212"/>
      <c r="F137" s="212"/>
      <c r="G137" s="212"/>
      <c r="H137" s="212"/>
      <c r="I137" s="212"/>
      <c r="J137" s="212"/>
      <c r="K137" s="212"/>
      <c r="L137" s="212"/>
      <c r="M137" s="212"/>
      <c r="N137" s="212"/>
      <c r="O137" s="185"/>
      <c r="P137" s="185"/>
      <c r="Q137" s="185"/>
      <c r="R137" s="185"/>
      <c r="S137" s="185"/>
      <c r="T137" s="185"/>
      <c r="U137" s="185"/>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row>
    <row r="138" spans="1:45" ht="16.5">
      <c r="A138" s="212"/>
      <c r="B138" s="212"/>
      <c r="C138" s="212"/>
      <c r="D138" s="212"/>
      <c r="E138" s="212"/>
      <c r="F138" s="212"/>
      <c r="G138" s="212"/>
      <c r="H138" s="212"/>
      <c r="I138" s="212"/>
      <c r="J138" s="212"/>
      <c r="K138" s="212"/>
      <c r="L138" s="212"/>
      <c r="M138" s="212"/>
      <c r="N138" s="212"/>
      <c r="O138" s="185"/>
      <c r="P138" s="185"/>
      <c r="Q138" s="185"/>
      <c r="R138" s="185"/>
      <c r="S138" s="185"/>
      <c r="T138" s="185"/>
      <c r="U138" s="185"/>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row>
    <row r="139" spans="1:45" ht="16.5">
      <c r="A139" s="212"/>
      <c r="B139" s="212"/>
      <c r="C139" s="212"/>
      <c r="D139" s="212"/>
      <c r="E139" s="212"/>
      <c r="F139" s="212"/>
      <c r="G139" s="212"/>
      <c r="H139" s="212"/>
      <c r="I139" s="212"/>
      <c r="J139" s="212"/>
      <c r="K139" s="361"/>
      <c r="L139" s="212"/>
      <c r="M139" s="212"/>
      <c r="N139" s="212"/>
      <c r="O139" s="185"/>
      <c r="P139" s="185"/>
      <c r="Q139" s="185"/>
      <c r="R139" s="185"/>
      <c r="S139" s="185"/>
      <c r="T139" s="185"/>
      <c r="U139" s="185"/>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row>
    <row r="140" spans="1:45" ht="16.5">
      <c r="A140" s="212"/>
      <c r="B140" s="212"/>
      <c r="C140" s="212"/>
      <c r="D140" s="212"/>
      <c r="E140" s="212"/>
      <c r="F140" s="212"/>
      <c r="G140" s="212"/>
      <c r="H140" s="212"/>
      <c r="I140" s="212"/>
      <c r="J140" s="212"/>
      <c r="K140" s="361"/>
      <c r="L140" s="212"/>
      <c r="M140" s="212"/>
      <c r="N140" s="212"/>
      <c r="O140" s="185"/>
      <c r="P140" s="185"/>
      <c r="Q140" s="185"/>
      <c r="R140" s="185"/>
      <c r="S140" s="185"/>
      <c r="T140" s="185"/>
      <c r="U140" s="185"/>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row>
    <row r="141" spans="1:45" ht="16.5">
      <c r="A141" s="212"/>
      <c r="B141" s="212"/>
      <c r="C141" s="212"/>
      <c r="D141" s="212"/>
      <c r="E141" s="212"/>
      <c r="F141" s="212"/>
      <c r="G141" s="212"/>
      <c r="H141" s="212"/>
      <c r="I141" s="212"/>
      <c r="J141" s="212"/>
      <c r="K141" s="361"/>
      <c r="M141" s="212"/>
      <c r="N141" s="212"/>
      <c r="O141" s="185"/>
      <c r="P141" s="185"/>
      <c r="Q141" s="185"/>
      <c r="R141" s="185"/>
      <c r="S141" s="185"/>
      <c r="T141" s="185"/>
      <c r="U141" s="185"/>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row>
    <row r="142" spans="1:45" ht="16.5">
      <c r="A142" s="212"/>
      <c r="B142" s="212"/>
      <c r="C142" s="212"/>
      <c r="D142" s="212"/>
      <c r="E142" s="212"/>
      <c r="F142" s="212"/>
      <c r="G142" s="212"/>
      <c r="H142" s="212"/>
      <c r="I142" s="212"/>
      <c r="J142" s="212"/>
      <c r="K142" s="361"/>
      <c r="L142" s="185"/>
      <c r="M142" s="212"/>
      <c r="N142" s="212"/>
      <c r="O142" s="185"/>
      <c r="P142" s="185"/>
      <c r="Q142" s="185"/>
      <c r="R142" s="185"/>
      <c r="S142" s="185"/>
      <c r="T142" s="185"/>
      <c r="U142" s="185"/>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row>
    <row r="143" spans="1:45" ht="16.5">
      <c r="A143" s="212"/>
      <c r="B143" s="212"/>
      <c r="C143" s="212"/>
      <c r="D143" s="212"/>
      <c r="E143" s="212"/>
      <c r="F143" s="212"/>
      <c r="G143" s="212"/>
      <c r="H143" s="212"/>
      <c r="I143" s="212"/>
      <c r="J143" s="212"/>
      <c r="L143" s="212"/>
      <c r="M143" s="212"/>
      <c r="N143" s="212"/>
      <c r="O143" s="185"/>
      <c r="P143" s="185"/>
      <c r="Q143" s="185"/>
      <c r="R143" s="185"/>
      <c r="S143" s="185"/>
      <c r="T143" s="185"/>
      <c r="U143" s="185"/>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row>
  </sheetData>
  <sheetProtection sheet="1" objects="1" scenarios="1"/>
  <customSheetViews>
    <customSheetView guid="{D1431318-1DB8-4C45-813B-5A8065DFC797}" showPageBreaks="1" zeroValues="0" printArea="1" view="pageBreakPreview">
      <selection activeCell="L112" sqref="L112"/>
      <rowBreaks count="3" manualBreakCount="3">
        <brk id="47" max="8" man="1"/>
        <brk id="77" max="8" man="1"/>
        <brk id="115" max="8" man="1"/>
      </rowBreaks>
      <pageMargins left="0" right="0" top="0" bottom="0" header="0" footer="0"/>
      <printOptions horizontalCentered="1"/>
      <pageSetup scale="95" orientation="portrait" blackAndWhite="1" r:id="rId1"/>
      <headerFooter alignWithMargins="0"/>
    </customSheetView>
  </customSheetViews>
  <mergeCells count="31">
    <mergeCell ref="B128:I128"/>
    <mergeCell ref="B101:F102"/>
    <mergeCell ref="B124:G124"/>
    <mergeCell ref="B99:E100"/>
    <mergeCell ref="F87:G87"/>
    <mergeCell ref="H120:I122"/>
    <mergeCell ref="B118:I118"/>
    <mergeCell ref="B113:G114"/>
    <mergeCell ref="E76:H76"/>
    <mergeCell ref="A77:C77"/>
    <mergeCell ref="D95:G95"/>
    <mergeCell ref="D93:G93"/>
    <mergeCell ref="D80:G80"/>
    <mergeCell ref="B51:I51"/>
    <mergeCell ref="B61:H61"/>
    <mergeCell ref="B54:I55"/>
    <mergeCell ref="B67:H67"/>
    <mergeCell ref="E74:I75"/>
    <mergeCell ref="D1:F1"/>
    <mergeCell ref="N23:O23"/>
    <mergeCell ref="E50:H50"/>
    <mergeCell ref="E26:F26"/>
    <mergeCell ref="F30:G30"/>
    <mergeCell ref="B24:I24"/>
    <mergeCell ref="J2:L2"/>
    <mergeCell ref="K10:L10"/>
    <mergeCell ref="J11:L11"/>
    <mergeCell ref="B33:I33"/>
    <mergeCell ref="B37:E37"/>
    <mergeCell ref="D2:E2"/>
    <mergeCell ref="F2:G2"/>
  </mergeCells>
  <phoneticPr fontId="26" type="noConversion"/>
  <dataValidations count="1">
    <dataValidation type="list" allowBlank="1" showInputMessage="1" showErrorMessage="1" sqref="E50:H50 D80:G80 D93:G93" xr:uid="{00000000-0002-0000-2100-000000000000}">
      <formula1>DistMedia</formula1>
    </dataValidation>
  </dataValidations>
  <printOptions horizontalCentered="1"/>
  <pageMargins left="0.4" right="0.4" top="0.4" bottom="0.4" header="0.17" footer="0.5"/>
  <pageSetup scale="95" orientation="portrait" blackAndWhite="1" r:id="rId2"/>
  <headerFooter alignWithMargins="0"/>
  <rowBreaks count="3" manualBreakCount="3">
    <brk id="47" max="8" man="1"/>
    <brk id="77" max="8" man="1"/>
    <brk id="115" max="8" man="1"/>
  </rowBreaks>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6">
    <tabColor indexed="43"/>
  </sheetPr>
  <dimension ref="A1:V330"/>
  <sheetViews>
    <sheetView showGridLines="0" view="pageBreakPreview" zoomScale="90" zoomScaleNormal="100" zoomScaleSheetLayoutView="90" workbookViewId="0">
      <selection activeCell="A3" sqref="A3"/>
    </sheetView>
  </sheetViews>
  <sheetFormatPr defaultColWidth="8.85546875" defaultRowHeight="12.75"/>
  <cols>
    <col min="1" max="1" width="35.140625" customWidth="1"/>
    <col min="2" max="2" width="36" customWidth="1"/>
    <col min="3" max="3" width="25.42578125" customWidth="1"/>
  </cols>
  <sheetData>
    <row r="1" spans="1:22" ht="16.5">
      <c r="A1" s="4152" t="s">
        <v>2531</v>
      </c>
      <c r="B1" s="4152"/>
      <c r="C1" s="4152"/>
      <c r="D1" s="238"/>
      <c r="E1" s="238"/>
      <c r="F1" s="238"/>
      <c r="G1" s="238"/>
      <c r="H1" s="238"/>
      <c r="I1" s="238"/>
      <c r="J1" s="238"/>
      <c r="K1" s="238"/>
      <c r="L1" s="238"/>
      <c r="M1" s="238"/>
      <c r="N1" s="238"/>
      <c r="O1" s="238"/>
      <c r="P1" s="238"/>
      <c r="Q1" s="238"/>
      <c r="R1" s="238"/>
      <c r="S1" s="238"/>
      <c r="T1" s="238"/>
      <c r="U1" s="238"/>
      <c r="V1" s="238"/>
    </row>
    <row r="2" spans="1:22" ht="28.5" customHeight="1">
      <c r="A2" s="4152"/>
      <c r="B2" s="4152"/>
      <c r="C2" s="4152"/>
      <c r="D2" s="238"/>
      <c r="E2" s="238"/>
      <c r="F2" s="238"/>
      <c r="G2" s="238"/>
      <c r="H2" s="238"/>
      <c r="I2" s="238"/>
      <c r="J2" s="238"/>
      <c r="K2" s="238"/>
      <c r="L2" s="238"/>
      <c r="M2" s="238"/>
      <c r="N2" s="238"/>
      <c r="O2" s="238"/>
      <c r="P2" s="238"/>
      <c r="Q2" s="238"/>
      <c r="R2" s="238"/>
      <c r="S2" s="238"/>
      <c r="T2" s="238"/>
      <c r="U2" s="238"/>
      <c r="V2" s="238"/>
    </row>
    <row r="3" spans="1:22" ht="51" customHeight="1">
      <c r="A3" s="340" t="s">
        <v>2532</v>
      </c>
      <c r="B3" s="341" t="s">
        <v>2533</v>
      </c>
      <c r="C3" s="341" t="s">
        <v>2534</v>
      </c>
      <c r="D3" s="238"/>
      <c r="E3" s="238"/>
      <c r="F3" s="238"/>
      <c r="G3" s="238"/>
      <c r="H3" s="238"/>
      <c r="I3" s="238"/>
      <c r="J3" s="238"/>
      <c r="K3" s="238"/>
      <c r="L3" s="238"/>
      <c r="M3" s="238"/>
      <c r="N3" s="238"/>
      <c r="O3" s="238"/>
      <c r="P3" s="238"/>
      <c r="Q3" s="238"/>
      <c r="R3" s="238"/>
      <c r="S3" s="238"/>
      <c r="T3" s="238"/>
      <c r="U3" s="238"/>
      <c r="V3" s="238"/>
    </row>
    <row r="4" spans="1:22" ht="17.100000000000001" customHeight="1">
      <c r="A4" s="239" t="s">
        <v>2535</v>
      </c>
      <c r="B4" s="240"/>
      <c r="C4" s="241"/>
      <c r="D4" s="238"/>
      <c r="E4" s="238"/>
      <c r="F4" s="238"/>
      <c r="G4" s="238"/>
      <c r="H4" s="238"/>
      <c r="I4" s="238"/>
      <c r="J4" s="238"/>
      <c r="K4" s="238"/>
      <c r="L4" s="238"/>
      <c r="M4" s="238"/>
      <c r="N4" s="238"/>
      <c r="O4" s="238"/>
      <c r="P4" s="238"/>
      <c r="Q4" s="238"/>
      <c r="R4" s="238"/>
      <c r="S4" s="238"/>
      <c r="T4" s="238"/>
      <c r="U4" s="238"/>
      <c r="V4" s="238"/>
    </row>
    <row r="5" spans="1:22" ht="17.100000000000001" customHeight="1">
      <c r="A5" s="338" t="s">
        <v>2536</v>
      </c>
      <c r="B5" s="242" t="s">
        <v>2537</v>
      </c>
      <c r="C5" s="243" t="s">
        <v>2538</v>
      </c>
      <c r="D5" s="238"/>
      <c r="E5" s="238"/>
      <c r="F5" s="238"/>
      <c r="G5" s="238"/>
      <c r="H5" s="238"/>
      <c r="I5" s="238"/>
      <c r="J5" s="238"/>
      <c r="K5" s="238"/>
      <c r="L5" s="238"/>
      <c r="M5" s="238"/>
      <c r="N5" s="238"/>
      <c r="O5" s="238"/>
      <c r="P5" s="238"/>
      <c r="Q5" s="238"/>
      <c r="R5" s="238"/>
      <c r="S5" s="238"/>
      <c r="T5" s="238"/>
      <c r="U5" s="238"/>
      <c r="V5" s="238"/>
    </row>
    <row r="6" spans="1:22" ht="17.100000000000001" customHeight="1">
      <c r="A6" s="244" t="s">
        <v>2539</v>
      </c>
      <c r="B6" s="242" t="s">
        <v>2537</v>
      </c>
      <c r="C6" s="243" t="s">
        <v>2540</v>
      </c>
      <c r="D6" s="238"/>
      <c r="E6" s="238"/>
      <c r="F6" s="238"/>
      <c r="G6" s="238"/>
      <c r="H6" s="238"/>
      <c r="I6" s="238"/>
      <c r="J6" s="238"/>
      <c r="K6" s="238"/>
      <c r="L6" s="238"/>
      <c r="M6" s="238"/>
      <c r="N6" s="238"/>
      <c r="O6" s="238"/>
      <c r="P6" s="238"/>
      <c r="Q6" s="238"/>
      <c r="R6" s="238"/>
      <c r="S6" s="238"/>
      <c r="T6" s="238"/>
      <c r="U6" s="238"/>
      <c r="V6" s="238"/>
    </row>
    <row r="7" spans="1:22" ht="17.100000000000001" customHeight="1">
      <c r="A7" s="255" t="s">
        <v>2541</v>
      </c>
      <c r="B7" s="245" t="s">
        <v>2542</v>
      </c>
      <c r="C7" s="339" t="s">
        <v>2543</v>
      </c>
      <c r="D7" s="238"/>
      <c r="E7" s="238"/>
      <c r="F7" s="238"/>
      <c r="G7" s="238"/>
      <c r="H7" s="238"/>
      <c r="I7" s="238"/>
      <c r="J7" s="238"/>
      <c r="K7" s="238"/>
      <c r="L7" s="238"/>
      <c r="M7" s="238"/>
      <c r="N7" s="238"/>
      <c r="O7" s="238"/>
      <c r="P7" s="238"/>
      <c r="Q7" s="238"/>
      <c r="R7" s="238"/>
      <c r="S7" s="238"/>
      <c r="T7" s="238"/>
      <c r="U7" s="238"/>
      <c r="V7" s="238"/>
    </row>
    <row r="8" spans="1:22" ht="17.100000000000001" customHeight="1">
      <c r="A8" s="246" t="s">
        <v>2544</v>
      </c>
      <c r="B8" s="247" t="s">
        <v>2542</v>
      </c>
      <c r="C8" s="248" t="s">
        <v>2545</v>
      </c>
      <c r="D8" s="238"/>
      <c r="E8" s="238"/>
      <c r="F8" s="238"/>
      <c r="G8" s="238"/>
      <c r="H8" s="238"/>
      <c r="I8" s="238"/>
      <c r="J8" s="238"/>
      <c r="K8" s="238"/>
      <c r="L8" s="238"/>
      <c r="M8" s="238"/>
      <c r="N8" s="238"/>
      <c r="O8" s="238"/>
      <c r="P8" s="238"/>
      <c r="Q8" s="238"/>
      <c r="R8" s="238"/>
      <c r="S8" s="238"/>
      <c r="T8" s="238"/>
      <c r="U8" s="238"/>
      <c r="V8" s="238"/>
    </row>
    <row r="9" spans="1:22" ht="17.100000000000001" customHeight="1">
      <c r="A9" s="249" t="s">
        <v>2546</v>
      </c>
      <c r="B9" s="245" t="s">
        <v>2542</v>
      </c>
      <c r="C9" s="250" t="s">
        <v>2547</v>
      </c>
      <c r="D9" s="238"/>
      <c r="E9" s="238"/>
      <c r="F9" s="238"/>
      <c r="G9" s="238"/>
      <c r="H9" s="238"/>
      <c r="I9" s="238"/>
      <c r="J9" s="238"/>
      <c r="K9" s="238"/>
      <c r="L9" s="238"/>
      <c r="M9" s="238"/>
      <c r="N9" s="238"/>
      <c r="O9" s="238"/>
      <c r="P9" s="238"/>
      <c r="Q9" s="238"/>
      <c r="R9" s="238"/>
      <c r="S9" s="238"/>
      <c r="T9" s="238"/>
      <c r="U9" s="238"/>
      <c r="V9" s="238"/>
    </row>
    <row r="10" spans="1:22" ht="17.100000000000001" customHeight="1">
      <c r="A10" s="251" t="s">
        <v>2548</v>
      </c>
      <c r="B10" s="252" t="s">
        <v>2542</v>
      </c>
      <c r="C10" s="253" t="s">
        <v>2549</v>
      </c>
      <c r="D10" s="238"/>
      <c r="E10" s="238"/>
      <c r="F10" s="238"/>
      <c r="G10" s="238"/>
      <c r="H10" s="238"/>
      <c r="I10" s="238"/>
      <c r="J10" s="238"/>
      <c r="K10" s="238"/>
      <c r="L10" s="238"/>
      <c r="M10" s="238"/>
      <c r="N10" s="238"/>
      <c r="O10" s="238"/>
      <c r="P10" s="238"/>
      <c r="Q10" s="238"/>
      <c r="R10" s="238"/>
      <c r="S10" s="238"/>
      <c r="T10" s="238"/>
      <c r="U10" s="238"/>
      <c r="V10" s="238"/>
    </row>
    <row r="11" spans="1:22" ht="17.100000000000001" customHeight="1">
      <c r="A11" s="249" t="s">
        <v>2550</v>
      </c>
      <c r="B11" s="245"/>
      <c r="C11" s="250"/>
      <c r="D11" s="238"/>
      <c r="E11" s="238"/>
      <c r="F11" s="238"/>
      <c r="G11" s="238"/>
      <c r="H11" s="238"/>
      <c r="I11" s="238"/>
      <c r="J11" s="238"/>
      <c r="K11" s="238"/>
      <c r="L11" s="238"/>
      <c r="M11" s="238"/>
      <c r="N11" s="238"/>
      <c r="O11" s="238"/>
      <c r="P11" s="238"/>
      <c r="Q11" s="238"/>
      <c r="R11" s="238"/>
      <c r="S11" s="238"/>
      <c r="T11" s="238"/>
      <c r="U11" s="238"/>
      <c r="V11" s="238"/>
    </row>
    <row r="12" spans="1:22" ht="17.100000000000001" customHeight="1">
      <c r="A12" s="245" t="s">
        <v>2551</v>
      </c>
      <c r="B12" s="245" t="s">
        <v>2537</v>
      </c>
      <c r="C12" s="254" t="s">
        <v>2552</v>
      </c>
      <c r="D12" s="238"/>
      <c r="E12" s="238"/>
      <c r="F12" s="238"/>
      <c r="G12" s="238"/>
      <c r="H12" s="238"/>
      <c r="I12" s="238"/>
      <c r="J12" s="238"/>
      <c r="K12" s="238"/>
      <c r="L12" s="238"/>
      <c r="M12" s="238"/>
      <c r="N12" s="238"/>
      <c r="O12" s="238"/>
      <c r="P12" s="238"/>
      <c r="Q12" s="238"/>
      <c r="R12" s="238"/>
      <c r="S12" s="238"/>
      <c r="T12" s="238"/>
      <c r="U12" s="238"/>
      <c r="V12" s="238"/>
    </row>
    <row r="13" spans="1:22" ht="17.100000000000001" customHeight="1">
      <c r="A13" s="245" t="s">
        <v>2553</v>
      </c>
      <c r="B13" s="245" t="s">
        <v>2537</v>
      </c>
      <c r="C13" s="254" t="s">
        <v>2554</v>
      </c>
      <c r="D13" s="238"/>
      <c r="E13" s="238"/>
      <c r="F13" s="238"/>
      <c r="G13" s="238"/>
      <c r="H13" s="238"/>
      <c r="I13" s="238"/>
      <c r="J13" s="238"/>
      <c r="K13" s="238"/>
      <c r="L13" s="238"/>
      <c r="M13" s="238"/>
      <c r="N13" s="238"/>
      <c r="O13" s="238"/>
      <c r="P13" s="238"/>
      <c r="Q13" s="238"/>
      <c r="R13" s="238"/>
      <c r="S13" s="238"/>
      <c r="T13" s="238"/>
      <c r="U13" s="238"/>
      <c r="V13" s="238"/>
    </row>
    <row r="14" spans="1:22" ht="17.100000000000001" customHeight="1">
      <c r="A14" s="245" t="s">
        <v>2555</v>
      </c>
      <c r="B14" s="245" t="s">
        <v>2542</v>
      </c>
      <c r="C14" s="254" t="s">
        <v>2556</v>
      </c>
      <c r="D14" s="238"/>
      <c r="E14" s="238"/>
      <c r="F14" s="238"/>
      <c r="G14" s="238"/>
      <c r="H14" s="238"/>
      <c r="I14" s="238"/>
      <c r="J14" s="238"/>
      <c r="K14" s="238"/>
      <c r="L14" s="238"/>
      <c r="M14" s="238"/>
      <c r="N14" s="238"/>
      <c r="O14" s="238"/>
      <c r="P14" s="238"/>
      <c r="Q14" s="238"/>
      <c r="R14" s="238"/>
      <c r="S14" s="238"/>
      <c r="T14" s="238"/>
      <c r="U14" s="238"/>
      <c r="V14" s="238"/>
    </row>
    <row r="15" spans="1:22" ht="17.100000000000001" customHeight="1">
      <c r="A15" s="245" t="s">
        <v>2557</v>
      </c>
      <c r="B15" s="245" t="s">
        <v>2537</v>
      </c>
      <c r="C15" s="254" t="s">
        <v>2558</v>
      </c>
      <c r="D15" s="238"/>
      <c r="E15" s="238"/>
      <c r="F15" s="238"/>
      <c r="G15" s="238"/>
      <c r="H15" s="238"/>
      <c r="I15" s="238"/>
      <c r="J15" s="238"/>
      <c r="K15" s="238"/>
      <c r="L15" s="238"/>
      <c r="M15" s="238"/>
      <c r="N15" s="238"/>
      <c r="O15" s="238"/>
      <c r="P15" s="238"/>
      <c r="Q15" s="238"/>
      <c r="R15" s="238"/>
      <c r="S15" s="238"/>
      <c r="T15" s="238"/>
      <c r="U15" s="238"/>
      <c r="V15" s="238"/>
    </row>
    <row r="16" spans="1:22" ht="17.100000000000001" customHeight="1">
      <c r="A16" s="245" t="s">
        <v>2559</v>
      </c>
      <c r="B16" s="245" t="s">
        <v>2537</v>
      </c>
      <c r="C16" s="254" t="s">
        <v>2560</v>
      </c>
      <c r="D16" s="238"/>
      <c r="E16" s="238"/>
      <c r="F16" s="238"/>
      <c r="G16" s="238"/>
      <c r="H16" s="238"/>
      <c r="I16" s="238"/>
      <c r="J16" s="238"/>
      <c r="K16" s="238"/>
      <c r="L16" s="238"/>
      <c r="M16" s="238"/>
      <c r="N16" s="238"/>
      <c r="O16" s="238"/>
      <c r="P16" s="238"/>
      <c r="Q16" s="238"/>
      <c r="R16" s="238"/>
      <c r="S16" s="238"/>
      <c r="T16" s="238"/>
      <c r="U16" s="238"/>
      <c r="V16" s="238"/>
    </row>
    <row r="17" spans="1:22" ht="17.100000000000001" customHeight="1">
      <c r="A17" s="251" t="s">
        <v>2561</v>
      </c>
      <c r="B17" s="252" t="s">
        <v>2542</v>
      </c>
      <c r="C17" s="253" t="s">
        <v>2562</v>
      </c>
      <c r="D17" s="238"/>
      <c r="E17" s="238"/>
      <c r="F17" s="238"/>
      <c r="G17" s="238"/>
      <c r="H17" s="238"/>
      <c r="I17" s="238"/>
      <c r="J17" s="238"/>
      <c r="K17" s="238"/>
      <c r="L17" s="238"/>
      <c r="M17" s="238"/>
      <c r="N17" s="238"/>
      <c r="O17" s="238"/>
      <c r="P17" s="238"/>
      <c r="Q17" s="238"/>
      <c r="R17" s="238"/>
      <c r="S17" s="238"/>
      <c r="T17" s="238"/>
      <c r="U17" s="238"/>
      <c r="V17" s="238"/>
    </row>
    <row r="18" spans="1:22" ht="17.100000000000001" customHeight="1">
      <c r="A18" s="249" t="s">
        <v>2563</v>
      </c>
      <c r="B18" s="245" t="s">
        <v>2564</v>
      </c>
      <c r="C18" s="250" t="s">
        <v>2565</v>
      </c>
      <c r="D18" s="238"/>
      <c r="E18" s="238"/>
      <c r="F18" s="238"/>
      <c r="G18" s="238"/>
      <c r="H18" s="238"/>
      <c r="I18" s="238"/>
      <c r="J18" s="238"/>
      <c r="K18" s="238"/>
      <c r="L18" s="238"/>
      <c r="M18" s="238"/>
      <c r="N18" s="238"/>
      <c r="O18" s="238"/>
      <c r="P18" s="238"/>
      <c r="Q18" s="238"/>
      <c r="R18" s="238"/>
      <c r="S18" s="238"/>
      <c r="T18" s="238"/>
      <c r="U18" s="238"/>
      <c r="V18" s="238"/>
    </row>
    <row r="19" spans="1:22" ht="17.100000000000001" customHeight="1">
      <c r="A19" s="249" t="s">
        <v>2566</v>
      </c>
      <c r="B19" s="245" t="s">
        <v>2542</v>
      </c>
      <c r="C19" s="250" t="s">
        <v>2567</v>
      </c>
      <c r="D19" s="238"/>
      <c r="E19" s="238"/>
      <c r="F19" s="238"/>
      <c r="G19" s="238"/>
      <c r="H19" s="238"/>
      <c r="I19" s="238"/>
      <c r="J19" s="238"/>
      <c r="K19" s="238"/>
      <c r="L19" s="238"/>
      <c r="M19" s="238"/>
      <c r="N19" s="238"/>
      <c r="O19" s="238"/>
      <c r="P19" s="238"/>
      <c r="Q19" s="238"/>
      <c r="R19" s="238"/>
      <c r="S19" s="238"/>
      <c r="T19" s="238"/>
      <c r="U19" s="238"/>
      <c r="V19" s="238"/>
    </row>
    <row r="20" spans="1:22" ht="17.100000000000001" customHeight="1">
      <c r="A20" s="251" t="s">
        <v>2568</v>
      </c>
      <c r="B20" s="252" t="s">
        <v>2542</v>
      </c>
      <c r="C20" s="253" t="s">
        <v>2569</v>
      </c>
      <c r="D20" s="238"/>
      <c r="E20" s="238"/>
      <c r="F20" s="238"/>
      <c r="G20" s="238"/>
      <c r="H20" s="238"/>
      <c r="I20" s="238"/>
      <c r="J20" s="238"/>
      <c r="K20" s="238"/>
      <c r="L20" s="238"/>
      <c r="M20" s="238"/>
      <c r="N20" s="238"/>
      <c r="O20" s="238"/>
      <c r="P20" s="238"/>
      <c r="Q20" s="238"/>
      <c r="R20" s="238"/>
      <c r="S20" s="238"/>
      <c r="T20" s="238"/>
      <c r="U20" s="238"/>
      <c r="V20" s="238"/>
    </row>
    <row r="21" spans="1:22" ht="17.100000000000001" customHeight="1">
      <c r="A21" s="252" t="s">
        <v>2570</v>
      </c>
      <c r="B21" s="252" t="s">
        <v>2542</v>
      </c>
      <c r="C21" s="253" t="s">
        <v>2571</v>
      </c>
      <c r="D21" s="238"/>
      <c r="E21" s="238"/>
      <c r="F21" s="238"/>
      <c r="G21" s="238"/>
      <c r="H21" s="238"/>
      <c r="I21" s="238"/>
      <c r="J21" s="238"/>
      <c r="K21" s="238"/>
      <c r="L21" s="238"/>
      <c r="M21" s="238"/>
      <c r="N21" s="238"/>
      <c r="O21" s="238"/>
      <c r="P21" s="238"/>
      <c r="Q21" s="238"/>
      <c r="R21" s="238"/>
      <c r="S21" s="238"/>
      <c r="T21" s="238"/>
      <c r="U21" s="238"/>
      <c r="V21" s="238"/>
    </row>
    <row r="22" spans="1:22" ht="17.100000000000001" customHeight="1">
      <c r="A22" s="252" t="s">
        <v>2572</v>
      </c>
      <c r="B22" s="252" t="s">
        <v>2573</v>
      </c>
      <c r="C22" s="253" t="s">
        <v>2574</v>
      </c>
      <c r="D22" s="238"/>
      <c r="E22" s="238"/>
      <c r="F22" s="238"/>
      <c r="G22" s="238"/>
      <c r="H22" s="238"/>
      <c r="I22" s="238"/>
      <c r="J22" s="238"/>
      <c r="K22" s="238"/>
      <c r="L22" s="238"/>
      <c r="M22" s="238"/>
      <c r="N22" s="238"/>
      <c r="O22" s="238"/>
      <c r="P22" s="238"/>
      <c r="Q22" s="238"/>
      <c r="R22" s="238"/>
      <c r="S22" s="238"/>
      <c r="T22" s="238"/>
      <c r="U22" s="238"/>
      <c r="V22" s="238"/>
    </row>
    <row r="23" spans="1:22" ht="17.100000000000001" customHeight="1">
      <c r="A23" s="251" t="s">
        <v>2575</v>
      </c>
      <c r="B23" s="252"/>
      <c r="C23" s="253"/>
      <c r="D23" s="238"/>
      <c r="E23" s="238"/>
      <c r="F23" s="238"/>
      <c r="G23" s="238"/>
      <c r="H23" s="238"/>
      <c r="I23" s="238"/>
      <c r="J23" s="238"/>
      <c r="K23" s="238"/>
      <c r="L23" s="238"/>
      <c r="M23" s="238"/>
      <c r="N23" s="238"/>
      <c r="O23" s="238"/>
      <c r="P23" s="238"/>
      <c r="Q23" s="238"/>
      <c r="R23" s="238"/>
      <c r="S23" s="238"/>
      <c r="T23" s="238"/>
      <c r="U23" s="238"/>
      <c r="V23" s="238"/>
    </row>
    <row r="24" spans="1:22" ht="17.100000000000001" customHeight="1">
      <c r="A24" s="252" t="s">
        <v>2576</v>
      </c>
      <c r="B24" s="252" t="s">
        <v>2542</v>
      </c>
      <c r="C24" s="253" t="s">
        <v>2577</v>
      </c>
      <c r="D24" s="238"/>
      <c r="E24" s="238"/>
      <c r="F24" s="238"/>
      <c r="G24" s="238"/>
      <c r="H24" s="238"/>
      <c r="I24" s="238"/>
      <c r="J24" s="238"/>
      <c r="K24" s="238"/>
      <c r="L24" s="238"/>
      <c r="M24" s="238"/>
      <c r="N24" s="238"/>
      <c r="O24" s="238"/>
      <c r="P24" s="238"/>
      <c r="Q24" s="238"/>
      <c r="R24" s="238"/>
      <c r="S24" s="238"/>
      <c r="T24" s="238"/>
      <c r="U24" s="238"/>
      <c r="V24" s="238"/>
    </row>
    <row r="25" spans="1:22" ht="17.100000000000001" customHeight="1">
      <c r="A25" s="252" t="s">
        <v>2578</v>
      </c>
      <c r="B25" s="252" t="s">
        <v>2542</v>
      </c>
      <c r="C25" s="253" t="s">
        <v>2579</v>
      </c>
      <c r="D25" s="238"/>
      <c r="E25" s="238"/>
      <c r="F25" s="238"/>
      <c r="G25" s="238"/>
      <c r="H25" s="238"/>
      <c r="I25" s="238"/>
      <c r="J25" s="238"/>
      <c r="K25" s="238"/>
      <c r="L25" s="238"/>
      <c r="M25" s="238"/>
      <c r="N25" s="238"/>
      <c r="O25" s="238"/>
      <c r="P25" s="238"/>
      <c r="Q25" s="238"/>
      <c r="R25" s="238"/>
      <c r="S25" s="238"/>
      <c r="T25" s="238"/>
      <c r="U25" s="238"/>
      <c r="V25" s="238"/>
    </row>
    <row r="26" spans="1:22" ht="17.100000000000001" customHeight="1">
      <c r="A26" s="255" t="s">
        <v>2580</v>
      </c>
      <c r="B26" s="245"/>
      <c r="C26" s="250"/>
      <c r="D26" s="238"/>
      <c r="E26" s="238"/>
      <c r="F26" s="238"/>
      <c r="G26" s="238"/>
      <c r="H26" s="238"/>
      <c r="I26" s="238"/>
      <c r="J26" s="238"/>
      <c r="K26" s="238"/>
      <c r="L26" s="238"/>
      <c r="M26" s="238"/>
      <c r="N26" s="238"/>
      <c r="O26" s="238"/>
      <c r="P26" s="238"/>
      <c r="Q26" s="238"/>
      <c r="R26" s="238"/>
      <c r="S26" s="238"/>
      <c r="T26" s="238"/>
      <c r="U26" s="238"/>
      <c r="V26" s="238"/>
    </row>
    <row r="27" spans="1:22" ht="17.100000000000001" customHeight="1">
      <c r="A27" s="245" t="s">
        <v>2581</v>
      </c>
      <c r="B27" s="245" t="s">
        <v>2582</v>
      </c>
      <c r="C27" s="250" t="s">
        <v>2583</v>
      </c>
      <c r="D27" s="238"/>
      <c r="E27" s="238"/>
      <c r="F27" s="238"/>
      <c r="G27" s="238"/>
      <c r="H27" s="238"/>
      <c r="I27" s="238"/>
      <c r="J27" s="238"/>
      <c r="K27" s="238"/>
      <c r="L27" s="238"/>
      <c r="M27" s="238"/>
      <c r="N27" s="238"/>
      <c r="O27" s="238"/>
      <c r="P27" s="238"/>
      <c r="Q27" s="238"/>
      <c r="R27" s="238"/>
      <c r="S27" s="238"/>
      <c r="T27" s="238"/>
      <c r="U27" s="238"/>
      <c r="V27" s="238"/>
    </row>
    <row r="28" spans="1:22" ht="17.100000000000001" customHeight="1">
      <c r="A28" s="245" t="s">
        <v>2584</v>
      </c>
      <c r="B28" s="245" t="s">
        <v>2582</v>
      </c>
      <c r="C28" s="250" t="s">
        <v>2585</v>
      </c>
      <c r="D28" s="238"/>
      <c r="E28" s="238"/>
      <c r="F28" s="238"/>
      <c r="G28" s="238"/>
      <c r="H28" s="238"/>
      <c r="I28" s="238"/>
      <c r="J28" s="238"/>
      <c r="K28" s="238"/>
      <c r="L28" s="238"/>
      <c r="M28" s="238"/>
      <c r="N28" s="238"/>
      <c r="O28" s="238"/>
      <c r="P28" s="238"/>
      <c r="Q28" s="238"/>
      <c r="R28" s="238"/>
      <c r="S28" s="238"/>
      <c r="T28" s="238"/>
      <c r="U28" s="238"/>
      <c r="V28" s="238"/>
    </row>
    <row r="29" spans="1:22" ht="17.100000000000001" customHeight="1">
      <c r="A29" s="245" t="s">
        <v>2586</v>
      </c>
      <c r="B29" s="245" t="s">
        <v>2582</v>
      </c>
      <c r="C29" s="250" t="s">
        <v>2587</v>
      </c>
      <c r="D29" s="238"/>
      <c r="E29" s="238"/>
      <c r="F29" s="238"/>
      <c r="G29" s="238"/>
      <c r="H29" s="238"/>
      <c r="I29" s="238"/>
      <c r="J29" s="238"/>
      <c r="K29" s="238"/>
      <c r="L29" s="238"/>
      <c r="M29" s="238"/>
      <c r="N29" s="238"/>
      <c r="O29" s="238"/>
      <c r="P29" s="238"/>
      <c r="Q29" s="238"/>
      <c r="R29" s="238"/>
      <c r="S29" s="238"/>
      <c r="T29" s="238"/>
      <c r="U29" s="238"/>
      <c r="V29" s="238"/>
    </row>
    <row r="30" spans="1:22" ht="17.100000000000001" customHeight="1">
      <c r="A30" s="245" t="s">
        <v>2588</v>
      </c>
      <c r="B30" s="245" t="s">
        <v>2564</v>
      </c>
      <c r="C30" s="250" t="s">
        <v>2589</v>
      </c>
      <c r="D30" s="238"/>
      <c r="E30" s="238"/>
      <c r="F30" s="238"/>
      <c r="G30" s="238"/>
      <c r="H30" s="238"/>
      <c r="I30" s="238"/>
      <c r="J30" s="238"/>
      <c r="K30" s="238"/>
      <c r="L30" s="238"/>
      <c r="M30" s="238"/>
      <c r="N30" s="238"/>
      <c r="O30" s="238"/>
      <c r="P30" s="238"/>
      <c r="Q30" s="238"/>
      <c r="R30" s="238"/>
      <c r="S30" s="238"/>
      <c r="T30" s="238"/>
      <c r="U30" s="238"/>
      <c r="V30" s="238"/>
    </row>
    <row r="31" spans="1:22" ht="17.100000000000001" customHeight="1">
      <c r="A31" s="245" t="s">
        <v>2590</v>
      </c>
      <c r="B31" s="245" t="s">
        <v>2591</v>
      </c>
      <c r="C31" s="250" t="s">
        <v>2592</v>
      </c>
      <c r="D31" s="238"/>
      <c r="E31" s="238"/>
      <c r="F31" s="238"/>
      <c r="G31" s="238"/>
      <c r="H31" s="238"/>
      <c r="I31" s="238"/>
      <c r="J31" s="238"/>
      <c r="K31" s="238"/>
      <c r="L31" s="238"/>
      <c r="M31" s="238"/>
      <c r="N31" s="238"/>
      <c r="O31" s="238"/>
      <c r="P31" s="238"/>
      <c r="Q31" s="238"/>
      <c r="R31" s="238"/>
      <c r="S31" s="238"/>
      <c r="T31" s="238"/>
      <c r="U31" s="238"/>
      <c r="V31" s="238"/>
    </row>
    <row r="32" spans="1:22" ht="17.100000000000001" customHeight="1">
      <c r="A32" s="245" t="s">
        <v>2593</v>
      </c>
      <c r="B32" s="245" t="s">
        <v>2594</v>
      </c>
      <c r="C32" s="250" t="s">
        <v>2567</v>
      </c>
      <c r="D32" s="238"/>
      <c r="E32" s="238"/>
      <c r="F32" s="238"/>
      <c r="G32" s="238"/>
      <c r="H32" s="238"/>
      <c r="I32" s="238"/>
      <c r="J32" s="238"/>
      <c r="K32" s="238"/>
      <c r="L32" s="238"/>
      <c r="M32" s="238"/>
      <c r="N32" s="238"/>
      <c r="O32" s="238"/>
      <c r="P32" s="238"/>
      <c r="Q32" s="238"/>
      <c r="R32" s="238"/>
      <c r="S32" s="238"/>
      <c r="T32" s="238"/>
      <c r="U32" s="238"/>
      <c r="V32" s="238"/>
    </row>
    <row r="33" spans="1:22" ht="17.100000000000001" customHeight="1">
      <c r="A33" s="245" t="s">
        <v>2595</v>
      </c>
      <c r="B33" s="245" t="s">
        <v>2596</v>
      </c>
      <c r="C33" s="250" t="s">
        <v>2597</v>
      </c>
      <c r="D33" s="238"/>
      <c r="E33" s="238"/>
      <c r="F33" s="238"/>
      <c r="G33" s="238"/>
      <c r="H33" s="238"/>
      <c r="I33" s="238"/>
      <c r="J33" s="238"/>
      <c r="K33" s="238"/>
      <c r="L33" s="238"/>
      <c r="M33" s="238"/>
      <c r="N33" s="238"/>
      <c r="O33" s="238"/>
      <c r="P33" s="238"/>
      <c r="Q33" s="238"/>
      <c r="R33" s="238"/>
      <c r="S33" s="238"/>
      <c r="T33" s="238"/>
      <c r="U33" s="238"/>
      <c r="V33" s="238"/>
    </row>
    <row r="34" spans="1:22" ht="17.100000000000001" customHeight="1">
      <c r="A34" s="245" t="s">
        <v>2598</v>
      </c>
      <c r="B34" s="245" t="s">
        <v>2582</v>
      </c>
      <c r="C34" s="250" t="s">
        <v>2599</v>
      </c>
      <c r="D34" s="238"/>
      <c r="E34" s="238"/>
      <c r="F34" s="238"/>
      <c r="G34" s="238"/>
      <c r="H34" s="238"/>
      <c r="I34" s="238"/>
      <c r="J34" s="238"/>
      <c r="K34" s="238"/>
      <c r="L34" s="238"/>
      <c r="M34" s="238"/>
      <c r="N34" s="238"/>
      <c r="O34" s="238"/>
      <c r="P34" s="238"/>
      <c r="Q34" s="238"/>
      <c r="R34" s="238"/>
      <c r="S34" s="238"/>
      <c r="T34" s="238"/>
      <c r="U34" s="238"/>
      <c r="V34" s="238"/>
    </row>
    <row r="35" spans="1:22" ht="17.100000000000001" customHeight="1">
      <c r="A35" s="245" t="s">
        <v>2600</v>
      </c>
      <c r="B35" s="245" t="s">
        <v>2582</v>
      </c>
      <c r="C35" s="250" t="s">
        <v>2601</v>
      </c>
      <c r="D35" s="238"/>
      <c r="E35" s="238"/>
      <c r="F35" s="238"/>
      <c r="G35" s="238"/>
      <c r="H35" s="238"/>
      <c r="I35" s="238"/>
      <c r="J35" s="238"/>
      <c r="K35" s="238"/>
      <c r="L35" s="238"/>
      <c r="M35" s="238"/>
      <c r="N35" s="238"/>
      <c r="O35" s="238"/>
      <c r="P35" s="238"/>
      <c r="Q35" s="238"/>
      <c r="R35" s="238"/>
      <c r="S35" s="238"/>
      <c r="T35" s="238"/>
      <c r="U35" s="238"/>
      <c r="V35" s="238"/>
    </row>
    <row r="36" spans="1:22" ht="17.100000000000001" customHeight="1">
      <c r="A36" s="245" t="s">
        <v>2602</v>
      </c>
      <c r="B36" s="245" t="s">
        <v>2582</v>
      </c>
      <c r="C36" s="250" t="s">
        <v>2603</v>
      </c>
      <c r="D36" s="238"/>
      <c r="E36" s="238"/>
      <c r="F36" s="238"/>
      <c r="G36" s="238"/>
      <c r="H36" s="238"/>
      <c r="I36" s="238"/>
      <c r="J36" s="238"/>
      <c r="K36" s="238"/>
      <c r="L36" s="238"/>
      <c r="M36" s="238"/>
      <c r="N36" s="238"/>
      <c r="O36" s="238"/>
      <c r="P36" s="238"/>
      <c r="Q36" s="238"/>
      <c r="R36" s="238"/>
      <c r="S36" s="238"/>
      <c r="T36" s="238"/>
      <c r="U36" s="238"/>
      <c r="V36" s="238"/>
    </row>
    <row r="37" spans="1:22" ht="17.100000000000001" customHeight="1">
      <c r="A37" s="256" t="s">
        <v>2604</v>
      </c>
      <c r="B37" s="252" t="s">
        <v>2605</v>
      </c>
      <c r="C37" s="253" t="s">
        <v>2606</v>
      </c>
      <c r="D37" s="238"/>
      <c r="E37" s="238"/>
      <c r="F37" s="238"/>
      <c r="G37" s="238"/>
      <c r="H37" s="238"/>
      <c r="I37" s="238"/>
      <c r="J37" s="238"/>
      <c r="K37" s="238"/>
      <c r="L37" s="238"/>
      <c r="M37" s="238"/>
      <c r="N37" s="238"/>
      <c r="O37" s="238"/>
      <c r="P37" s="238"/>
      <c r="Q37" s="238"/>
      <c r="R37" s="238"/>
      <c r="S37" s="238"/>
      <c r="T37" s="238"/>
      <c r="U37" s="238"/>
      <c r="V37" s="238"/>
    </row>
    <row r="38" spans="1:22" ht="17.100000000000001" customHeight="1">
      <c r="A38" s="249" t="s">
        <v>377</v>
      </c>
      <c r="B38" s="245" t="s">
        <v>2591</v>
      </c>
      <c r="C38" s="250" t="s">
        <v>2607</v>
      </c>
      <c r="D38" s="238"/>
      <c r="E38" s="238"/>
      <c r="F38" s="238"/>
      <c r="G38" s="238"/>
      <c r="H38" s="238"/>
      <c r="I38" s="238"/>
      <c r="J38" s="238"/>
      <c r="K38" s="238"/>
      <c r="L38" s="238"/>
      <c r="M38" s="238"/>
      <c r="N38" s="238"/>
      <c r="O38" s="238"/>
      <c r="P38" s="238"/>
      <c r="Q38" s="238"/>
      <c r="R38" s="238"/>
      <c r="S38" s="238"/>
      <c r="T38" s="238"/>
      <c r="U38" s="238"/>
      <c r="V38" s="238"/>
    </row>
    <row r="39" spans="1:22" ht="17.100000000000001" customHeight="1">
      <c r="A39" s="251" t="s">
        <v>2608</v>
      </c>
      <c r="B39" s="252" t="s">
        <v>2542</v>
      </c>
      <c r="C39" s="253" t="s">
        <v>2609</v>
      </c>
      <c r="D39" s="238"/>
      <c r="E39" s="238"/>
      <c r="F39" s="238"/>
      <c r="G39" s="238"/>
      <c r="H39" s="238"/>
      <c r="I39" s="238"/>
      <c r="J39" s="238"/>
      <c r="K39" s="238"/>
      <c r="L39" s="238"/>
      <c r="M39" s="238"/>
      <c r="N39" s="238"/>
      <c r="O39" s="238"/>
      <c r="P39" s="238"/>
      <c r="Q39" s="238"/>
      <c r="R39" s="238"/>
      <c r="S39" s="238"/>
      <c r="T39" s="238"/>
      <c r="U39" s="238"/>
      <c r="V39" s="238"/>
    </row>
    <row r="40" spans="1:22" ht="17.100000000000001" customHeight="1">
      <c r="A40" s="251" t="s">
        <v>2608</v>
      </c>
      <c r="B40" s="252" t="s">
        <v>2542</v>
      </c>
      <c r="C40" s="253" t="s">
        <v>2610</v>
      </c>
      <c r="D40" s="238"/>
      <c r="E40" s="238"/>
      <c r="F40" s="238"/>
      <c r="G40" s="238"/>
      <c r="H40" s="238"/>
      <c r="I40" s="238"/>
      <c r="J40" s="238"/>
      <c r="K40" s="238"/>
      <c r="L40" s="238"/>
      <c r="M40" s="238"/>
      <c r="N40" s="238"/>
      <c r="O40" s="238"/>
      <c r="P40" s="238"/>
      <c r="Q40" s="238"/>
      <c r="R40" s="238"/>
      <c r="S40" s="238"/>
      <c r="T40" s="238"/>
      <c r="U40" s="238"/>
      <c r="V40" s="238"/>
    </row>
    <row r="41" spans="1:22" ht="17.100000000000001" customHeight="1">
      <c r="A41" s="249" t="s">
        <v>2611</v>
      </c>
      <c r="B41" s="245" t="s">
        <v>2542</v>
      </c>
      <c r="C41" s="250" t="s">
        <v>2612</v>
      </c>
      <c r="D41" s="238"/>
      <c r="E41" s="238"/>
      <c r="F41" s="238"/>
      <c r="G41" s="238"/>
      <c r="H41" s="238"/>
      <c r="I41" s="238"/>
      <c r="J41" s="238"/>
      <c r="K41" s="238"/>
      <c r="L41" s="238"/>
      <c r="M41" s="238"/>
      <c r="N41" s="238"/>
      <c r="O41" s="238"/>
      <c r="P41" s="238"/>
      <c r="Q41" s="238"/>
      <c r="R41" s="238"/>
      <c r="S41" s="238"/>
      <c r="T41" s="238"/>
      <c r="U41" s="238"/>
      <c r="V41" s="238"/>
    </row>
    <row r="42" spans="1:22" ht="17.100000000000001" customHeight="1">
      <c r="A42" s="249" t="s">
        <v>2611</v>
      </c>
      <c r="B42" s="245" t="s">
        <v>2542</v>
      </c>
      <c r="C42" s="250" t="s">
        <v>2613</v>
      </c>
      <c r="D42" s="238"/>
      <c r="E42" s="238"/>
      <c r="F42" s="238"/>
      <c r="G42" s="238"/>
      <c r="H42" s="238"/>
      <c r="I42" s="238"/>
      <c r="J42" s="238"/>
      <c r="K42" s="238"/>
      <c r="L42" s="238"/>
      <c r="M42" s="238"/>
      <c r="N42" s="238"/>
      <c r="O42" s="238"/>
      <c r="P42" s="238"/>
      <c r="Q42" s="238"/>
      <c r="R42" s="238"/>
      <c r="S42" s="238"/>
      <c r="T42" s="238"/>
      <c r="U42" s="238"/>
      <c r="V42" s="238"/>
    </row>
    <row r="43" spans="1:22" ht="17.100000000000001" customHeight="1">
      <c r="A43" s="256" t="s">
        <v>2614</v>
      </c>
      <c r="B43" s="252" t="s">
        <v>2605</v>
      </c>
      <c r="C43" s="253" t="s">
        <v>2615</v>
      </c>
      <c r="D43" s="238"/>
      <c r="E43" s="238"/>
      <c r="F43" s="238"/>
      <c r="G43" s="238"/>
      <c r="H43" s="238"/>
      <c r="I43" s="238"/>
      <c r="J43" s="238"/>
      <c r="K43" s="238"/>
      <c r="L43" s="238"/>
      <c r="M43" s="238"/>
      <c r="N43" s="238"/>
      <c r="O43" s="238"/>
      <c r="P43" s="238"/>
      <c r="Q43" s="238"/>
      <c r="R43" s="238"/>
      <c r="S43" s="238"/>
      <c r="T43" s="238"/>
      <c r="U43" s="238"/>
      <c r="V43" s="238"/>
    </row>
    <row r="44" spans="1:22" ht="17.100000000000001" customHeight="1">
      <c r="A44" s="255" t="s">
        <v>2616</v>
      </c>
      <c r="B44" s="245" t="s">
        <v>2542</v>
      </c>
      <c r="C44" s="250" t="s">
        <v>2617</v>
      </c>
      <c r="D44" s="238"/>
      <c r="E44" s="238"/>
      <c r="F44" s="238"/>
      <c r="G44" s="238"/>
      <c r="H44" s="238"/>
      <c r="I44" s="238"/>
      <c r="J44" s="238"/>
      <c r="K44" s="238"/>
      <c r="L44" s="238"/>
      <c r="M44" s="238"/>
      <c r="N44" s="238"/>
      <c r="O44" s="238"/>
      <c r="P44" s="238"/>
      <c r="Q44" s="238"/>
      <c r="R44" s="238"/>
      <c r="S44" s="238"/>
      <c r="T44" s="238"/>
      <c r="U44" s="238"/>
      <c r="V44" s="238"/>
    </row>
    <row r="45" spans="1:22" ht="17.100000000000001" customHeight="1">
      <c r="A45" s="255" t="s">
        <v>2618</v>
      </c>
      <c r="B45" s="245" t="s">
        <v>2605</v>
      </c>
      <c r="C45" s="250" t="s">
        <v>2619</v>
      </c>
      <c r="D45" s="238"/>
      <c r="E45" s="238"/>
      <c r="F45" s="238"/>
      <c r="G45" s="238"/>
      <c r="H45" s="238"/>
      <c r="I45" s="238"/>
      <c r="J45" s="238"/>
      <c r="K45" s="238"/>
      <c r="L45" s="238"/>
      <c r="M45" s="238"/>
      <c r="N45" s="238"/>
      <c r="O45" s="238"/>
      <c r="P45" s="238"/>
      <c r="Q45" s="238"/>
      <c r="R45" s="238"/>
      <c r="S45" s="238"/>
      <c r="T45" s="238"/>
      <c r="U45" s="238"/>
      <c r="V45" s="238"/>
    </row>
    <row r="46" spans="1:22" ht="17.100000000000001" customHeight="1">
      <c r="A46" s="255" t="s">
        <v>2620</v>
      </c>
      <c r="B46" s="245" t="s">
        <v>2542</v>
      </c>
      <c r="C46" s="250" t="s">
        <v>2621</v>
      </c>
      <c r="D46" s="238"/>
      <c r="E46" s="238"/>
      <c r="F46" s="238"/>
      <c r="G46" s="238"/>
      <c r="H46" s="238"/>
      <c r="I46" s="238"/>
      <c r="J46" s="238"/>
      <c r="K46" s="238"/>
      <c r="L46" s="238"/>
      <c r="M46" s="238"/>
      <c r="N46" s="238"/>
      <c r="O46" s="238"/>
      <c r="P46" s="238"/>
      <c r="Q46" s="238"/>
      <c r="R46" s="238"/>
      <c r="S46" s="238"/>
      <c r="T46" s="238"/>
      <c r="U46" s="238"/>
      <c r="V46" s="238"/>
    </row>
    <row r="47" spans="1:22" ht="17.100000000000001" customHeight="1">
      <c r="A47" s="251" t="s">
        <v>2622</v>
      </c>
      <c r="B47" s="252" t="s">
        <v>2542</v>
      </c>
      <c r="C47" s="253" t="s">
        <v>2623</v>
      </c>
      <c r="D47" s="238"/>
      <c r="E47" s="238"/>
      <c r="F47" s="238"/>
      <c r="G47" s="238"/>
      <c r="H47" s="238"/>
      <c r="I47" s="238"/>
      <c r="J47" s="238"/>
      <c r="K47" s="238"/>
      <c r="L47" s="238"/>
      <c r="M47" s="238"/>
      <c r="N47" s="238"/>
      <c r="O47" s="238"/>
      <c r="P47" s="238"/>
      <c r="Q47" s="238"/>
      <c r="R47" s="238"/>
      <c r="S47" s="238"/>
      <c r="T47" s="238"/>
      <c r="U47" s="238"/>
      <c r="V47" s="238"/>
    </row>
    <row r="48" spans="1:22" ht="17.100000000000001" customHeight="1">
      <c r="A48" s="252" t="s">
        <v>2624</v>
      </c>
      <c r="B48" s="245" t="s">
        <v>2591</v>
      </c>
      <c r="C48" s="253" t="s">
        <v>2607</v>
      </c>
      <c r="D48" s="238"/>
      <c r="E48" s="238"/>
      <c r="F48" s="238"/>
      <c r="G48" s="238"/>
      <c r="H48" s="238"/>
      <c r="I48" s="238"/>
      <c r="J48" s="238"/>
      <c r="K48" s="238"/>
      <c r="L48" s="238"/>
      <c r="M48" s="238"/>
      <c r="N48" s="238"/>
      <c r="O48" s="238"/>
      <c r="P48" s="238"/>
      <c r="Q48" s="238"/>
      <c r="R48" s="238"/>
      <c r="S48" s="238"/>
      <c r="T48" s="238"/>
      <c r="U48" s="238"/>
      <c r="V48" s="238"/>
    </row>
    <row r="49" spans="1:22" ht="17.100000000000001" customHeight="1">
      <c r="A49" s="249" t="s">
        <v>2625</v>
      </c>
      <c r="B49" s="245" t="s">
        <v>2542</v>
      </c>
      <c r="C49" s="257" t="s">
        <v>2626</v>
      </c>
      <c r="D49" s="238"/>
      <c r="E49" s="238"/>
      <c r="F49" s="238"/>
      <c r="G49" s="238"/>
      <c r="H49" s="238"/>
      <c r="I49" s="238"/>
      <c r="J49" s="238"/>
      <c r="K49" s="238"/>
      <c r="L49" s="238"/>
      <c r="M49" s="238"/>
      <c r="N49" s="238"/>
      <c r="O49" s="238"/>
      <c r="P49" s="238"/>
      <c r="Q49" s="238"/>
      <c r="R49" s="238"/>
      <c r="S49" s="238"/>
      <c r="T49" s="238"/>
      <c r="U49" s="238"/>
      <c r="V49" s="238"/>
    </row>
    <row r="50" spans="1:22" ht="17.100000000000001" customHeight="1">
      <c r="A50" s="249" t="s">
        <v>2625</v>
      </c>
      <c r="B50" s="245" t="s">
        <v>2542</v>
      </c>
      <c r="C50" s="257" t="s">
        <v>2627</v>
      </c>
      <c r="D50" s="238"/>
      <c r="E50" s="238"/>
      <c r="F50" s="238"/>
      <c r="G50" s="238"/>
      <c r="H50" s="238"/>
      <c r="I50" s="238"/>
      <c r="J50" s="238"/>
      <c r="K50" s="238"/>
      <c r="L50" s="238"/>
      <c r="M50" s="238"/>
      <c r="N50" s="238"/>
      <c r="O50" s="238"/>
      <c r="P50" s="238"/>
      <c r="Q50" s="238"/>
      <c r="R50" s="238"/>
      <c r="S50" s="238"/>
      <c r="T50" s="238"/>
      <c r="U50" s="238"/>
      <c r="V50" s="238"/>
    </row>
    <row r="51" spans="1:22" ht="17.100000000000001" customHeight="1">
      <c r="A51" s="255" t="s">
        <v>2628</v>
      </c>
      <c r="B51" s="245" t="s">
        <v>2605</v>
      </c>
      <c r="C51" s="250" t="s">
        <v>2629</v>
      </c>
      <c r="D51" s="238"/>
      <c r="E51" s="238"/>
      <c r="F51" s="238"/>
      <c r="G51" s="238"/>
      <c r="H51" s="238"/>
      <c r="I51" s="238"/>
      <c r="J51" s="238"/>
      <c r="K51" s="238"/>
      <c r="L51" s="238"/>
      <c r="M51" s="238"/>
      <c r="N51" s="238"/>
      <c r="O51" s="238"/>
      <c r="P51" s="238"/>
      <c r="Q51" s="238"/>
      <c r="R51" s="238"/>
      <c r="S51" s="238"/>
      <c r="T51" s="238"/>
      <c r="U51" s="238"/>
      <c r="V51" s="238"/>
    </row>
    <row r="52" spans="1:22" ht="17.100000000000001" customHeight="1">
      <c r="A52" s="255" t="s">
        <v>2628</v>
      </c>
      <c r="B52" s="245" t="s">
        <v>2605</v>
      </c>
      <c r="C52" s="250" t="s">
        <v>2630</v>
      </c>
      <c r="D52" s="238"/>
      <c r="E52" s="238"/>
      <c r="F52" s="238"/>
      <c r="G52" s="238"/>
      <c r="H52" s="238"/>
      <c r="I52" s="238"/>
      <c r="J52" s="238"/>
      <c r="K52" s="238"/>
      <c r="L52" s="238"/>
      <c r="M52" s="238"/>
      <c r="N52" s="238"/>
      <c r="O52" s="238"/>
      <c r="P52" s="238"/>
      <c r="Q52" s="238"/>
      <c r="R52" s="238"/>
      <c r="S52" s="238"/>
      <c r="T52" s="238"/>
      <c r="U52" s="238"/>
      <c r="V52" s="238"/>
    </row>
    <row r="53" spans="1:22" ht="17.100000000000001" customHeight="1">
      <c r="A53" s="255" t="s">
        <v>2631</v>
      </c>
      <c r="B53" s="245" t="s">
        <v>2605</v>
      </c>
      <c r="C53" s="250" t="s">
        <v>2632</v>
      </c>
      <c r="D53" s="238"/>
      <c r="E53" s="238"/>
      <c r="F53" s="238"/>
      <c r="G53" s="238"/>
      <c r="H53" s="238"/>
      <c r="I53" s="238"/>
      <c r="J53" s="238"/>
      <c r="K53" s="238"/>
      <c r="L53" s="238"/>
      <c r="M53" s="238"/>
      <c r="N53" s="238"/>
      <c r="O53" s="238"/>
      <c r="P53" s="238"/>
      <c r="Q53" s="238"/>
      <c r="R53" s="238"/>
      <c r="S53" s="238"/>
      <c r="T53" s="238"/>
      <c r="U53" s="238"/>
      <c r="V53" s="238"/>
    </row>
    <row r="54" spans="1:22" ht="17.100000000000001" customHeight="1">
      <c r="A54" s="251" t="s">
        <v>2633</v>
      </c>
      <c r="B54" s="252" t="s">
        <v>2634</v>
      </c>
      <c r="C54" s="258" t="s">
        <v>2621</v>
      </c>
      <c r="D54" s="238"/>
      <c r="E54" s="238"/>
      <c r="F54" s="238"/>
      <c r="G54" s="238"/>
      <c r="H54" s="238"/>
      <c r="I54" s="238"/>
      <c r="J54" s="238"/>
      <c r="K54" s="238"/>
      <c r="L54" s="238"/>
      <c r="M54" s="238"/>
      <c r="N54" s="238"/>
      <c r="O54" s="238"/>
      <c r="P54" s="238"/>
      <c r="Q54" s="238"/>
      <c r="R54" s="238"/>
      <c r="S54" s="238"/>
      <c r="T54" s="238"/>
      <c r="U54" s="238"/>
      <c r="V54" s="238"/>
    </row>
    <row r="55" spans="1:22" ht="17.100000000000001" customHeight="1">
      <c r="A55" s="256" t="s">
        <v>2635</v>
      </c>
      <c r="B55" s="252"/>
      <c r="C55" s="253"/>
      <c r="D55" s="238"/>
      <c r="E55" s="238"/>
      <c r="F55" s="238"/>
      <c r="G55" s="238"/>
      <c r="H55" s="238"/>
      <c r="I55" s="238"/>
      <c r="J55" s="238"/>
      <c r="K55" s="238"/>
      <c r="L55" s="238"/>
      <c r="M55" s="238"/>
      <c r="N55" s="238"/>
      <c r="O55" s="238"/>
      <c r="P55" s="238"/>
      <c r="Q55" s="238"/>
      <c r="R55" s="238"/>
      <c r="S55" s="238"/>
      <c r="T55" s="238"/>
      <c r="U55" s="238"/>
      <c r="V55" s="238"/>
    </row>
    <row r="56" spans="1:22" ht="17.100000000000001" customHeight="1">
      <c r="A56" s="244" t="s">
        <v>2636</v>
      </c>
      <c r="B56" s="252" t="s">
        <v>2537</v>
      </c>
      <c r="C56" s="253" t="s">
        <v>2637</v>
      </c>
      <c r="D56" s="238"/>
      <c r="E56" s="238"/>
      <c r="F56" s="238"/>
      <c r="G56" s="238"/>
      <c r="H56" s="238"/>
      <c r="I56" s="238"/>
      <c r="J56" s="238"/>
      <c r="K56" s="238"/>
      <c r="L56" s="238"/>
      <c r="M56" s="238"/>
      <c r="N56" s="238"/>
      <c r="O56" s="238"/>
      <c r="P56" s="238"/>
      <c r="Q56" s="238"/>
      <c r="R56" s="238"/>
      <c r="S56" s="238"/>
      <c r="T56" s="238"/>
      <c r="U56" s="238"/>
      <c r="V56" s="238"/>
    </row>
    <row r="57" spans="1:22" ht="17.100000000000001" customHeight="1">
      <c r="A57" s="244" t="s">
        <v>2638</v>
      </c>
      <c r="B57" s="259" t="s">
        <v>2542</v>
      </c>
      <c r="C57" s="253" t="s">
        <v>2639</v>
      </c>
      <c r="D57" s="238"/>
      <c r="E57" s="238"/>
      <c r="F57" s="238"/>
      <c r="G57" s="238"/>
      <c r="H57" s="238"/>
      <c r="I57" s="238"/>
      <c r="J57" s="238"/>
      <c r="K57" s="238"/>
      <c r="L57" s="238"/>
      <c r="M57" s="238"/>
      <c r="N57" s="238"/>
      <c r="O57" s="238"/>
      <c r="P57" s="238"/>
      <c r="Q57" s="238"/>
      <c r="R57" s="238"/>
      <c r="S57" s="238"/>
      <c r="T57" s="238"/>
      <c r="U57" s="238"/>
      <c r="V57" s="238"/>
    </row>
    <row r="58" spans="1:22" ht="17.100000000000001" customHeight="1">
      <c r="A58" s="249" t="s">
        <v>2640</v>
      </c>
      <c r="B58" s="245"/>
      <c r="C58" s="250"/>
      <c r="D58" s="238"/>
      <c r="E58" s="238"/>
      <c r="F58" s="238"/>
      <c r="G58" s="238"/>
      <c r="H58" s="238"/>
      <c r="I58" s="238"/>
      <c r="J58" s="238"/>
      <c r="K58" s="238"/>
      <c r="L58" s="238"/>
      <c r="M58" s="238"/>
      <c r="N58" s="238"/>
      <c r="O58" s="238"/>
      <c r="P58" s="238"/>
      <c r="Q58" s="238"/>
      <c r="R58" s="238"/>
      <c r="S58" s="238"/>
      <c r="T58" s="238"/>
      <c r="U58" s="238"/>
      <c r="V58" s="238"/>
    </row>
    <row r="59" spans="1:22" ht="17.100000000000001" customHeight="1">
      <c r="A59" s="245" t="s">
        <v>2641</v>
      </c>
      <c r="B59" s="245" t="s">
        <v>2564</v>
      </c>
      <c r="C59" s="250" t="s">
        <v>2642</v>
      </c>
      <c r="D59" s="238"/>
      <c r="E59" s="238"/>
      <c r="F59" s="238"/>
      <c r="G59" s="238"/>
      <c r="H59" s="238"/>
      <c r="I59" s="238"/>
      <c r="J59" s="238"/>
      <c r="K59" s="238"/>
      <c r="L59" s="238"/>
      <c r="M59" s="238"/>
      <c r="N59" s="238"/>
      <c r="O59" s="238"/>
      <c r="P59" s="238"/>
      <c r="Q59" s="238"/>
      <c r="R59" s="238"/>
      <c r="S59" s="238"/>
      <c r="T59" s="238"/>
      <c r="U59" s="238"/>
      <c r="V59" s="238"/>
    </row>
    <row r="60" spans="1:22" ht="17.100000000000001" customHeight="1">
      <c r="A60" s="245" t="s">
        <v>2643</v>
      </c>
      <c r="B60" s="245" t="s">
        <v>2564</v>
      </c>
      <c r="C60" s="250" t="s">
        <v>2644</v>
      </c>
      <c r="D60" s="238"/>
      <c r="E60" s="238"/>
      <c r="F60" s="238"/>
      <c r="G60" s="238"/>
      <c r="H60" s="238"/>
      <c r="I60" s="238"/>
      <c r="J60" s="238"/>
      <c r="K60" s="238"/>
      <c r="L60" s="238"/>
      <c r="M60" s="238"/>
      <c r="N60" s="238"/>
      <c r="O60" s="238"/>
      <c r="P60" s="238"/>
      <c r="Q60" s="238"/>
      <c r="R60" s="238"/>
      <c r="S60" s="238"/>
      <c r="T60" s="238"/>
      <c r="U60" s="238"/>
      <c r="V60" s="238"/>
    </row>
    <row r="61" spans="1:22" ht="16.5">
      <c r="A61" s="260"/>
      <c r="B61" s="238"/>
      <c r="C61" s="238"/>
      <c r="D61" s="238"/>
      <c r="E61" s="238"/>
      <c r="F61" s="238"/>
      <c r="G61" s="238"/>
      <c r="H61" s="238"/>
      <c r="I61" s="238"/>
      <c r="J61" s="238"/>
      <c r="K61" s="238"/>
      <c r="L61" s="238"/>
      <c r="M61" s="238"/>
      <c r="N61" s="238"/>
      <c r="O61" s="238"/>
      <c r="P61" s="238"/>
      <c r="Q61" s="238"/>
      <c r="R61" s="238"/>
      <c r="S61" s="238"/>
      <c r="T61" s="238"/>
      <c r="U61" s="238"/>
      <c r="V61" s="238"/>
    </row>
    <row r="62" spans="1:22" ht="16.5">
      <c r="A62" s="260"/>
      <c r="B62" s="238"/>
      <c r="C62" s="238"/>
      <c r="D62" s="238"/>
      <c r="E62" s="238"/>
      <c r="F62" s="238"/>
      <c r="G62" s="238"/>
      <c r="H62" s="238"/>
      <c r="I62" s="238"/>
      <c r="J62" s="238"/>
      <c r="K62" s="238"/>
      <c r="L62" s="238"/>
      <c r="M62" s="238"/>
      <c r="N62" s="238"/>
      <c r="O62" s="238"/>
      <c r="P62" s="238"/>
      <c r="Q62" s="238"/>
      <c r="R62" s="238"/>
      <c r="S62" s="238"/>
      <c r="T62" s="238"/>
      <c r="U62" s="238"/>
      <c r="V62" s="238"/>
    </row>
    <row r="63" spans="1:22" ht="16.5">
      <c r="A63" s="260"/>
      <c r="B63" s="238"/>
      <c r="C63" s="238"/>
      <c r="D63" s="238"/>
      <c r="E63" s="238"/>
      <c r="F63" s="238"/>
      <c r="G63" s="238"/>
      <c r="H63" s="238"/>
      <c r="I63" s="238"/>
      <c r="J63" s="238"/>
      <c r="K63" s="238"/>
      <c r="L63" s="238"/>
      <c r="M63" s="238"/>
      <c r="N63" s="238"/>
      <c r="O63" s="238"/>
      <c r="P63" s="238"/>
      <c r="Q63" s="238"/>
      <c r="R63" s="238"/>
      <c r="S63" s="238"/>
      <c r="T63" s="238"/>
      <c r="U63" s="238"/>
      <c r="V63" s="238"/>
    </row>
    <row r="64" spans="1:22" ht="16.5">
      <c r="A64" s="260"/>
      <c r="B64" s="238"/>
      <c r="C64" s="238"/>
      <c r="D64" s="238"/>
      <c r="E64" s="238"/>
      <c r="F64" s="238"/>
      <c r="G64" s="238"/>
      <c r="H64" s="238"/>
      <c r="I64" s="238"/>
      <c r="J64" s="238"/>
      <c r="K64" s="238"/>
      <c r="L64" s="238"/>
      <c r="M64" s="238"/>
      <c r="N64" s="238"/>
      <c r="O64" s="238"/>
      <c r="P64" s="238"/>
      <c r="Q64" s="238"/>
      <c r="R64" s="238"/>
      <c r="S64" s="238"/>
      <c r="T64" s="238"/>
      <c r="U64" s="238"/>
      <c r="V64" s="238"/>
    </row>
    <row r="65" spans="1:22" ht="16.5">
      <c r="A65" s="260"/>
      <c r="B65" s="238"/>
      <c r="C65" s="238"/>
      <c r="D65" s="238"/>
      <c r="E65" s="238"/>
      <c r="F65" s="238"/>
      <c r="G65" s="238"/>
      <c r="H65" s="238"/>
      <c r="I65" s="238"/>
      <c r="J65" s="238"/>
      <c r="K65" s="238"/>
      <c r="L65" s="238"/>
      <c r="M65" s="238"/>
      <c r="N65" s="238"/>
      <c r="O65" s="238"/>
      <c r="P65" s="238"/>
      <c r="Q65" s="238"/>
      <c r="R65" s="238"/>
      <c r="S65" s="238"/>
      <c r="T65" s="238"/>
      <c r="U65" s="238"/>
      <c r="V65" s="238"/>
    </row>
    <row r="66" spans="1:22" ht="16.5">
      <c r="A66" s="260"/>
      <c r="B66" s="238"/>
      <c r="C66" s="238"/>
      <c r="D66" s="238"/>
      <c r="E66" s="238"/>
      <c r="F66" s="238"/>
      <c r="G66" s="238"/>
      <c r="H66" s="238"/>
      <c r="I66" s="238"/>
      <c r="J66" s="238"/>
      <c r="K66" s="238"/>
      <c r="L66" s="238"/>
      <c r="M66" s="238"/>
      <c r="N66" s="238"/>
      <c r="O66" s="238"/>
      <c r="P66" s="238"/>
      <c r="Q66" s="238"/>
      <c r="R66" s="238"/>
      <c r="S66" s="238"/>
      <c r="T66" s="238"/>
      <c r="U66" s="238"/>
      <c r="V66" s="238"/>
    </row>
    <row r="67" spans="1:22" ht="16.5">
      <c r="A67" s="260"/>
      <c r="B67" s="238"/>
      <c r="C67" s="238"/>
      <c r="D67" s="238"/>
      <c r="E67" s="238"/>
      <c r="F67" s="238"/>
      <c r="G67" s="238"/>
      <c r="H67" s="238"/>
      <c r="I67" s="238"/>
      <c r="J67" s="238"/>
      <c r="K67" s="238"/>
      <c r="L67" s="238"/>
      <c r="M67" s="238"/>
      <c r="N67" s="238"/>
      <c r="O67" s="238"/>
      <c r="P67" s="238"/>
      <c r="Q67" s="238"/>
      <c r="R67" s="238"/>
      <c r="S67" s="238"/>
      <c r="T67" s="238"/>
      <c r="U67" s="238"/>
      <c r="V67" s="238"/>
    </row>
    <row r="68" spans="1:22" ht="16.5">
      <c r="A68" s="260"/>
      <c r="B68" s="238"/>
      <c r="C68" s="238"/>
      <c r="D68" s="238"/>
      <c r="E68" s="238"/>
      <c r="F68" s="238"/>
      <c r="G68" s="238"/>
      <c r="H68" s="238"/>
      <c r="I68" s="238"/>
      <c r="J68" s="238"/>
      <c r="K68" s="238"/>
      <c r="L68" s="238"/>
      <c r="M68" s="238"/>
      <c r="N68" s="238"/>
      <c r="O68" s="238"/>
      <c r="P68" s="238"/>
      <c r="Q68" s="238"/>
      <c r="R68" s="238"/>
      <c r="S68" s="238"/>
      <c r="T68" s="238"/>
      <c r="U68" s="238"/>
      <c r="V68" s="238"/>
    </row>
    <row r="69" spans="1:22" ht="16.5">
      <c r="A69" s="260"/>
      <c r="B69" s="238"/>
      <c r="C69" s="238"/>
      <c r="D69" s="238"/>
      <c r="E69" s="238"/>
      <c r="F69" s="238"/>
      <c r="G69" s="238"/>
      <c r="H69" s="238"/>
      <c r="I69" s="238"/>
      <c r="J69" s="238"/>
      <c r="K69" s="238"/>
      <c r="L69" s="238"/>
      <c r="M69" s="238"/>
      <c r="N69" s="238"/>
      <c r="O69" s="238"/>
      <c r="P69" s="238"/>
      <c r="Q69" s="238"/>
      <c r="R69" s="238"/>
      <c r="S69" s="238"/>
      <c r="T69" s="238"/>
      <c r="U69" s="238"/>
      <c r="V69" s="238"/>
    </row>
    <row r="70" spans="1:22" ht="16.5">
      <c r="A70" s="260"/>
      <c r="B70" s="238"/>
      <c r="C70" s="238"/>
      <c r="D70" s="238"/>
      <c r="E70" s="238"/>
      <c r="F70" s="238"/>
      <c r="G70" s="238"/>
      <c r="H70" s="238"/>
      <c r="I70" s="238"/>
      <c r="J70" s="238"/>
      <c r="K70" s="238"/>
      <c r="L70" s="238"/>
      <c r="M70" s="238"/>
      <c r="N70" s="238"/>
      <c r="O70" s="238"/>
      <c r="P70" s="238"/>
      <c r="Q70" s="238"/>
      <c r="R70" s="238"/>
      <c r="S70" s="238"/>
      <c r="T70" s="238"/>
      <c r="U70" s="238"/>
      <c r="V70" s="238"/>
    </row>
    <row r="71" spans="1:22" ht="16.5">
      <c r="A71" s="260"/>
      <c r="B71" s="238"/>
      <c r="C71" s="238"/>
      <c r="D71" s="238"/>
      <c r="E71" s="238"/>
      <c r="F71" s="238"/>
      <c r="G71" s="238"/>
      <c r="H71" s="238"/>
      <c r="I71" s="238"/>
      <c r="J71" s="238"/>
      <c r="K71" s="238"/>
      <c r="L71" s="238"/>
      <c r="M71" s="238"/>
      <c r="N71" s="238"/>
      <c r="O71" s="238"/>
      <c r="P71" s="238"/>
      <c r="Q71" s="238"/>
      <c r="R71" s="238"/>
      <c r="S71" s="238"/>
      <c r="T71" s="238"/>
      <c r="U71" s="238"/>
      <c r="V71" s="238"/>
    </row>
    <row r="72" spans="1:22" ht="16.5">
      <c r="A72" s="260"/>
      <c r="B72" s="238"/>
      <c r="C72" s="238"/>
      <c r="D72" s="238"/>
      <c r="E72" s="238"/>
      <c r="F72" s="238"/>
      <c r="G72" s="238"/>
      <c r="H72" s="238"/>
      <c r="I72" s="238"/>
      <c r="J72" s="238"/>
      <c r="K72" s="238"/>
      <c r="L72" s="238"/>
      <c r="M72" s="238"/>
      <c r="N72" s="238"/>
      <c r="O72" s="238"/>
      <c r="P72" s="238"/>
      <c r="Q72" s="238"/>
      <c r="R72" s="238"/>
      <c r="S72" s="238"/>
      <c r="T72" s="238"/>
      <c r="U72" s="238"/>
      <c r="V72" s="238"/>
    </row>
    <row r="73" spans="1:22" ht="16.5">
      <c r="A73" s="260"/>
      <c r="B73" s="238"/>
      <c r="C73" s="238"/>
      <c r="D73" s="238"/>
      <c r="E73" s="238"/>
      <c r="F73" s="238"/>
      <c r="G73" s="238"/>
      <c r="H73" s="238"/>
      <c r="I73" s="238"/>
      <c r="J73" s="238"/>
      <c r="K73" s="238"/>
      <c r="L73" s="238"/>
      <c r="M73" s="238"/>
      <c r="N73" s="238"/>
      <c r="O73" s="238"/>
      <c r="P73" s="238"/>
      <c r="Q73" s="238"/>
      <c r="R73" s="238"/>
      <c r="S73" s="238"/>
      <c r="T73" s="238"/>
      <c r="U73" s="238"/>
      <c r="V73" s="238"/>
    </row>
    <row r="74" spans="1:22" ht="16.5">
      <c r="A74" s="260"/>
      <c r="B74" s="238"/>
      <c r="C74" s="238"/>
      <c r="D74" s="238"/>
      <c r="E74" s="238"/>
      <c r="F74" s="238"/>
      <c r="G74" s="238"/>
      <c r="H74" s="238"/>
      <c r="I74" s="238"/>
      <c r="J74" s="238"/>
      <c r="K74" s="238"/>
      <c r="L74" s="238"/>
      <c r="M74" s="238"/>
      <c r="N74" s="238"/>
      <c r="O74" s="238"/>
      <c r="P74" s="238"/>
      <c r="Q74" s="238"/>
      <c r="R74" s="238"/>
      <c r="S74" s="238"/>
      <c r="T74" s="238"/>
      <c r="U74" s="238"/>
      <c r="V74" s="238"/>
    </row>
    <row r="75" spans="1:22" ht="16.5">
      <c r="A75" s="260"/>
      <c r="B75" s="238"/>
      <c r="C75" s="238"/>
      <c r="D75" s="238"/>
      <c r="E75" s="238"/>
      <c r="F75" s="238"/>
      <c r="G75" s="238"/>
      <c r="H75" s="238"/>
      <c r="I75" s="238"/>
      <c r="J75" s="238"/>
      <c r="K75" s="238"/>
      <c r="L75" s="238"/>
      <c r="M75" s="238"/>
      <c r="N75" s="238"/>
      <c r="O75" s="238"/>
      <c r="P75" s="238"/>
      <c r="Q75" s="238"/>
      <c r="R75" s="238"/>
      <c r="S75" s="238"/>
      <c r="T75" s="238"/>
      <c r="U75" s="238"/>
      <c r="V75" s="238"/>
    </row>
    <row r="76" spans="1:22" ht="16.5">
      <c r="A76" s="260"/>
      <c r="B76" s="238"/>
      <c r="C76" s="238"/>
      <c r="D76" s="238"/>
      <c r="E76" s="238"/>
      <c r="F76" s="238"/>
      <c r="G76" s="238"/>
      <c r="H76" s="238"/>
      <c r="I76" s="238"/>
      <c r="J76" s="238"/>
      <c r="K76" s="238"/>
      <c r="L76" s="238"/>
      <c r="M76" s="238"/>
      <c r="N76" s="238"/>
      <c r="O76" s="238"/>
      <c r="P76" s="238"/>
      <c r="Q76" s="238"/>
      <c r="R76" s="238"/>
      <c r="S76" s="238"/>
      <c r="T76" s="238"/>
      <c r="U76" s="238"/>
      <c r="V76" s="238"/>
    </row>
    <row r="77" spans="1:22" ht="16.5">
      <c r="A77" s="260"/>
      <c r="B77" s="238"/>
      <c r="C77" s="238"/>
      <c r="D77" s="238"/>
      <c r="E77" s="238"/>
      <c r="F77" s="238"/>
      <c r="G77" s="238"/>
      <c r="H77" s="238"/>
      <c r="I77" s="238"/>
      <c r="J77" s="238"/>
      <c r="K77" s="238"/>
      <c r="L77" s="238"/>
      <c r="M77" s="238"/>
      <c r="N77" s="238"/>
      <c r="O77" s="238"/>
      <c r="P77" s="238"/>
      <c r="Q77" s="238"/>
      <c r="R77" s="238"/>
      <c r="S77" s="238"/>
      <c r="T77" s="238"/>
      <c r="U77" s="238"/>
      <c r="V77" s="238"/>
    </row>
    <row r="78" spans="1:22" ht="16.5">
      <c r="A78" s="260"/>
      <c r="B78" s="238"/>
      <c r="C78" s="238"/>
      <c r="D78" s="238"/>
      <c r="E78" s="238"/>
      <c r="F78" s="238"/>
      <c r="G78" s="238"/>
      <c r="H78" s="238"/>
      <c r="I78" s="238"/>
      <c r="J78" s="238"/>
      <c r="K78" s="238"/>
      <c r="L78" s="238"/>
      <c r="M78" s="238"/>
      <c r="N78" s="238"/>
      <c r="O78" s="238"/>
      <c r="P78" s="238"/>
      <c r="Q78" s="238"/>
      <c r="R78" s="238"/>
      <c r="S78" s="238"/>
      <c r="T78" s="238"/>
      <c r="U78" s="238"/>
      <c r="V78" s="238"/>
    </row>
    <row r="79" spans="1:22" ht="16.5">
      <c r="A79" s="260"/>
      <c r="B79" s="238"/>
      <c r="C79" s="238"/>
      <c r="D79" s="238"/>
      <c r="E79" s="238"/>
      <c r="F79" s="238"/>
      <c r="G79" s="238"/>
      <c r="H79" s="238"/>
      <c r="I79" s="238"/>
      <c r="J79" s="238"/>
      <c r="K79" s="238"/>
      <c r="L79" s="238"/>
      <c r="M79" s="238"/>
      <c r="N79" s="238"/>
      <c r="O79" s="238"/>
      <c r="P79" s="238"/>
      <c r="Q79" s="238"/>
      <c r="R79" s="238"/>
      <c r="S79" s="238"/>
      <c r="T79" s="238"/>
      <c r="U79" s="238"/>
      <c r="V79" s="238"/>
    </row>
    <row r="80" spans="1:22" ht="16.5">
      <c r="A80" s="260"/>
      <c r="B80" s="238"/>
      <c r="C80" s="238"/>
      <c r="D80" s="238"/>
      <c r="E80" s="238"/>
      <c r="F80" s="238"/>
      <c r="G80" s="238"/>
      <c r="H80" s="238"/>
      <c r="I80" s="238"/>
      <c r="J80" s="238"/>
      <c r="K80" s="238"/>
      <c r="L80" s="238"/>
      <c r="M80" s="238"/>
      <c r="N80" s="238"/>
      <c r="O80" s="238"/>
      <c r="P80" s="238"/>
      <c r="Q80" s="238"/>
      <c r="R80" s="238"/>
      <c r="S80" s="238"/>
      <c r="T80" s="238"/>
      <c r="U80" s="238"/>
      <c r="V80" s="238"/>
    </row>
    <row r="81" spans="1:22" ht="16.5">
      <c r="A81" s="260"/>
      <c r="B81" s="238"/>
      <c r="C81" s="238"/>
      <c r="D81" s="238"/>
      <c r="E81" s="238"/>
      <c r="F81" s="238"/>
      <c r="G81" s="238"/>
      <c r="H81" s="238"/>
      <c r="I81" s="238"/>
      <c r="J81" s="238"/>
      <c r="K81" s="238"/>
      <c r="L81" s="238"/>
      <c r="M81" s="238"/>
      <c r="N81" s="238"/>
      <c r="O81" s="238"/>
      <c r="P81" s="238"/>
      <c r="Q81" s="238"/>
      <c r="R81" s="238"/>
      <c r="S81" s="238"/>
      <c r="T81" s="238"/>
      <c r="U81" s="238"/>
      <c r="V81" s="238"/>
    </row>
    <row r="82" spans="1:22" ht="16.5">
      <c r="A82" s="260"/>
      <c r="B82" s="238"/>
      <c r="C82" s="238"/>
      <c r="D82" s="238"/>
      <c r="E82" s="238"/>
      <c r="F82" s="238"/>
      <c r="G82" s="238"/>
      <c r="H82" s="238"/>
      <c r="I82" s="238"/>
      <c r="J82" s="238"/>
      <c r="K82" s="238"/>
      <c r="L82" s="238"/>
      <c r="M82" s="238"/>
      <c r="N82" s="238"/>
      <c r="O82" s="238"/>
      <c r="P82" s="238"/>
      <c r="Q82" s="238"/>
      <c r="R82" s="238"/>
      <c r="S82" s="238"/>
      <c r="T82" s="238"/>
      <c r="U82" s="238"/>
      <c r="V82" s="238"/>
    </row>
    <row r="83" spans="1:22" ht="16.5">
      <c r="A83" s="260"/>
      <c r="B83" s="238"/>
      <c r="C83" s="238"/>
      <c r="D83" s="238"/>
      <c r="E83" s="238"/>
      <c r="F83" s="238"/>
      <c r="G83" s="238"/>
      <c r="H83" s="238"/>
      <c r="I83" s="238"/>
      <c r="J83" s="238"/>
      <c r="K83" s="238"/>
      <c r="L83" s="238"/>
      <c r="M83" s="238"/>
      <c r="N83" s="238"/>
      <c r="O83" s="238"/>
      <c r="P83" s="238"/>
      <c r="Q83" s="238"/>
      <c r="R83" s="238"/>
      <c r="S83" s="238"/>
      <c r="T83" s="238"/>
      <c r="U83" s="238"/>
      <c r="V83" s="238"/>
    </row>
    <row r="84" spans="1:22" ht="16.5">
      <c r="A84" s="260"/>
      <c r="B84" s="238"/>
      <c r="C84" s="238"/>
      <c r="D84" s="238"/>
      <c r="E84" s="238"/>
      <c r="F84" s="238"/>
      <c r="G84" s="238"/>
      <c r="H84" s="238"/>
      <c r="I84" s="238"/>
      <c r="J84" s="238"/>
      <c r="K84" s="238"/>
      <c r="L84" s="238"/>
      <c r="M84" s="238"/>
      <c r="N84" s="238"/>
      <c r="O84" s="238"/>
      <c r="P84" s="238"/>
      <c r="Q84" s="238"/>
      <c r="R84" s="238"/>
      <c r="S84" s="238"/>
      <c r="T84" s="238"/>
      <c r="U84" s="238"/>
      <c r="V84" s="238"/>
    </row>
    <row r="85" spans="1:22" ht="16.5">
      <c r="A85" s="260"/>
      <c r="B85" s="238"/>
      <c r="C85" s="238"/>
      <c r="D85" s="238"/>
      <c r="E85" s="238"/>
      <c r="F85" s="238"/>
      <c r="G85" s="238"/>
      <c r="H85" s="238"/>
      <c r="I85" s="238"/>
      <c r="J85" s="238"/>
      <c r="K85" s="238"/>
      <c r="L85" s="238"/>
      <c r="M85" s="238"/>
      <c r="N85" s="238"/>
      <c r="O85" s="238"/>
      <c r="P85" s="238"/>
      <c r="Q85" s="238"/>
      <c r="R85" s="238"/>
      <c r="S85" s="238"/>
      <c r="T85" s="238"/>
      <c r="U85" s="238"/>
      <c r="V85" s="238"/>
    </row>
    <row r="86" spans="1:22" ht="16.5">
      <c r="A86" s="260"/>
      <c r="B86" s="238"/>
      <c r="C86" s="238"/>
      <c r="D86" s="238"/>
      <c r="E86" s="238"/>
      <c r="F86" s="238"/>
      <c r="G86" s="238"/>
      <c r="H86" s="238"/>
      <c r="I86" s="238"/>
      <c r="J86" s="238"/>
      <c r="K86" s="238"/>
      <c r="L86" s="238"/>
      <c r="M86" s="238"/>
      <c r="N86" s="238"/>
      <c r="O86" s="238"/>
      <c r="P86" s="238"/>
      <c r="Q86" s="238"/>
      <c r="R86" s="238"/>
      <c r="S86" s="238"/>
      <c r="T86" s="238"/>
      <c r="U86" s="238"/>
      <c r="V86" s="238"/>
    </row>
    <row r="87" spans="1:22" ht="16.5">
      <c r="A87" s="260"/>
      <c r="B87" s="238"/>
      <c r="C87" s="238"/>
      <c r="D87" s="238"/>
      <c r="E87" s="238"/>
      <c r="F87" s="238"/>
      <c r="G87" s="238"/>
      <c r="H87" s="238"/>
      <c r="I87" s="238"/>
      <c r="J87" s="238"/>
      <c r="K87" s="238"/>
      <c r="L87" s="238"/>
      <c r="M87" s="238"/>
      <c r="N87" s="238"/>
      <c r="O87" s="238"/>
      <c r="P87" s="238"/>
      <c r="Q87" s="238"/>
      <c r="R87" s="238"/>
      <c r="S87" s="238"/>
      <c r="T87" s="238"/>
      <c r="U87" s="238"/>
      <c r="V87" s="238"/>
    </row>
    <row r="88" spans="1:22" ht="16.5">
      <c r="A88" s="260"/>
      <c r="B88" s="238"/>
      <c r="C88" s="238"/>
      <c r="D88" s="238"/>
      <c r="E88" s="238"/>
      <c r="F88" s="238"/>
      <c r="G88" s="238"/>
      <c r="H88" s="238"/>
      <c r="I88" s="238"/>
      <c r="J88" s="238"/>
      <c r="K88" s="238"/>
      <c r="L88" s="238"/>
      <c r="M88" s="238"/>
      <c r="N88" s="238"/>
      <c r="O88" s="238"/>
      <c r="P88" s="238"/>
      <c r="Q88" s="238"/>
      <c r="R88" s="238"/>
      <c r="S88" s="238"/>
      <c r="T88" s="238"/>
      <c r="U88" s="238"/>
      <c r="V88" s="238"/>
    </row>
    <row r="89" spans="1:22" ht="16.5">
      <c r="A89" s="260"/>
      <c r="B89" s="238"/>
      <c r="C89" s="238"/>
      <c r="D89" s="238"/>
      <c r="E89" s="238"/>
      <c r="F89" s="238"/>
      <c r="G89" s="238"/>
      <c r="H89" s="238"/>
      <c r="I89" s="238"/>
      <c r="J89" s="238"/>
      <c r="K89" s="238"/>
      <c r="L89" s="238"/>
      <c r="M89" s="238"/>
      <c r="N89" s="238"/>
      <c r="O89" s="238"/>
      <c r="P89" s="238"/>
      <c r="Q89" s="238"/>
      <c r="R89" s="238"/>
      <c r="S89" s="238"/>
      <c r="T89" s="238"/>
      <c r="U89" s="238"/>
      <c r="V89" s="238"/>
    </row>
    <row r="90" spans="1:22" ht="16.5">
      <c r="A90" s="260"/>
      <c r="B90" s="238"/>
      <c r="C90" s="238"/>
      <c r="D90" s="238"/>
      <c r="E90" s="238"/>
      <c r="F90" s="238"/>
      <c r="G90" s="238"/>
      <c r="H90" s="238"/>
      <c r="I90" s="238"/>
      <c r="J90" s="238"/>
      <c r="K90" s="238"/>
      <c r="L90" s="238"/>
      <c r="M90" s="238"/>
      <c r="N90" s="238"/>
      <c r="O90" s="238"/>
      <c r="P90" s="238"/>
      <c r="Q90" s="238"/>
      <c r="R90" s="238"/>
      <c r="S90" s="238"/>
      <c r="T90" s="238"/>
      <c r="U90" s="238"/>
      <c r="V90" s="238"/>
    </row>
    <row r="91" spans="1:22" ht="16.5">
      <c r="A91" s="260"/>
      <c r="B91" s="238"/>
      <c r="C91" s="238"/>
      <c r="D91" s="238"/>
      <c r="E91" s="238"/>
      <c r="F91" s="238"/>
      <c r="G91" s="238"/>
      <c r="H91" s="238"/>
      <c r="I91" s="238"/>
      <c r="J91" s="238"/>
      <c r="K91" s="238"/>
      <c r="L91" s="238"/>
      <c r="M91" s="238"/>
      <c r="N91" s="238"/>
      <c r="O91" s="238"/>
      <c r="P91" s="238"/>
      <c r="Q91" s="238"/>
      <c r="R91" s="238"/>
      <c r="S91" s="238"/>
      <c r="T91" s="238"/>
      <c r="U91" s="238"/>
      <c r="V91" s="238"/>
    </row>
    <row r="92" spans="1:22" ht="16.5">
      <c r="A92" s="260"/>
      <c r="B92" s="238"/>
      <c r="C92" s="238"/>
      <c r="D92" s="238"/>
      <c r="E92" s="238"/>
      <c r="F92" s="238"/>
      <c r="G92" s="238"/>
      <c r="H92" s="238"/>
      <c r="I92" s="238"/>
      <c r="J92" s="238"/>
      <c r="K92" s="238"/>
      <c r="L92" s="238"/>
      <c r="M92" s="238"/>
      <c r="N92" s="238"/>
      <c r="O92" s="238"/>
      <c r="P92" s="238"/>
      <c r="Q92" s="238"/>
      <c r="R92" s="238"/>
      <c r="S92" s="238"/>
      <c r="T92" s="238"/>
      <c r="U92" s="238"/>
      <c r="V92" s="238"/>
    </row>
    <row r="93" spans="1:22" ht="16.5">
      <c r="A93" s="260"/>
      <c r="B93" s="238"/>
      <c r="C93" s="238"/>
      <c r="D93" s="238"/>
      <c r="E93" s="238"/>
      <c r="F93" s="238"/>
      <c r="G93" s="238"/>
      <c r="H93" s="238"/>
      <c r="I93" s="238"/>
      <c r="J93" s="238"/>
      <c r="K93" s="238"/>
      <c r="L93" s="238"/>
      <c r="M93" s="238"/>
      <c r="N93" s="238"/>
      <c r="O93" s="238"/>
      <c r="P93" s="238"/>
      <c r="Q93" s="238"/>
      <c r="R93" s="238"/>
      <c r="S93" s="238"/>
      <c r="T93" s="238"/>
      <c r="U93" s="238"/>
      <c r="V93" s="238"/>
    </row>
    <row r="94" spans="1:22" ht="16.5">
      <c r="A94" s="260"/>
      <c r="B94" s="238"/>
      <c r="C94" s="238"/>
      <c r="D94" s="238"/>
      <c r="E94" s="238"/>
      <c r="F94" s="238"/>
      <c r="G94" s="238"/>
      <c r="H94" s="238"/>
      <c r="I94" s="238"/>
      <c r="J94" s="238"/>
      <c r="K94" s="238"/>
      <c r="L94" s="238"/>
      <c r="M94" s="238"/>
      <c r="N94" s="238"/>
      <c r="O94" s="238"/>
      <c r="P94" s="238"/>
      <c r="Q94" s="238"/>
      <c r="R94" s="238"/>
      <c r="S94" s="238"/>
      <c r="T94" s="238"/>
      <c r="U94" s="238"/>
      <c r="V94" s="238"/>
    </row>
    <row r="95" spans="1:22" ht="16.5">
      <c r="A95" s="260"/>
      <c r="B95" s="238"/>
      <c r="C95" s="238"/>
      <c r="D95" s="238"/>
      <c r="E95" s="238"/>
      <c r="F95" s="238"/>
      <c r="G95" s="238"/>
      <c r="H95" s="238"/>
      <c r="I95" s="238"/>
      <c r="J95" s="238"/>
      <c r="K95" s="238"/>
      <c r="L95" s="238"/>
      <c r="M95" s="238"/>
      <c r="N95" s="238"/>
      <c r="O95" s="238"/>
      <c r="P95" s="238"/>
      <c r="Q95" s="238"/>
      <c r="R95" s="238"/>
      <c r="S95" s="238"/>
      <c r="T95" s="238"/>
      <c r="U95" s="238"/>
      <c r="V95" s="238"/>
    </row>
    <row r="96" spans="1:22" ht="16.5">
      <c r="A96" s="260"/>
      <c r="B96" s="238"/>
      <c r="C96" s="238"/>
      <c r="D96" s="238"/>
      <c r="E96" s="238"/>
      <c r="F96" s="238"/>
      <c r="G96" s="238"/>
      <c r="H96" s="238"/>
      <c r="I96" s="238"/>
      <c r="J96" s="238"/>
      <c r="K96" s="238"/>
      <c r="L96" s="238"/>
      <c r="M96" s="238"/>
      <c r="N96" s="238"/>
      <c r="O96" s="238"/>
      <c r="P96" s="238"/>
      <c r="Q96" s="238"/>
      <c r="R96" s="238"/>
      <c r="S96" s="238"/>
      <c r="T96" s="238"/>
      <c r="U96" s="238"/>
      <c r="V96" s="238"/>
    </row>
    <row r="97" spans="1:22" ht="16.5">
      <c r="A97" s="260"/>
      <c r="B97" s="238"/>
      <c r="C97" s="238"/>
      <c r="D97" s="238"/>
      <c r="E97" s="238"/>
      <c r="F97" s="238"/>
      <c r="G97" s="238"/>
      <c r="H97" s="238"/>
      <c r="I97" s="238"/>
      <c r="J97" s="238"/>
      <c r="K97" s="238"/>
      <c r="L97" s="238"/>
      <c r="M97" s="238"/>
      <c r="N97" s="238"/>
      <c r="O97" s="238"/>
      <c r="P97" s="238"/>
      <c r="Q97" s="238"/>
      <c r="R97" s="238"/>
      <c r="S97" s="238"/>
      <c r="T97" s="238"/>
      <c r="U97" s="238"/>
      <c r="V97" s="238"/>
    </row>
    <row r="98" spans="1:22" ht="16.5">
      <c r="A98" s="260"/>
      <c r="B98" s="238"/>
      <c r="C98" s="238"/>
      <c r="D98" s="238"/>
      <c r="E98" s="238"/>
      <c r="F98" s="238"/>
      <c r="G98" s="238"/>
      <c r="H98" s="238"/>
      <c r="I98" s="238"/>
      <c r="J98" s="238"/>
      <c r="K98" s="238"/>
      <c r="L98" s="238"/>
      <c r="M98" s="238"/>
      <c r="N98" s="238"/>
      <c r="O98" s="238"/>
      <c r="P98" s="238"/>
      <c r="Q98" s="238"/>
      <c r="R98" s="238"/>
      <c r="S98" s="238"/>
      <c r="T98" s="238"/>
      <c r="U98" s="238"/>
      <c r="V98" s="238"/>
    </row>
    <row r="99" spans="1:22" ht="16.5">
      <c r="A99" s="260"/>
      <c r="B99" s="238"/>
      <c r="C99" s="238"/>
      <c r="D99" s="238"/>
      <c r="E99" s="238"/>
      <c r="F99" s="238"/>
      <c r="G99" s="238"/>
      <c r="H99" s="238"/>
      <c r="I99" s="238"/>
      <c r="J99" s="238"/>
      <c r="K99" s="238"/>
      <c r="L99" s="238"/>
      <c r="M99" s="238"/>
      <c r="N99" s="238"/>
      <c r="O99" s="238"/>
      <c r="P99" s="238"/>
      <c r="Q99" s="238"/>
      <c r="R99" s="238"/>
      <c r="S99" s="238"/>
      <c r="T99" s="238"/>
      <c r="U99" s="238"/>
      <c r="V99" s="238"/>
    </row>
    <row r="100" spans="1:22" ht="16.5">
      <c r="A100" s="260"/>
      <c r="B100" s="238"/>
      <c r="C100" s="238"/>
      <c r="D100" s="238"/>
      <c r="E100" s="238"/>
      <c r="F100" s="238"/>
      <c r="G100" s="238"/>
      <c r="H100" s="238"/>
      <c r="I100" s="238"/>
      <c r="J100" s="238"/>
      <c r="K100" s="238"/>
      <c r="L100" s="238"/>
      <c r="M100" s="238"/>
      <c r="N100" s="238"/>
      <c r="O100" s="238"/>
      <c r="P100" s="238"/>
      <c r="Q100" s="238"/>
      <c r="R100" s="238"/>
      <c r="S100" s="238"/>
      <c r="T100" s="238"/>
      <c r="U100" s="238"/>
      <c r="V100" s="238"/>
    </row>
    <row r="101" spans="1:22" ht="16.5">
      <c r="A101" s="260"/>
      <c r="B101" s="238"/>
      <c r="C101" s="238"/>
      <c r="D101" s="238"/>
      <c r="E101" s="238"/>
      <c r="F101" s="238"/>
      <c r="G101" s="238"/>
      <c r="H101" s="238"/>
      <c r="I101" s="238"/>
      <c r="J101" s="238"/>
      <c r="K101" s="238"/>
      <c r="L101" s="238"/>
      <c r="M101" s="238"/>
      <c r="N101" s="238"/>
      <c r="O101" s="238"/>
      <c r="P101" s="238"/>
      <c r="Q101" s="238"/>
      <c r="R101" s="238"/>
      <c r="S101" s="238"/>
      <c r="T101" s="238"/>
      <c r="U101" s="238"/>
      <c r="V101" s="238"/>
    </row>
    <row r="102" spans="1:22" ht="16.5">
      <c r="A102" s="260"/>
      <c r="B102" s="238"/>
      <c r="C102" s="238"/>
      <c r="D102" s="238"/>
      <c r="E102" s="238"/>
      <c r="F102" s="238"/>
      <c r="G102" s="238"/>
      <c r="H102" s="238"/>
      <c r="I102" s="238"/>
      <c r="J102" s="238"/>
      <c r="K102" s="238"/>
      <c r="L102" s="238"/>
      <c r="M102" s="238"/>
      <c r="N102" s="238"/>
      <c r="O102" s="238"/>
      <c r="P102" s="238"/>
      <c r="Q102" s="238"/>
      <c r="R102" s="238"/>
      <c r="S102" s="238"/>
      <c r="T102" s="238"/>
      <c r="U102" s="238"/>
      <c r="V102" s="238"/>
    </row>
    <row r="103" spans="1:22" ht="16.5">
      <c r="A103" s="260"/>
      <c r="B103" s="238"/>
      <c r="C103" s="238"/>
      <c r="D103" s="238"/>
      <c r="E103" s="238"/>
      <c r="F103" s="238"/>
      <c r="G103" s="238"/>
      <c r="H103" s="238"/>
      <c r="I103" s="238"/>
      <c r="J103" s="238"/>
      <c r="K103" s="238"/>
      <c r="L103" s="238"/>
      <c r="M103" s="238"/>
      <c r="N103" s="238"/>
      <c r="O103" s="238"/>
      <c r="P103" s="238"/>
      <c r="Q103" s="238"/>
      <c r="R103" s="238"/>
      <c r="S103" s="238"/>
      <c r="T103" s="238"/>
      <c r="U103" s="238"/>
      <c r="V103" s="238"/>
    </row>
    <row r="104" spans="1:22" ht="16.5">
      <c r="A104" s="260"/>
      <c r="B104" s="238"/>
      <c r="C104" s="238"/>
      <c r="D104" s="238"/>
      <c r="E104" s="238"/>
      <c r="F104" s="238"/>
      <c r="G104" s="238"/>
      <c r="H104" s="238"/>
      <c r="I104" s="238"/>
      <c r="J104" s="238"/>
      <c r="K104" s="238"/>
      <c r="L104" s="238"/>
      <c r="M104" s="238"/>
      <c r="N104" s="238"/>
      <c r="O104" s="238"/>
      <c r="P104" s="238"/>
      <c r="Q104" s="238"/>
      <c r="R104" s="238"/>
      <c r="S104" s="238"/>
      <c r="T104" s="238"/>
      <c r="U104" s="238"/>
      <c r="V104" s="238"/>
    </row>
    <row r="105" spans="1:22" ht="16.5">
      <c r="A105" s="260"/>
      <c r="B105" s="238"/>
      <c r="C105" s="238"/>
      <c r="D105" s="238"/>
      <c r="E105" s="238"/>
      <c r="F105" s="238"/>
      <c r="G105" s="238"/>
      <c r="H105" s="238"/>
      <c r="I105" s="238"/>
      <c r="J105" s="238"/>
      <c r="K105" s="238"/>
      <c r="L105" s="238"/>
      <c r="M105" s="238"/>
      <c r="N105" s="238"/>
      <c r="O105" s="238"/>
      <c r="P105" s="238"/>
      <c r="Q105" s="238"/>
      <c r="R105" s="238"/>
      <c r="S105" s="238"/>
      <c r="T105" s="238"/>
      <c r="U105" s="238"/>
      <c r="V105" s="238"/>
    </row>
    <row r="106" spans="1:22" ht="16.5">
      <c r="A106" s="260"/>
      <c r="B106" s="238"/>
      <c r="C106" s="238"/>
      <c r="D106" s="238"/>
      <c r="E106" s="238"/>
      <c r="F106" s="238"/>
      <c r="G106" s="238"/>
      <c r="H106" s="238"/>
      <c r="I106" s="238"/>
      <c r="J106" s="238"/>
      <c r="K106" s="238"/>
      <c r="L106" s="238"/>
      <c r="M106" s="238"/>
      <c r="N106" s="238"/>
      <c r="O106" s="238"/>
      <c r="P106" s="238"/>
      <c r="Q106" s="238"/>
      <c r="R106" s="238"/>
      <c r="S106" s="238"/>
      <c r="T106" s="238"/>
      <c r="U106" s="238"/>
      <c r="V106" s="238"/>
    </row>
    <row r="107" spans="1:22" ht="16.5">
      <c r="A107" s="260"/>
      <c r="B107" s="238"/>
      <c r="C107" s="238"/>
      <c r="D107" s="238"/>
      <c r="E107" s="238"/>
      <c r="F107" s="238"/>
      <c r="G107" s="238"/>
      <c r="H107" s="238"/>
      <c r="I107" s="238"/>
      <c r="J107" s="238"/>
      <c r="K107" s="238"/>
      <c r="L107" s="238"/>
      <c r="M107" s="238"/>
      <c r="N107" s="238"/>
      <c r="O107" s="238"/>
      <c r="P107" s="238"/>
      <c r="Q107" s="238"/>
      <c r="R107" s="238"/>
      <c r="S107" s="238"/>
      <c r="T107" s="238"/>
      <c r="U107" s="238"/>
      <c r="V107" s="238"/>
    </row>
    <row r="108" spans="1:22" ht="16.5">
      <c r="A108" s="260"/>
      <c r="B108" s="238"/>
      <c r="C108" s="238"/>
      <c r="D108" s="238"/>
      <c r="E108" s="238"/>
      <c r="F108" s="238"/>
      <c r="G108" s="238"/>
      <c r="H108" s="238"/>
      <c r="I108" s="238"/>
      <c r="J108" s="238"/>
      <c r="K108" s="238"/>
      <c r="L108" s="238"/>
      <c r="M108" s="238"/>
      <c r="N108" s="238"/>
      <c r="O108" s="238"/>
      <c r="P108" s="238"/>
      <c r="Q108" s="238"/>
      <c r="R108" s="238"/>
      <c r="S108" s="238"/>
      <c r="T108" s="238"/>
      <c r="U108" s="238"/>
      <c r="V108" s="238"/>
    </row>
    <row r="109" spans="1:22" ht="16.5">
      <c r="A109" s="260"/>
      <c r="B109" s="238"/>
      <c r="C109" s="238"/>
      <c r="D109" s="238"/>
      <c r="E109" s="238"/>
      <c r="F109" s="238"/>
      <c r="G109" s="238"/>
      <c r="H109" s="238"/>
      <c r="I109" s="238"/>
      <c r="J109" s="238"/>
      <c r="K109" s="238"/>
      <c r="L109" s="238"/>
      <c r="M109" s="238"/>
      <c r="N109" s="238"/>
      <c r="O109" s="238"/>
      <c r="P109" s="238"/>
      <c r="Q109" s="238"/>
      <c r="R109" s="238"/>
      <c r="S109" s="238"/>
      <c r="T109" s="238"/>
      <c r="U109" s="238"/>
      <c r="V109" s="238"/>
    </row>
    <row r="110" spans="1:22" ht="16.5">
      <c r="A110" s="260"/>
      <c r="B110" s="238"/>
      <c r="C110" s="238"/>
      <c r="D110" s="238"/>
      <c r="E110" s="238"/>
      <c r="F110" s="238"/>
      <c r="G110" s="238"/>
      <c r="H110" s="238"/>
      <c r="I110" s="238"/>
      <c r="J110" s="238"/>
      <c r="K110" s="238"/>
      <c r="L110" s="238"/>
      <c r="M110" s="238"/>
      <c r="N110" s="238"/>
      <c r="O110" s="238"/>
      <c r="P110" s="238"/>
      <c r="Q110" s="238"/>
      <c r="R110" s="238"/>
      <c r="S110" s="238"/>
      <c r="T110" s="238"/>
      <c r="U110" s="238"/>
      <c r="V110" s="238"/>
    </row>
    <row r="111" spans="1:22" ht="16.5">
      <c r="A111" s="260"/>
      <c r="B111" s="238"/>
      <c r="C111" s="238"/>
      <c r="D111" s="238"/>
      <c r="E111" s="238"/>
      <c r="F111" s="238"/>
      <c r="G111" s="238"/>
      <c r="H111" s="238"/>
      <c r="I111" s="238"/>
      <c r="J111" s="238"/>
      <c r="K111" s="238"/>
      <c r="L111" s="238"/>
      <c r="M111" s="238"/>
      <c r="N111" s="238"/>
      <c r="O111" s="238"/>
      <c r="P111" s="238"/>
      <c r="Q111" s="238"/>
      <c r="R111" s="238"/>
      <c r="S111" s="238"/>
      <c r="T111" s="238"/>
      <c r="U111" s="238"/>
      <c r="V111" s="238"/>
    </row>
    <row r="112" spans="1:22" ht="16.5">
      <c r="A112" s="260"/>
      <c r="B112" s="238"/>
      <c r="C112" s="238"/>
      <c r="D112" s="238"/>
      <c r="E112" s="238"/>
      <c r="F112" s="238"/>
      <c r="G112" s="238"/>
      <c r="H112" s="238"/>
      <c r="I112" s="238"/>
      <c r="J112" s="238"/>
      <c r="K112" s="238"/>
      <c r="L112" s="238"/>
      <c r="M112" s="238"/>
      <c r="N112" s="238"/>
      <c r="O112" s="238"/>
      <c r="P112" s="238"/>
      <c r="Q112" s="238"/>
      <c r="R112" s="238"/>
      <c r="S112" s="238"/>
      <c r="T112" s="238"/>
      <c r="U112" s="238"/>
      <c r="V112" s="238"/>
    </row>
    <row r="113" spans="1:22" ht="16.5">
      <c r="A113" s="260"/>
      <c r="B113" s="238"/>
      <c r="C113" s="238"/>
      <c r="D113" s="238"/>
      <c r="E113" s="238"/>
      <c r="F113" s="238"/>
      <c r="G113" s="238"/>
      <c r="H113" s="238"/>
      <c r="I113" s="238"/>
      <c r="J113" s="238"/>
      <c r="K113" s="238"/>
      <c r="L113" s="238"/>
      <c r="M113" s="238"/>
      <c r="N113" s="238"/>
      <c r="O113" s="238"/>
      <c r="P113" s="238"/>
      <c r="Q113" s="238"/>
      <c r="R113" s="238"/>
      <c r="S113" s="238"/>
      <c r="T113" s="238"/>
      <c r="U113" s="238"/>
      <c r="V113" s="238"/>
    </row>
    <row r="114" spans="1:22" ht="16.5">
      <c r="A114" s="260"/>
      <c r="B114" s="238"/>
      <c r="C114" s="238"/>
      <c r="D114" s="238"/>
      <c r="E114" s="238"/>
      <c r="F114" s="238"/>
      <c r="G114" s="238"/>
      <c r="H114" s="238"/>
      <c r="I114" s="238"/>
      <c r="J114" s="238"/>
      <c r="K114" s="238"/>
      <c r="L114" s="238"/>
      <c r="M114" s="238"/>
      <c r="N114" s="238"/>
      <c r="O114" s="238"/>
      <c r="P114" s="238"/>
      <c r="Q114" s="238"/>
      <c r="R114" s="238"/>
      <c r="S114" s="238"/>
      <c r="T114" s="238"/>
      <c r="U114" s="238"/>
      <c r="V114" s="238"/>
    </row>
    <row r="115" spans="1:22" ht="16.5">
      <c r="A115" s="260"/>
      <c r="B115" s="238"/>
      <c r="C115" s="238"/>
      <c r="D115" s="238"/>
      <c r="E115" s="238"/>
      <c r="F115" s="238"/>
      <c r="G115" s="238"/>
      <c r="H115" s="238"/>
      <c r="I115" s="238"/>
      <c r="J115" s="238"/>
      <c r="K115" s="238"/>
      <c r="L115" s="238"/>
      <c r="M115" s="238"/>
      <c r="N115" s="238"/>
      <c r="O115" s="238"/>
      <c r="P115" s="238"/>
      <c r="Q115" s="238"/>
      <c r="R115" s="238"/>
      <c r="S115" s="238"/>
      <c r="T115" s="238"/>
      <c r="U115" s="238"/>
      <c r="V115" s="238"/>
    </row>
    <row r="116" spans="1:22" ht="16.5">
      <c r="A116" s="260"/>
      <c r="B116" s="238"/>
      <c r="C116" s="238"/>
      <c r="D116" s="238"/>
      <c r="E116" s="238"/>
      <c r="F116" s="238"/>
      <c r="G116" s="238"/>
      <c r="H116" s="238"/>
      <c r="I116" s="238"/>
      <c r="J116" s="238"/>
      <c r="K116" s="238"/>
      <c r="L116" s="238"/>
      <c r="M116" s="238"/>
      <c r="N116" s="238"/>
      <c r="O116" s="238"/>
      <c r="P116" s="238"/>
      <c r="Q116" s="238"/>
      <c r="R116" s="238"/>
      <c r="S116" s="238"/>
      <c r="T116" s="238"/>
      <c r="U116" s="238"/>
      <c r="V116" s="238"/>
    </row>
    <row r="117" spans="1:22" ht="16.5">
      <c r="A117" s="260"/>
      <c r="B117" s="238"/>
      <c r="C117" s="238"/>
      <c r="D117" s="238"/>
      <c r="E117" s="238"/>
      <c r="F117" s="238"/>
      <c r="G117" s="238"/>
      <c r="H117" s="238"/>
      <c r="I117" s="238"/>
      <c r="J117" s="238"/>
      <c r="K117" s="238"/>
      <c r="L117" s="238"/>
      <c r="M117" s="238"/>
      <c r="N117" s="238"/>
      <c r="O117" s="238"/>
      <c r="P117" s="238"/>
      <c r="Q117" s="238"/>
      <c r="R117" s="238"/>
      <c r="S117" s="238"/>
      <c r="T117" s="238"/>
      <c r="U117" s="238"/>
      <c r="V117" s="238"/>
    </row>
    <row r="118" spans="1:22" ht="16.5">
      <c r="A118" s="260"/>
      <c r="B118" s="238"/>
      <c r="C118" s="238"/>
      <c r="D118" s="238"/>
      <c r="E118" s="238"/>
      <c r="F118" s="238"/>
      <c r="G118" s="238"/>
      <c r="H118" s="238"/>
      <c r="I118" s="238"/>
      <c r="J118" s="238"/>
      <c r="K118" s="238"/>
      <c r="L118" s="238"/>
      <c r="M118" s="238"/>
      <c r="N118" s="238"/>
      <c r="O118" s="238"/>
      <c r="P118" s="238"/>
      <c r="Q118" s="238"/>
      <c r="R118" s="238"/>
      <c r="S118" s="238"/>
      <c r="T118" s="238"/>
      <c r="U118" s="238"/>
      <c r="V118" s="238"/>
    </row>
    <row r="119" spans="1:22" ht="16.5">
      <c r="A119" s="260"/>
      <c r="B119" s="238"/>
      <c r="C119" s="238"/>
      <c r="D119" s="238"/>
      <c r="E119" s="238"/>
      <c r="F119" s="238"/>
      <c r="G119" s="238"/>
      <c r="H119" s="238"/>
      <c r="I119" s="238"/>
      <c r="J119" s="238"/>
      <c r="K119" s="238"/>
      <c r="L119" s="238"/>
      <c r="M119" s="238"/>
      <c r="N119" s="238"/>
      <c r="O119" s="238"/>
      <c r="P119" s="238"/>
      <c r="Q119" s="238"/>
      <c r="R119" s="238"/>
      <c r="S119" s="238"/>
      <c r="T119" s="238"/>
      <c r="U119" s="238"/>
      <c r="V119" s="238"/>
    </row>
    <row r="120" spans="1:22" ht="16.5">
      <c r="A120" s="260"/>
      <c r="B120" s="238"/>
      <c r="C120" s="238"/>
      <c r="D120" s="238"/>
      <c r="E120" s="238"/>
      <c r="F120" s="238"/>
      <c r="G120" s="238"/>
      <c r="H120" s="238"/>
      <c r="I120" s="238"/>
      <c r="J120" s="238"/>
      <c r="K120" s="238"/>
      <c r="L120" s="238"/>
      <c r="M120" s="238"/>
      <c r="N120" s="238"/>
      <c r="O120" s="238"/>
      <c r="P120" s="238"/>
      <c r="Q120" s="238"/>
      <c r="R120" s="238"/>
      <c r="S120" s="238"/>
      <c r="T120" s="238"/>
      <c r="U120" s="238"/>
      <c r="V120" s="238"/>
    </row>
    <row r="121" spans="1:22" ht="16.5">
      <c r="A121" s="260"/>
      <c r="B121" s="238"/>
      <c r="C121" s="238"/>
      <c r="D121" s="238"/>
      <c r="E121" s="238"/>
      <c r="F121" s="238"/>
      <c r="G121" s="238"/>
      <c r="H121" s="238"/>
      <c r="I121" s="238"/>
      <c r="J121" s="238"/>
      <c r="K121" s="238"/>
      <c r="L121" s="238"/>
      <c r="M121" s="238"/>
      <c r="N121" s="238"/>
      <c r="O121" s="238"/>
      <c r="P121" s="238"/>
      <c r="Q121" s="238"/>
      <c r="R121" s="238"/>
      <c r="S121" s="238"/>
      <c r="T121" s="238"/>
      <c r="U121" s="238"/>
      <c r="V121" s="238"/>
    </row>
    <row r="122" spans="1:22" ht="16.5">
      <c r="A122" s="260"/>
      <c r="B122" s="238"/>
      <c r="C122" s="238"/>
      <c r="D122" s="238"/>
      <c r="E122" s="238"/>
      <c r="F122" s="238"/>
      <c r="G122" s="238"/>
      <c r="H122" s="238"/>
      <c r="I122" s="238"/>
      <c r="J122" s="238"/>
      <c r="K122" s="238"/>
      <c r="L122" s="238"/>
      <c r="M122" s="238"/>
      <c r="N122" s="238"/>
      <c r="O122" s="238"/>
      <c r="P122" s="238"/>
      <c r="Q122" s="238"/>
      <c r="R122" s="238"/>
      <c r="S122" s="238"/>
      <c r="T122" s="238"/>
      <c r="U122" s="238"/>
      <c r="V122" s="238"/>
    </row>
    <row r="123" spans="1:22" ht="16.5">
      <c r="A123" s="260"/>
      <c r="B123" s="238"/>
      <c r="C123" s="238"/>
      <c r="D123" s="238"/>
      <c r="E123" s="238"/>
      <c r="F123" s="238"/>
      <c r="G123" s="238"/>
      <c r="H123" s="238"/>
      <c r="I123" s="238"/>
      <c r="J123" s="238"/>
      <c r="K123" s="238"/>
      <c r="L123" s="238"/>
      <c r="M123" s="238"/>
      <c r="N123" s="238"/>
      <c r="O123" s="238"/>
      <c r="P123" s="238"/>
      <c r="Q123" s="238"/>
      <c r="R123" s="238"/>
      <c r="S123" s="238"/>
      <c r="T123" s="238"/>
      <c r="U123" s="238"/>
      <c r="V123" s="238"/>
    </row>
    <row r="124" spans="1:22" ht="16.5">
      <c r="A124" s="260"/>
      <c r="B124" s="238"/>
      <c r="C124" s="238"/>
      <c r="D124" s="238"/>
      <c r="E124" s="238"/>
      <c r="F124" s="238"/>
      <c r="G124" s="238"/>
      <c r="H124" s="238"/>
      <c r="I124" s="238"/>
      <c r="J124" s="238"/>
      <c r="K124" s="238"/>
      <c r="L124" s="238"/>
      <c r="M124" s="238"/>
      <c r="N124" s="238"/>
      <c r="O124" s="238"/>
      <c r="P124" s="238"/>
      <c r="Q124" s="238"/>
      <c r="R124" s="238"/>
      <c r="S124" s="238"/>
      <c r="T124" s="238"/>
      <c r="U124" s="238"/>
      <c r="V124" s="238"/>
    </row>
    <row r="125" spans="1:22" ht="16.5">
      <c r="A125" s="260"/>
      <c r="B125" s="238"/>
      <c r="C125" s="238"/>
      <c r="D125" s="238"/>
      <c r="E125" s="238"/>
      <c r="F125" s="238"/>
      <c r="G125" s="238"/>
      <c r="H125" s="238"/>
      <c r="I125" s="238"/>
      <c r="J125" s="238"/>
      <c r="K125" s="238"/>
      <c r="L125" s="238"/>
      <c r="M125" s="238"/>
      <c r="N125" s="238"/>
      <c r="O125" s="238"/>
      <c r="P125" s="238"/>
      <c r="Q125" s="238"/>
      <c r="R125" s="238"/>
      <c r="S125" s="238"/>
      <c r="T125" s="238"/>
      <c r="U125" s="238"/>
      <c r="V125" s="238"/>
    </row>
    <row r="126" spans="1:22" ht="16.5">
      <c r="A126" s="260"/>
      <c r="B126" s="238"/>
      <c r="C126" s="238"/>
      <c r="D126" s="238"/>
      <c r="E126" s="238"/>
      <c r="F126" s="238"/>
      <c r="G126" s="238"/>
      <c r="H126" s="238"/>
      <c r="I126" s="238"/>
      <c r="J126" s="238"/>
      <c r="K126" s="238"/>
      <c r="L126" s="238"/>
      <c r="M126" s="238"/>
      <c r="N126" s="238"/>
      <c r="O126" s="238"/>
      <c r="P126" s="238"/>
      <c r="Q126" s="238"/>
      <c r="R126" s="238"/>
      <c r="S126" s="238"/>
      <c r="T126" s="238"/>
      <c r="U126" s="238"/>
      <c r="V126" s="238"/>
    </row>
    <row r="127" spans="1:22" ht="16.5">
      <c r="A127" s="260"/>
      <c r="B127" s="238"/>
      <c r="C127" s="238"/>
      <c r="D127" s="238"/>
      <c r="E127" s="238"/>
      <c r="F127" s="238"/>
      <c r="G127" s="238"/>
      <c r="H127" s="238"/>
      <c r="I127" s="238"/>
      <c r="J127" s="238"/>
      <c r="K127" s="238"/>
      <c r="L127" s="238"/>
      <c r="M127" s="238"/>
      <c r="N127" s="238"/>
      <c r="O127" s="238"/>
      <c r="P127" s="238"/>
      <c r="Q127" s="238"/>
      <c r="R127" s="238"/>
      <c r="S127" s="238"/>
      <c r="T127" s="238"/>
      <c r="U127" s="238"/>
      <c r="V127" s="238"/>
    </row>
    <row r="128" spans="1:22" ht="16.5">
      <c r="A128" s="260"/>
      <c r="B128" s="238"/>
      <c r="C128" s="238"/>
      <c r="D128" s="238"/>
      <c r="E128" s="238"/>
      <c r="F128" s="238"/>
      <c r="G128" s="238"/>
      <c r="H128" s="238"/>
      <c r="I128" s="238"/>
      <c r="J128" s="238"/>
      <c r="K128" s="238"/>
      <c r="L128" s="238"/>
      <c r="M128" s="238"/>
      <c r="N128" s="238"/>
      <c r="O128" s="238"/>
      <c r="P128" s="238"/>
      <c r="Q128" s="238"/>
      <c r="R128" s="238"/>
      <c r="S128" s="238"/>
      <c r="T128" s="238"/>
      <c r="U128" s="238"/>
      <c r="V128" s="238"/>
    </row>
    <row r="129" spans="1:22" ht="16.5">
      <c r="A129" s="260"/>
      <c r="B129" s="238"/>
      <c r="C129" s="238"/>
      <c r="D129" s="238"/>
      <c r="E129" s="238"/>
      <c r="F129" s="238"/>
      <c r="G129" s="238"/>
      <c r="H129" s="238"/>
      <c r="I129" s="238"/>
      <c r="J129" s="238"/>
      <c r="K129" s="238"/>
      <c r="L129" s="238"/>
      <c r="M129" s="238"/>
      <c r="N129" s="238"/>
      <c r="O129" s="238"/>
      <c r="P129" s="238"/>
      <c r="Q129" s="238"/>
      <c r="R129" s="238"/>
      <c r="S129" s="238"/>
      <c r="T129" s="238"/>
      <c r="U129" s="238"/>
      <c r="V129" s="238"/>
    </row>
    <row r="130" spans="1:22" ht="16.5">
      <c r="A130" s="260"/>
      <c r="B130" s="238"/>
      <c r="C130" s="238"/>
      <c r="D130" s="238"/>
      <c r="E130" s="238"/>
      <c r="F130" s="238"/>
      <c r="G130" s="238"/>
      <c r="H130" s="238"/>
      <c r="I130" s="238"/>
      <c r="J130" s="238"/>
      <c r="K130" s="238"/>
      <c r="L130" s="238"/>
      <c r="M130" s="238"/>
      <c r="N130" s="238"/>
      <c r="O130" s="238"/>
      <c r="P130" s="238"/>
      <c r="Q130" s="238"/>
      <c r="R130" s="238"/>
      <c r="S130" s="238"/>
      <c r="T130" s="238"/>
      <c r="U130" s="238"/>
      <c r="V130" s="238"/>
    </row>
    <row r="131" spans="1:22" ht="16.5">
      <c r="A131" s="260"/>
      <c r="B131" s="238"/>
      <c r="C131" s="238"/>
      <c r="D131" s="238"/>
      <c r="E131" s="238"/>
      <c r="F131" s="238"/>
      <c r="G131" s="238"/>
      <c r="H131" s="238"/>
      <c r="I131" s="238"/>
      <c r="J131" s="238"/>
      <c r="K131" s="238"/>
      <c r="L131" s="238"/>
      <c r="M131" s="238"/>
      <c r="N131" s="238"/>
      <c r="O131" s="238"/>
      <c r="P131" s="238"/>
      <c r="Q131" s="238"/>
      <c r="R131" s="238"/>
      <c r="S131" s="238"/>
      <c r="T131" s="238"/>
      <c r="U131" s="238"/>
      <c r="V131" s="238"/>
    </row>
    <row r="132" spans="1:22" ht="16.5">
      <c r="A132" s="260"/>
      <c r="B132" s="238"/>
      <c r="C132" s="238"/>
      <c r="D132" s="238"/>
      <c r="E132" s="238"/>
      <c r="F132" s="238"/>
      <c r="G132" s="238"/>
      <c r="H132" s="238"/>
      <c r="I132" s="238"/>
      <c r="J132" s="238"/>
      <c r="K132" s="238"/>
      <c r="L132" s="238"/>
      <c r="M132" s="238"/>
      <c r="N132" s="238"/>
      <c r="O132" s="238"/>
      <c r="P132" s="238"/>
      <c r="Q132" s="238"/>
      <c r="R132" s="238"/>
      <c r="S132" s="238"/>
      <c r="T132" s="238"/>
      <c r="U132" s="238"/>
      <c r="V132" s="238"/>
    </row>
    <row r="133" spans="1:22" ht="16.5">
      <c r="A133" s="260"/>
      <c r="B133" s="238"/>
      <c r="C133" s="238"/>
      <c r="D133" s="238"/>
      <c r="E133" s="238"/>
      <c r="F133" s="238"/>
      <c r="G133" s="238"/>
      <c r="H133" s="238"/>
      <c r="I133" s="238"/>
      <c r="J133" s="238"/>
      <c r="K133" s="238"/>
      <c r="L133" s="238"/>
      <c r="M133" s="238"/>
      <c r="N133" s="238"/>
      <c r="O133" s="238"/>
      <c r="P133" s="238"/>
      <c r="Q133" s="238"/>
      <c r="R133" s="238"/>
      <c r="S133" s="238"/>
      <c r="T133" s="238"/>
      <c r="U133" s="238"/>
      <c r="V133" s="238"/>
    </row>
    <row r="134" spans="1:22" ht="16.5">
      <c r="A134" s="260"/>
      <c r="B134" s="238"/>
      <c r="C134" s="238"/>
      <c r="D134" s="238"/>
      <c r="E134" s="238"/>
      <c r="F134" s="238"/>
      <c r="G134" s="238"/>
      <c r="H134" s="238"/>
      <c r="I134" s="238"/>
      <c r="J134" s="238"/>
      <c r="K134" s="238"/>
      <c r="L134" s="238"/>
      <c r="M134" s="238"/>
      <c r="N134" s="238"/>
      <c r="O134" s="238"/>
      <c r="P134" s="238"/>
      <c r="Q134" s="238"/>
      <c r="R134" s="238"/>
      <c r="S134" s="238"/>
      <c r="T134" s="238"/>
      <c r="U134" s="238"/>
      <c r="V134" s="238"/>
    </row>
    <row r="135" spans="1:22" ht="16.5">
      <c r="A135" s="260"/>
      <c r="B135" s="238"/>
      <c r="C135" s="238"/>
      <c r="D135" s="238"/>
      <c r="E135" s="238"/>
      <c r="F135" s="238"/>
      <c r="G135" s="238"/>
      <c r="H135" s="238"/>
      <c r="I135" s="238"/>
      <c r="J135" s="238"/>
      <c r="K135" s="238"/>
      <c r="L135" s="238"/>
      <c r="M135" s="238"/>
      <c r="N135" s="238"/>
      <c r="O135" s="238"/>
      <c r="P135" s="238"/>
      <c r="Q135" s="238"/>
      <c r="R135" s="238"/>
      <c r="S135" s="238"/>
      <c r="T135" s="238"/>
      <c r="U135" s="238"/>
      <c r="V135" s="238"/>
    </row>
    <row r="136" spans="1:22" ht="16.5">
      <c r="A136" s="260"/>
      <c r="B136" s="238"/>
      <c r="C136" s="238"/>
      <c r="D136" s="238"/>
      <c r="E136" s="238"/>
      <c r="F136" s="238"/>
      <c r="G136" s="238"/>
      <c r="H136" s="238"/>
      <c r="I136" s="238"/>
      <c r="J136" s="238"/>
      <c r="K136" s="238"/>
      <c r="L136" s="238"/>
      <c r="M136" s="238"/>
      <c r="N136" s="238"/>
      <c r="O136" s="238"/>
      <c r="P136" s="238"/>
      <c r="Q136" s="238"/>
      <c r="R136" s="238"/>
      <c r="S136" s="238"/>
      <c r="T136" s="238"/>
      <c r="U136" s="238"/>
      <c r="V136" s="238"/>
    </row>
    <row r="137" spans="1:22" ht="16.5">
      <c r="A137" s="260"/>
      <c r="B137" s="238"/>
      <c r="C137" s="238"/>
      <c r="D137" s="238"/>
      <c r="E137" s="238"/>
      <c r="F137" s="238"/>
      <c r="G137" s="238"/>
      <c r="H137" s="238"/>
      <c r="I137" s="238"/>
      <c r="J137" s="238"/>
      <c r="K137" s="238"/>
      <c r="L137" s="238"/>
      <c r="M137" s="238"/>
      <c r="N137" s="238"/>
      <c r="O137" s="238"/>
      <c r="P137" s="238"/>
      <c r="Q137" s="238"/>
      <c r="R137" s="238"/>
      <c r="S137" s="238"/>
      <c r="T137" s="238"/>
      <c r="U137" s="238"/>
      <c r="V137" s="238"/>
    </row>
    <row r="138" spans="1:22" ht="16.5">
      <c r="A138" s="260"/>
      <c r="B138" s="238"/>
      <c r="C138" s="238"/>
      <c r="D138" s="238"/>
      <c r="E138" s="238"/>
      <c r="F138" s="238"/>
      <c r="G138" s="238"/>
      <c r="H138" s="238"/>
      <c r="I138" s="238"/>
      <c r="J138" s="238"/>
      <c r="K138" s="238"/>
      <c r="L138" s="238"/>
      <c r="M138" s="238"/>
      <c r="N138" s="238"/>
      <c r="O138" s="238"/>
      <c r="P138" s="238"/>
      <c r="Q138" s="238"/>
      <c r="R138" s="238"/>
      <c r="S138" s="238"/>
      <c r="T138" s="238"/>
      <c r="U138" s="238"/>
      <c r="V138" s="238"/>
    </row>
    <row r="139" spans="1:22" ht="16.5">
      <c r="A139" s="260"/>
      <c r="B139" s="238"/>
      <c r="C139" s="238"/>
      <c r="D139" s="238"/>
      <c r="E139" s="238"/>
      <c r="F139" s="238"/>
      <c r="G139" s="238"/>
      <c r="H139" s="238"/>
      <c r="I139" s="238"/>
      <c r="J139" s="238"/>
      <c r="K139" s="238"/>
      <c r="L139" s="238"/>
      <c r="M139" s="238"/>
      <c r="N139" s="238"/>
      <c r="O139" s="238"/>
      <c r="P139" s="238"/>
      <c r="Q139" s="238"/>
      <c r="R139" s="238"/>
      <c r="S139" s="238"/>
      <c r="T139" s="238"/>
      <c r="U139" s="238"/>
      <c r="V139" s="238"/>
    </row>
    <row r="140" spans="1:22" ht="16.5">
      <c r="A140" s="260"/>
      <c r="B140" s="238"/>
      <c r="C140" s="238"/>
      <c r="D140" s="238"/>
      <c r="E140" s="238"/>
      <c r="F140" s="238"/>
      <c r="G140" s="238"/>
      <c r="H140" s="238"/>
      <c r="I140" s="238"/>
      <c r="J140" s="238"/>
      <c r="K140" s="238"/>
      <c r="L140" s="238"/>
      <c r="M140" s="238"/>
      <c r="N140" s="238"/>
      <c r="O140" s="238"/>
      <c r="P140" s="238"/>
      <c r="Q140" s="238"/>
      <c r="R140" s="238"/>
      <c r="S140" s="238"/>
      <c r="T140" s="238"/>
      <c r="U140" s="238"/>
      <c r="V140" s="238"/>
    </row>
    <row r="141" spans="1:22" ht="16.5">
      <c r="A141" s="260"/>
      <c r="B141" s="238"/>
      <c r="C141" s="238"/>
      <c r="D141" s="238"/>
      <c r="E141" s="238"/>
      <c r="F141" s="238"/>
      <c r="G141" s="238"/>
      <c r="H141" s="238"/>
      <c r="I141" s="238"/>
      <c r="J141" s="238"/>
      <c r="K141" s="238"/>
      <c r="L141" s="238"/>
      <c r="M141" s="238"/>
      <c r="N141" s="238"/>
      <c r="O141" s="238"/>
      <c r="P141" s="238"/>
      <c r="Q141" s="238"/>
      <c r="R141" s="238"/>
      <c r="S141" s="238"/>
      <c r="T141" s="238"/>
      <c r="U141" s="238"/>
      <c r="V141" s="238"/>
    </row>
    <row r="142" spans="1:22" ht="16.5">
      <c r="A142" s="260"/>
      <c r="B142" s="238"/>
      <c r="C142" s="238"/>
      <c r="D142" s="238"/>
      <c r="E142" s="238"/>
      <c r="F142" s="238"/>
      <c r="G142" s="238"/>
      <c r="H142" s="238"/>
      <c r="I142" s="238"/>
      <c r="J142" s="238"/>
      <c r="K142" s="238"/>
      <c r="L142" s="238"/>
      <c r="M142" s="238"/>
      <c r="N142" s="238"/>
      <c r="O142" s="238"/>
      <c r="P142" s="238"/>
      <c r="Q142" s="238"/>
      <c r="R142" s="238"/>
      <c r="S142" s="238"/>
      <c r="T142" s="238"/>
      <c r="U142" s="238"/>
      <c r="V142" s="238"/>
    </row>
    <row r="143" spans="1:22" ht="16.5">
      <c r="A143" s="260"/>
      <c r="B143" s="238"/>
      <c r="C143" s="238"/>
      <c r="D143" s="238"/>
      <c r="E143" s="238"/>
      <c r="F143" s="238"/>
      <c r="G143" s="238"/>
      <c r="H143" s="238"/>
      <c r="I143" s="238"/>
      <c r="J143" s="238"/>
      <c r="K143" s="238"/>
      <c r="L143" s="238"/>
      <c r="M143" s="238"/>
      <c r="N143" s="238"/>
      <c r="O143" s="238"/>
      <c r="P143" s="238"/>
      <c r="Q143" s="238"/>
      <c r="R143" s="238"/>
      <c r="S143" s="238"/>
      <c r="T143" s="238"/>
      <c r="U143" s="238"/>
      <c r="V143" s="238"/>
    </row>
    <row r="144" spans="1:22" ht="16.5">
      <c r="A144" s="260"/>
      <c r="B144" s="238"/>
      <c r="C144" s="238"/>
      <c r="D144" s="238"/>
      <c r="E144" s="238"/>
      <c r="F144" s="238"/>
      <c r="G144" s="238"/>
      <c r="H144" s="238"/>
      <c r="I144" s="238"/>
      <c r="J144" s="238"/>
      <c r="K144" s="238"/>
      <c r="L144" s="238"/>
      <c r="M144" s="238"/>
      <c r="N144" s="238"/>
      <c r="O144" s="238"/>
      <c r="P144" s="238"/>
      <c r="Q144" s="238"/>
      <c r="R144" s="238"/>
      <c r="S144" s="238"/>
      <c r="T144" s="238"/>
      <c r="U144" s="238"/>
      <c r="V144" s="238"/>
    </row>
    <row r="145" spans="1:22" ht="16.5">
      <c r="A145" s="260"/>
      <c r="B145" s="238"/>
      <c r="C145" s="238"/>
      <c r="D145" s="238"/>
      <c r="E145" s="238"/>
      <c r="F145" s="238"/>
      <c r="G145" s="238"/>
      <c r="H145" s="238"/>
      <c r="I145" s="238"/>
      <c r="J145" s="238"/>
      <c r="K145" s="238"/>
      <c r="L145" s="238"/>
      <c r="M145" s="238"/>
      <c r="N145" s="238"/>
      <c r="O145" s="238"/>
      <c r="P145" s="238"/>
      <c r="Q145" s="238"/>
      <c r="R145" s="238"/>
      <c r="S145" s="238"/>
      <c r="T145" s="238"/>
      <c r="U145" s="238"/>
      <c r="V145" s="238"/>
    </row>
    <row r="146" spans="1:22" ht="16.5">
      <c r="A146" s="260"/>
      <c r="B146" s="238"/>
      <c r="C146" s="238"/>
      <c r="D146" s="238"/>
      <c r="E146" s="238"/>
      <c r="F146" s="238"/>
      <c r="G146" s="238"/>
      <c r="H146" s="238"/>
      <c r="I146" s="238"/>
      <c r="J146" s="238"/>
      <c r="K146" s="238"/>
      <c r="L146" s="238"/>
      <c r="M146" s="238"/>
      <c r="N146" s="238"/>
      <c r="O146" s="238"/>
      <c r="P146" s="238"/>
      <c r="Q146" s="238"/>
      <c r="R146" s="238"/>
      <c r="S146" s="238"/>
      <c r="T146" s="238"/>
      <c r="U146" s="238"/>
      <c r="V146" s="238"/>
    </row>
    <row r="147" spans="1:22" ht="16.5">
      <c r="A147" s="260"/>
      <c r="B147" s="238"/>
      <c r="C147" s="238"/>
      <c r="D147" s="238"/>
      <c r="E147" s="238"/>
      <c r="F147" s="238"/>
      <c r="G147" s="238"/>
      <c r="H147" s="238"/>
      <c r="I147" s="238"/>
      <c r="J147" s="238"/>
      <c r="K147" s="238"/>
      <c r="L147" s="238"/>
      <c r="M147" s="238"/>
      <c r="N147" s="238"/>
      <c r="O147" s="238"/>
      <c r="P147" s="238"/>
      <c r="Q147" s="238"/>
      <c r="R147" s="238"/>
      <c r="S147" s="238"/>
      <c r="T147" s="238"/>
      <c r="U147" s="238"/>
      <c r="V147" s="238"/>
    </row>
    <row r="148" spans="1:22" ht="16.5">
      <c r="A148" s="260"/>
      <c r="B148" s="238"/>
      <c r="C148" s="238"/>
      <c r="D148" s="238"/>
      <c r="E148" s="238"/>
      <c r="F148" s="238"/>
      <c r="G148" s="238"/>
      <c r="H148" s="238"/>
      <c r="I148" s="238"/>
      <c r="J148" s="238"/>
      <c r="K148" s="238"/>
      <c r="L148" s="238"/>
      <c r="M148" s="238"/>
      <c r="N148" s="238"/>
      <c r="O148" s="238"/>
      <c r="P148" s="238"/>
      <c r="Q148" s="238"/>
      <c r="R148" s="238"/>
      <c r="S148" s="238"/>
      <c r="T148" s="238"/>
      <c r="U148" s="238"/>
      <c r="V148" s="238"/>
    </row>
    <row r="149" spans="1:22" ht="16.5">
      <c r="A149" s="260"/>
      <c r="B149" s="238"/>
      <c r="C149" s="238"/>
      <c r="D149" s="238"/>
      <c r="E149" s="238"/>
      <c r="F149" s="238"/>
      <c r="G149" s="238"/>
      <c r="H149" s="238"/>
      <c r="I149" s="238"/>
      <c r="J149" s="238"/>
      <c r="K149" s="238"/>
      <c r="L149" s="238"/>
      <c r="M149" s="238"/>
      <c r="N149" s="238"/>
      <c r="O149" s="238"/>
      <c r="P149" s="238"/>
      <c r="Q149" s="238"/>
      <c r="R149" s="238"/>
      <c r="S149" s="238"/>
      <c r="T149" s="238"/>
      <c r="U149" s="238"/>
      <c r="V149" s="238"/>
    </row>
    <row r="150" spans="1:22" ht="16.5">
      <c r="A150" s="260"/>
      <c r="B150" s="238"/>
      <c r="C150" s="238"/>
      <c r="D150" s="238"/>
      <c r="E150" s="238"/>
      <c r="F150" s="238"/>
      <c r="G150" s="238"/>
      <c r="H150" s="238"/>
      <c r="I150" s="238"/>
      <c r="J150" s="238"/>
      <c r="K150" s="238"/>
      <c r="L150" s="238"/>
      <c r="M150" s="238"/>
      <c r="N150" s="238"/>
      <c r="O150" s="238"/>
      <c r="P150" s="238"/>
      <c r="Q150" s="238"/>
      <c r="R150" s="238"/>
      <c r="S150" s="238"/>
      <c r="T150" s="238"/>
      <c r="U150" s="238"/>
      <c r="V150" s="238"/>
    </row>
    <row r="151" spans="1:22" ht="16.5">
      <c r="A151" s="260"/>
      <c r="B151" s="238"/>
      <c r="C151" s="238"/>
      <c r="D151" s="238"/>
      <c r="E151" s="238"/>
      <c r="F151" s="238"/>
      <c r="G151" s="238"/>
      <c r="H151" s="238"/>
      <c r="I151" s="238"/>
      <c r="J151" s="238"/>
      <c r="K151" s="238"/>
      <c r="L151" s="238"/>
      <c r="M151" s="238"/>
      <c r="N151" s="238"/>
      <c r="O151" s="238"/>
      <c r="P151" s="238"/>
      <c r="Q151" s="238"/>
      <c r="R151" s="238"/>
      <c r="S151" s="238"/>
      <c r="T151" s="238"/>
      <c r="U151" s="238"/>
      <c r="V151" s="238"/>
    </row>
    <row r="152" spans="1:22" ht="16.5">
      <c r="A152" s="260"/>
      <c r="B152" s="238"/>
      <c r="C152" s="238"/>
      <c r="D152" s="238"/>
      <c r="E152" s="238"/>
      <c r="F152" s="238"/>
      <c r="G152" s="238"/>
      <c r="H152" s="238"/>
      <c r="I152" s="238"/>
      <c r="J152" s="238"/>
      <c r="K152" s="238"/>
      <c r="L152" s="238"/>
      <c r="M152" s="238"/>
      <c r="N152" s="238"/>
      <c r="O152" s="238"/>
      <c r="P152" s="238"/>
      <c r="Q152" s="238"/>
      <c r="R152" s="238"/>
      <c r="S152" s="238"/>
      <c r="T152" s="238"/>
      <c r="U152" s="238"/>
      <c r="V152" s="238"/>
    </row>
    <row r="153" spans="1:22" ht="16.5">
      <c r="A153" s="260"/>
      <c r="B153" s="238"/>
      <c r="C153" s="238"/>
      <c r="D153" s="238"/>
      <c r="E153" s="238"/>
      <c r="F153" s="238"/>
      <c r="G153" s="238"/>
      <c r="H153" s="238"/>
      <c r="I153" s="238"/>
      <c r="J153" s="238"/>
      <c r="K153" s="238"/>
      <c r="L153" s="238"/>
      <c r="M153" s="238"/>
      <c r="N153" s="238"/>
      <c r="O153" s="238"/>
      <c r="P153" s="238"/>
      <c r="Q153" s="238"/>
      <c r="R153" s="238"/>
      <c r="S153" s="238"/>
      <c r="T153" s="238"/>
      <c r="U153" s="238"/>
      <c r="V153" s="238"/>
    </row>
    <row r="154" spans="1:22" ht="16.5">
      <c r="A154" s="260"/>
      <c r="B154" s="238"/>
      <c r="C154" s="238"/>
      <c r="D154" s="238"/>
      <c r="E154" s="238"/>
      <c r="F154" s="238"/>
      <c r="G154" s="238"/>
      <c r="H154" s="238"/>
      <c r="I154" s="238"/>
      <c r="J154" s="238"/>
      <c r="K154" s="238"/>
      <c r="L154" s="238"/>
      <c r="M154" s="238"/>
      <c r="N154" s="238"/>
      <c r="O154" s="238"/>
      <c r="P154" s="238"/>
      <c r="Q154" s="238"/>
      <c r="R154" s="238"/>
      <c r="S154" s="238"/>
      <c r="T154" s="238"/>
      <c r="U154" s="238"/>
      <c r="V154" s="238"/>
    </row>
    <row r="155" spans="1:22" ht="16.5">
      <c r="A155" s="260"/>
      <c r="B155" s="238"/>
      <c r="C155" s="238"/>
      <c r="D155" s="238"/>
      <c r="E155" s="238"/>
      <c r="F155" s="238"/>
      <c r="G155" s="238"/>
      <c r="H155" s="238"/>
      <c r="I155" s="238"/>
      <c r="J155" s="238"/>
      <c r="K155" s="238"/>
      <c r="L155" s="238"/>
      <c r="M155" s="238"/>
      <c r="N155" s="238"/>
      <c r="O155" s="238"/>
      <c r="P155" s="238"/>
      <c r="Q155" s="238"/>
      <c r="R155" s="238"/>
      <c r="S155" s="238"/>
      <c r="T155" s="238"/>
      <c r="U155" s="238"/>
      <c r="V155" s="238"/>
    </row>
    <row r="156" spans="1:22" ht="16.5">
      <c r="A156" s="260"/>
      <c r="B156" s="238"/>
      <c r="C156" s="238"/>
      <c r="D156" s="238"/>
      <c r="E156" s="238"/>
      <c r="F156" s="238"/>
      <c r="G156" s="238"/>
      <c r="H156" s="238"/>
      <c r="I156" s="238"/>
      <c r="J156" s="238"/>
      <c r="K156" s="238"/>
      <c r="L156" s="238"/>
      <c r="M156" s="238"/>
      <c r="N156" s="238"/>
      <c r="O156" s="238"/>
      <c r="P156" s="238"/>
      <c r="Q156" s="238"/>
      <c r="R156" s="238"/>
      <c r="S156" s="238"/>
      <c r="T156" s="238"/>
      <c r="U156" s="238"/>
      <c r="V156" s="238"/>
    </row>
    <row r="157" spans="1:22" ht="16.5">
      <c r="A157" s="260"/>
      <c r="B157" s="238"/>
      <c r="C157" s="238"/>
      <c r="D157" s="238"/>
      <c r="E157" s="238"/>
      <c r="F157" s="238"/>
      <c r="G157" s="238"/>
      <c r="H157" s="238"/>
      <c r="I157" s="238"/>
      <c r="J157" s="238"/>
      <c r="K157" s="238"/>
      <c r="L157" s="238"/>
      <c r="M157" s="238"/>
      <c r="N157" s="238"/>
      <c r="O157" s="238"/>
      <c r="P157" s="238"/>
      <c r="Q157" s="238"/>
      <c r="R157" s="238"/>
      <c r="S157" s="238"/>
      <c r="T157" s="238"/>
      <c r="U157" s="238"/>
      <c r="V157" s="238"/>
    </row>
    <row r="158" spans="1:22" ht="16.5">
      <c r="A158" s="260"/>
      <c r="B158" s="238"/>
      <c r="C158" s="238"/>
      <c r="D158" s="238"/>
      <c r="E158" s="238"/>
      <c r="F158" s="238"/>
      <c r="G158" s="238"/>
      <c r="H158" s="238"/>
      <c r="I158" s="238"/>
      <c r="J158" s="238"/>
      <c r="K158" s="238"/>
      <c r="L158" s="238"/>
      <c r="M158" s="238"/>
      <c r="N158" s="238"/>
      <c r="O158" s="238"/>
      <c r="P158" s="238"/>
      <c r="Q158" s="238"/>
      <c r="R158" s="238"/>
      <c r="S158" s="238"/>
      <c r="T158" s="238"/>
      <c r="U158" s="238"/>
      <c r="V158" s="238"/>
    </row>
    <row r="159" spans="1:22" ht="16.5">
      <c r="A159" s="260"/>
      <c r="B159" s="238"/>
      <c r="C159" s="238"/>
      <c r="D159" s="238"/>
      <c r="E159" s="238"/>
      <c r="F159" s="238"/>
      <c r="G159" s="238"/>
      <c r="H159" s="238"/>
      <c r="I159" s="238"/>
      <c r="J159" s="238"/>
      <c r="K159" s="238"/>
      <c r="L159" s="238"/>
      <c r="M159" s="238"/>
      <c r="N159" s="238"/>
      <c r="O159" s="238"/>
      <c r="P159" s="238"/>
      <c r="Q159" s="238"/>
      <c r="R159" s="238"/>
      <c r="S159" s="238"/>
      <c r="T159" s="238"/>
      <c r="U159" s="238"/>
      <c r="V159" s="238"/>
    </row>
    <row r="160" spans="1:22" ht="16.5">
      <c r="A160" s="260"/>
      <c r="B160" s="238"/>
      <c r="C160" s="238"/>
      <c r="D160" s="238"/>
      <c r="E160" s="238"/>
      <c r="F160" s="238"/>
      <c r="G160" s="238"/>
      <c r="H160" s="238"/>
      <c r="I160" s="238"/>
      <c r="J160" s="238"/>
      <c r="K160" s="238"/>
      <c r="L160" s="238"/>
      <c r="M160" s="238"/>
      <c r="N160" s="238"/>
      <c r="O160" s="238"/>
      <c r="P160" s="238"/>
      <c r="Q160" s="238"/>
      <c r="R160" s="238"/>
      <c r="S160" s="238"/>
      <c r="T160" s="238"/>
      <c r="U160" s="238"/>
      <c r="V160" s="238"/>
    </row>
    <row r="161" spans="1:22" ht="16.5">
      <c r="A161" s="260"/>
      <c r="B161" s="238"/>
      <c r="C161" s="238"/>
      <c r="D161" s="238"/>
      <c r="E161" s="238"/>
      <c r="F161" s="238"/>
      <c r="G161" s="238"/>
      <c r="H161" s="238"/>
      <c r="I161" s="238"/>
      <c r="J161" s="238"/>
      <c r="K161" s="238"/>
      <c r="L161" s="238"/>
      <c r="M161" s="238"/>
      <c r="N161" s="238"/>
      <c r="O161" s="238"/>
      <c r="P161" s="238"/>
      <c r="Q161" s="238"/>
      <c r="R161" s="238"/>
      <c r="S161" s="238"/>
      <c r="T161" s="238"/>
      <c r="U161" s="238"/>
      <c r="V161" s="238"/>
    </row>
    <row r="162" spans="1:22" ht="16.5">
      <c r="A162" s="260"/>
      <c r="B162" s="238"/>
      <c r="C162" s="238"/>
      <c r="D162" s="238"/>
      <c r="E162" s="238"/>
      <c r="F162" s="238"/>
      <c r="G162" s="238"/>
      <c r="H162" s="238"/>
      <c r="I162" s="238"/>
      <c r="J162" s="238"/>
      <c r="K162" s="238"/>
      <c r="L162" s="238"/>
      <c r="M162" s="238"/>
      <c r="N162" s="238"/>
      <c r="O162" s="238"/>
      <c r="P162" s="238"/>
      <c r="Q162" s="238"/>
      <c r="R162" s="238"/>
      <c r="S162" s="238"/>
      <c r="T162" s="238"/>
      <c r="U162" s="238"/>
      <c r="V162" s="238"/>
    </row>
    <row r="163" spans="1:22" ht="16.5">
      <c r="A163" s="260"/>
      <c r="B163" s="238"/>
      <c r="C163" s="238"/>
      <c r="D163" s="238"/>
      <c r="E163" s="238"/>
      <c r="F163" s="238"/>
      <c r="G163" s="238"/>
      <c r="H163" s="238"/>
      <c r="I163" s="238"/>
      <c r="J163" s="238"/>
      <c r="K163" s="238"/>
      <c r="L163" s="238"/>
      <c r="M163" s="238"/>
      <c r="N163" s="238"/>
      <c r="O163" s="238"/>
      <c r="P163" s="238"/>
      <c r="Q163" s="238"/>
      <c r="R163" s="238"/>
      <c r="S163" s="238"/>
      <c r="T163" s="238"/>
      <c r="U163" s="238"/>
      <c r="V163" s="238"/>
    </row>
    <row r="164" spans="1:22" ht="16.5">
      <c r="A164" s="260"/>
      <c r="B164" s="238"/>
      <c r="C164" s="238"/>
      <c r="D164" s="238"/>
      <c r="E164" s="238"/>
      <c r="F164" s="238"/>
      <c r="G164" s="238"/>
      <c r="H164" s="238"/>
      <c r="I164" s="238"/>
      <c r="J164" s="238"/>
      <c r="K164" s="238"/>
      <c r="L164" s="238"/>
      <c r="M164" s="238"/>
      <c r="N164" s="238"/>
      <c r="O164" s="238"/>
      <c r="P164" s="238"/>
      <c r="Q164" s="238"/>
      <c r="R164" s="238"/>
      <c r="S164" s="238"/>
      <c r="T164" s="238"/>
      <c r="U164" s="238"/>
      <c r="V164" s="238"/>
    </row>
    <row r="165" spans="1:22" ht="16.5">
      <c r="A165" s="260"/>
      <c r="B165" s="238"/>
      <c r="C165" s="238"/>
      <c r="D165" s="238"/>
      <c r="E165" s="238"/>
      <c r="F165" s="238"/>
      <c r="G165" s="238"/>
      <c r="H165" s="238"/>
      <c r="I165" s="238"/>
      <c r="J165" s="238"/>
      <c r="K165" s="238"/>
      <c r="L165" s="238"/>
      <c r="M165" s="238"/>
      <c r="N165" s="238"/>
      <c r="O165" s="238"/>
      <c r="P165" s="238"/>
      <c r="Q165" s="238"/>
      <c r="R165" s="238"/>
      <c r="S165" s="238"/>
      <c r="T165" s="238"/>
      <c r="U165" s="238"/>
      <c r="V165" s="238"/>
    </row>
    <row r="166" spans="1:22" ht="16.5">
      <c r="A166" s="260"/>
      <c r="B166" s="238"/>
      <c r="C166" s="238"/>
      <c r="D166" s="238"/>
      <c r="E166" s="238"/>
      <c r="F166" s="238"/>
      <c r="G166" s="238"/>
      <c r="H166" s="238"/>
      <c r="I166" s="238"/>
      <c r="J166" s="238"/>
      <c r="K166" s="238"/>
      <c r="L166" s="238"/>
      <c r="M166" s="238"/>
      <c r="N166" s="238"/>
      <c r="O166" s="238"/>
      <c r="P166" s="238"/>
      <c r="Q166" s="238"/>
      <c r="R166" s="238"/>
      <c r="S166" s="238"/>
      <c r="T166" s="238"/>
      <c r="U166" s="238"/>
      <c r="V166" s="238"/>
    </row>
    <row r="167" spans="1:22" ht="16.5">
      <c r="A167" s="260"/>
      <c r="B167" s="238"/>
      <c r="C167" s="238"/>
      <c r="D167" s="238"/>
      <c r="E167" s="238"/>
      <c r="F167" s="238"/>
      <c r="G167" s="238"/>
      <c r="H167" s="238"/>
      <c r="I167" s="238"/>
      <c r="J167" s="238"/>
      <c r="K167" s="238"/>
      <c r="L167" s="238"/>
      <c r="M167" s="238"/>
      <c r="N167" s="238"/>
      <c r="O167" s="238"/>
      <c r="P167" s="238"/>
      <c r="Q167" s="238"/>
      <c r="R167" s="238"/>
      <c r="S167" s="238"/>
      <c r="T167" s="238"/>
      <c r="U167" s="238"/>
      <c r="V167" s="238"/>
    </row>
    <row r="168" spans="1:22" ht="16.5">
      <c r="A168" s="260"/>
      <c r="B168" s="238"/>
      <c r="C168" s="238"/>
      <c r="D168" s="238"/>
      <c r="E168" s="238"/>
      <c r="F168" s="238"/>
      <c r="G168" s="238"/>
      <c r="H168" s="238"/>
      <c r="I168" s="238"/>
      <c r="J168" s="238"/>
      <c r="K168" s="238"/>
      <c r="L168" s="238"/>
      <c r="M168" s="238"/>
      <c r="N168" s="238"/>
      <c r="O168" s="238"/>
      <c r="P168" s="238"/>
      <c r="Q168" s="238"/>
      <c r="R168" s="238"/>
      <c r="S168" s="238"/>
      <c r="T168" s="238"/>
      <c r="U168" s="238"/>
      <c r="V168" s="238"/>
    </row>
    <row r="169" spans="1:22" ht="16.5">
      <c r="A169" s="260"/>
      <c r="B169" s="238"/>
      <c r="C169" s="238"/>
      <c r="D169" s="238"/>
      <c r="E169" s="238"/>
      <c r="F169" s="238"/>
      <c r="G169" s="238"/>
      <c r="H169" s="238"/>
      <c r="I169" s="238"/>
      <c r="J169" s="238"/>
      <c r="K169" s="238"/>
      <c r="L169" s="238"/>
      <c r="M169" s="238"/>
      <c r="N169" s="238"/>
      <c r="O169" s="238"/>
      <c r="P169" s="238"/>
      <c r="Q169" s="238"/>
      <c r="R169" s="238"/>
      <c r="S169" s="238"/>
      <c r="T169" s="238"/>
      <c r="U169" s="238"/>
      <c r="V169" s="238"/>
    </row>
    <row r="170" spans="1:22" ht="16.5">
      <c r="A170" s="260"/>
      <c r="B170" s="238"/>
      <c r="C170" s="238"/>
      <c r="D170" s="238"/>
      <c r="E170" s="238"/>
      <c r="F170" s="238"/>
      <c r="G170" s="238"/>
      <c r="H170" s="238"/>
      <c r="I170" s="238"/>
      <c r="J170" s="238"/>
      <c r="K170" s="238"/>
      <c r="L170" s="238"/>
      <c r="M170" s="238"/>
      <c r="N170" s="238"/>
      <c r="O170" s="238"/>
      <c r="P170" s="238"/>
      <c r="Q170" s="238"/>
      <c r="R170" s="238"/>
      <c r="S170" s="238"/>
      <c r="T170" s="238"/>
      <c r="U170" s="238"/>
      <c r="V170" s="238"/>
    </row>
    <row r="171" spans="1:22" ht="16.5">
      <c r="A171" s="260"/>
      <c r="B171" s="238"/>
      <c r="C171" s="238"/>
      <c r="D171" s="238"/>
      <c r="E171" s="238"/>
      <c r="F171" s="238"/>
      <c r="G171" s="238"/>
      <c r="H171" s="238"/>
      <c r="I171" s="238"/>
      <c r="J171" s="238"/>
      <c r="K171" s="238"/>
      <c r="L171" s="238"/>
      <c r="M171" s="238"/>
      <c r="N171" s="238"/>
      <c r="O171" s="238"/>
      <c r="P171" s="238"/>
      <c r="Q171" s="238"/>
      <c r="R171" s="238"/>
      <c r="S171" s="238"/>
      <c r="T171" s="238"/>
      <c r="U171" s="238"/>
      <c r="V171" s="238"/>
    </row>
    <row r="172" spans="1:22" ht="16.5">
      <c r="A172" s="260"/>
      <c r="B172" s="238"/>
      <c r="C172" s="238"/>
      <c r="D172" s="238"/>
      <c r="E172" s="238"/>
      <c r="F172" s="238"/>
      <c r="G172" s="238"/>
      <c r="H172" s="238"/>
      <c r="I172" s="238"/>
      <c r="J172" s="238"/>
      <c r="K172" s="238"/>
      <c r="L172" s="238"/>
      <c r="M172" s="238"/>
      <c r="N172" s="238"/>
      <c r="O172" s="238"/>
      <c r="P172" s="238"/>
      <c r="Q172" s="238"/>
      <c r="R172" s="238"/>
      <c r="S172" s="238"/>
      <c r="T172" s="238"/>
      <c r="U172" s="238"/>
      <c r="V172" s="238"/>
    </row>
    <row r="173" spans="1:22" ht="16.5">
      <c r="A173" s="260"/>
      <c r="B173" s="238"/>
      <c r="C173" s="238"/>
      <c r="D173" s="238"/>
      <c r="E173" s="238"/>
      <c r="F173" s="238"/>
      <c r="G173" s="238"/>
      <c r="H173" s="238"/>
      <c r="I173" s="238"/>
      <c r="J173" s="238"/>
      <c r="K173" s="238"/>
      <c r="L173" s="238"/>
      <c r="M173" s="238"/>
      <c r="N173" s="238"/>
      <c r="O173" s="238"/>
      <c r="P173" s="238"/>
      <c r="Q173" s="238"/>
      <c r="R173" s="238"/>
      <c r="S173" s="238"/>
      <c r="T173" s="238"/>
      <c r="U173" s="238"/>
      <c r="V173" s="238"/>
    </row>
    <row r="174" spans="1:22" ht="16.5">
      <c r="A174" s="260"/>
      <c r="B174" s="238"/>
      <c r="C174" s="238"/>
      <c r="D174" s="238"/>
      <c r="E174" s="238"/>
      <c r="F174" s="238"/>
      <c r="G174" s="238"/>
      <c r="H174" s="238"/>
      <c r="I174" s="238"/>
      <c r="J174" s="238"/>
      <c r="K174" s="238"/>
      <c r="L174" s="238"/>
      <c r="M174" s="238"/>
      <c r="N174" s="238"/>
      <c r="O174" s="238"/>
      <c r="P174" s="238"/>
      <c r="Q174" s="238"/>
      <c r="R174" s="238"/>
      <c r="S174" s="238"/>
      <c r="T174" s="238"/>
      <c r="U174" s="238"/>
      <c r="V174" s="238"/>
    </row>
    <row r="175" spans="1:22" ht="16.5">
      <c r="A175" s="260"/>
      <c r="B175" s="238"/>
      <c r="C175" s="238"/>
      <c r="D175" s="238"/>
      <c r="E175" s="238"/>
      <c r="F175" s="238"/>
      <c r="G175" s="238"/>
      <c r="H175" s="238"/>
      <c r="I175" s="238"/>
      <c r="J175" s="238"/>
      <c r="K175" s="238"/>
      <c r="L175" s="238"/>
      <c r="M175" s="238"/>
      <c r="N175" s="238"/>
      <c r="O175" s="238"/>
      <c r="P175" s="238"/>
      <c r="Q175" s="238"/>
      <c r="R175" s="238"/>
      <c r="S175" s="238"/>
      <c r="T175" s="238"/>
      <c r="U175" s="238"/>
      <c r="V175" s="238"/>
    </row>
    <row r="176" spans="1:22" ht="16.5">
      <c r="A176" s="260"/>
      <c r="B176" s="238"/>
      <c r="C176" s="238"/>
      <c r="D176" s="238"/>
      <c r="E176" s="238"/>
      <c r="F176" s="238"/>
      <c r="G176" s="238"/>
      <c r="H176" s="238"/>
      <c r="I176" s="238"/>
      <c r="J176" s="238"/>
      <c r="K176" s="238"/>
      <c r="L176" s="238"/>
      <c r="M176" s="238"/>
      <c r="N176" s="238"/>
      <c r="O176" s="238"/>
      <c r="P176" s="238"/>
      <c r="Q176" s="238"/>
      <c r="R176" s="238"/>
      <c r="S176" s="238"/>
      <c r="T176" s="238"/>
      <c r="U176" s="238"/>
      <c r="V176" s="238"/>
    </row>
    <row r="177" spans="1:22" ht="16.5">
      <c r="A177" s="260"/>
      <c r="B177" s="238"/>
      <c r="C177" s="238"/>
      <c r="D177" s="238"/>
      <c r="E177" s="238"/>
      <c r="F177" s="238"/>
      <c r="G177" s="238"/>
      <c r="H177" s="238"/>
      <c r="I177" s="238"/>
      <c r="J177" s="238"/>
      <c r="K177" s="238"/>
      <c r="L177" s="238"/>
      <c r="M177" s="238"/>
      <c r="N177" s="238"/>
      <c r="O177" s="238"/>
      <c r="P177" s="238"/>
      <c r="Q177" s="238"/>
      <c r="R177" s="238"/>
      <c r="S177" s="238"/>
      <c r="T177" s="238"/>
      <c r="U177" s="238"/>
      <c r="V177" s="238"/>
    </row>
    <row r="178" spans="1:22" ht="16.5">
      <c r="A178" s="260"/>
      <c r="B178" s="238"/>
      <c r="C178" s="238"/>
      <c r="D178" s="238"/>
      <c r="E178" s="238"/>
      <c r="F178" s="238"/>
      <c r="G178" s="238"/>
      <c r="H178" s="238"/>
      <c r="I178" s="238"/>
      <c r="J178" s="238"/>
      <c r="K178" s="238"/>
      <c r="L178" s="238"/>
      <c r="M178" s="238"/>
      <c r="N178" s="238"/>
      <c r="O178" s="238"/>
      <c r="P178" s="238"/>
      <c r="Q178" s="238"/>
      <c r="R178" s="238"/>
      <c r="S178" s="238"/>
      <c r="T178" s="238"/>
      <c r="U178" s="238"/>
      <c r="V178" s="238"/>
    </row>
    <row r="179" spans="1:22" ht="16.5">
      <c r="A179" s="260"/>
      <c r="B179" s="238"/>
      <c r="C179" s="238"/>
      <c r="D179" s="238"/>
      <c r="E179" s="238"/>
      <c r="F179" s="238"/>
      <c r="G179" s="238"/>
      <c r="H179" s="238"/>
      <c r="I179" s="238"/>
      <c r="J179" s="238"/>
      <c r="K179" s="238"/>
      <c r="L179" s="238"/>
      <c r="M179" s="238"/>
      <c r="N179" s="238"/>
      <c r="O179" s="238"/>
      <c r="P179" s="238"/>
      <c r="Q179" s="238"/>
      <c r="R179" s="238"/>
      <c r="S179" s="238"/>
      <c r="T179" s="238"/>
      <c r="U179" s="238"/>
      <c r="V179" s="238"/>
    </row>
    <row r="180" spans="1:22" ht="16.5">
      <c r="A180" s="260"/>
      <c r="B180" s="238"/>
      <c r="C180" s="238"/>
      <c r="D180" s="238"/>
      <c r="E180" s="238"/>
      <c r="F180" s="238"/>
      <c r="G180" s="238"/>
      <c r="H180" s="238"/>
      <c r="I180" s="238"/>
      <c r="J180" s="238"/>
      <c r="K180" s="238"/>
      <c r="L180" s="238"/>
      <c r="M180" s="238"/>
      <c r="N180" s="238"/>
      <c r="O180" s="238"/>
      <c r="P180" s="238"/>
      <c r="Q180" s="238"/>
      <c r="R180" s="238"/>
      <c r="S180" s="238"/>
      <c r="T180" s="238"/>
      <c r="U180" s="238"/>
      <c r="V180" s="238"/>
    </row>
    <row r="181" spans="1:22" ht="16.5">
      <c r="A181" s="260"/>
      <c r="B181" s="238"/>
      <c r="C181" s="238"/>
      <c r="D181" s="238"/>
      <c r="E181" s="238"/>
      <c r="F181" s="238"/>
      <c r="G181" s="238"/>
      <c r="H181" s="238"/>
      <c r="I181" s="238"/>
      <c r="J181" s="238"/>
      <c r="K181" s="238"/>
      <c r="L181" s="238"/>
      <c r="M181" s="238"/>
      <c r="N181" s="238"/>
      <c r="O181" s="238"/>
      <c r="P181" s="238"/>
      <c r="Q181" s="238"/>
      <c r="R181" s="238"/>
      <c r="S181" s="238"/>
      <c r="T181" s="238"/>
      <c r="U181" s="238"/>
      <c r="V181" s="238"/>
    </row>
    <row r="182" spans="1:22" ht="16.5">
      <c r="A182" s="260"/>
      <c r="B182" s="238"/>
      <c r="C182" s="238"/>
      <c r="D182" s="238"/>
      <c r="E182" s="238"/>
      <c r="F182" s="238"/>
      <c r="G182" s="238"/>
      <c r="H182" s="238"/>
      <c r="I182" s="238"/>
      <c r="J182" s="238"/>
      <c r="K182" s="238"/>
      <c r="L182" s="238"/>
      <c r="M182" s="238"/>
      <c r="N182" s="238"/>
      <c r="O182" s="238"/>
      <c r="P182" s="238"/>
      <c r="Q182" s="238"/>
      <c r="R182" s="238"/>
      <c r="S182" s="238"/>
      <c r="T182" s="238"/>
      <c r="U182" s="238"/>
      <c r="V182" s="238"/>
    </row>
    <row r="183" spans="1:22" ht="16.5">
      <c r="A183" s="260"/>
      <c r="B183" s="238"/>
      <c r="C183" s="238"/>
      <c r="D183" s="238"/>
      <c r="E183" s="238"/>
      <c r="F183" s="238"/>
      <c r="G183" s="238"/>
      <c r="H183" s="238"/>
      <c r="I183" s="238"/>
      <c r="J183" s="238"/>
      <c r="K183" s="238"/>
      <c r="L183" s="238"/>
      <c r="M183" s="238"/>
      <c r="N183" s="238"/>
      <c r="O183" s="238"/>
      <c r="P183" s="238"/>
      <c r="Q183" s="238"/>
      <c r="R183" s="238"/>
      <c r="S183" s="238"/>
      <c r="T183" s="238"/>
      <c r="U183" s="238"/>
      <c r="V183" s="238"/>
    </row>
    <row r="184" spans="1:22" ht="16.5">
      <c r="A184" s="260"/>
      <c r="B184" s="238"/>
      <c r="C184" s="238"/>
      <c r="D184" s="238"/>
      <c r="E184" s="238"/>
      <c r="F184" s="238"/>
      <c r="G184" s="238"/>
      <c r="H184" s="238"/>
      <c r="I184" s="238"/>
      <c r="J184" s="238"/>
      <c r="K184" s="238"/>
      <c r="L184" s="238"/>
      <c r="M184" s="238"/>
      <c r="N184" s="238"/>
      <c r="O184" s="238"/>
      <c r="P184" s="238"/>
      <c r="Q184" s="238"/>
      <c r="R184" s="238"/>
      <c r="S184" s="238"/>
      <c r="T184" s="238"/>
      <c r="U184" s="238"/>
      <c r="V184" s="238"/>
    </row>
    <row r="185" spans="1:22" ht="16.5">
      <c r="A185" s="260"/>
      <c r="B185" s="238"/>
      <c r="C185" s="238"/>
      <c r="D185" s="238"/>
      <c r="E185" s="238"/>
      <c r="F185" s="238"/>
      <c r="G185" s="238"/>
      <c r="H185" s="238"/>
      <c r="I185" s="238"/>
      <c r="J185" s="238"/>
      <c r="K185" s="238"/>
      <c r="L185" s="238"/>
      <c r="M185" s="238"/>
      <c r="N185" s="238"/>
      <c r="O185" s="238"/>
      <c r="P185" s="238"/>
      <c r="Q185" s="238"/>
      <c r="R185" s="238"/>
      <c r="S185" s="238"/>
      <c r="T185" s="238"/>
      <c r="U185" s="238"/>
      <c r="V185" s="238"/>
    </row>
    <row r="186" spans="1:22" ht="16.5">
      <c r="A186" s="260"/>
      <c r="B186" s="238"/>
      <c r="C186" s="238"/>
      <c r="D186" s="238"/>
      <c r="E186" s="238"/>
      <c r="F186" s="238"/>
      <c r="G186" s="238"/>
      <c r="H186" s="238"/>
      <c r="I186" s="238"/>
      <c r="J186" s="238"/>
      <c r="K186" s="238"/>
      <c r="L186" s="238"/>
      <c r="M186" s="238"/>
      <c r="N186" s="238"/>
      <c r="O186" s="238"/>
      <c r="P186" s="238"/>
      <c r="Q186" s="238"/>
      <c r="R186" s="238"/>
      <c r="S186" s="238"/>
      <c r="T186" s="238"/>
      <c r="U186" s="238"/>
      <c r="V186" s="238"/>
    </row>
    <row r="187" spans="1:22" ht="16.5">
      <c r="A187" s="260"/>
      <c r="B187" s="238"/>
      <c r="C187" s="238"/>
      <c r="D187" s="238"/>
      <c r="E187" s="238"/>
      <c r="F187" s="238"/>
      <c r="G187" s="238"/>
      <c r="H187" s="238"/>
      <c r="I187" s="238"/>
      <c r="J187" s="238"/>
      <c r="K187" s="238"/>
      <c r="L187" s="238"/>
      <c r="M187" s="238"/>
      <c r="N187" s="238"/>
      <c r="O187" s="238"/>
      <c r="P187" s="238"/>
      <c r="Q187" s="238"/>
      <c r="R187" s="238"/>
      <c r="S187" s="238"/>
      <c r="T187" s="238"/>
      <c r="U187" s="238"/>
      <c r="V187" s="238"/>
    </row>
    <row r="188" spans="1:22" ht="16.5">
      <c r="A188" s="260"/>
      <c r="B188" s="238"/>
      <c r="C188" s="238"/>
      <c r="D188" s="238"/>
      <c r="E188" s="238"/>
      <c r="F188" s="238"/>
      <c r="G188" s="238"/>
      <c r="H188" s="238"/>
      <c r="I188" s="238"/>
      <c r="J188" s="238"/>
      <c r="K188" s="238"/>
      <c r="L188" s="238"/>
      <c r="M188" s="238"/>
      <c r="N188" s="238"/>
      <c r="O188" s="238"/>
      <c r="P188" s="238"/>
      <c r="Q188" s="238"/>
      <c r="R188" s="238"/>
      <c r="S188" s="238"/>
      <c r="T188" s="238"/>
      <c r="U188" s="238"/>
      <c r="V188" s="238"/>
    </row>
    <row r="189" spans="1:22" ht="16.5">
      <c r="A189" s="260"/>
      <c r="B189" s="238"/>
      <c r="C189" s="238"/>
      <c r="D189" s="238"/>
      <c r="E189" s="238"/>
      <c r="F189" s="238"/>
      <c r="G189" s="238"/>
      <c r="H189" s="238"/>
      <c r="I189" s="238"/>
      <c r="J189" s="238"/>
      <c r="K189" s="238"/>
      <c r="L189" s="238"/>
      <c r="M189" s="238"/>
      <c r="N189" s="238"/>
      <c r="O189" s="238"/>
      <c r="P189" s="238"/>
      <c r="Q189" s="238"/>
      <c r="R189" s="238"/>
      <c r="S189" s="238"/>
      <c r="T189" s="238"/>
      <c r="U189" s="238"/>
      <c r="V189" s="238"/>
    </row>
    <row r="190" spans="1:22" ht="16.5">
      <c r="A190" s="260"/>
      <c r="B190" s="238"/>
      <c r="C190" s="238"/>
      <c r="D190" s="238"/>
      <c r="E190" s="238"/>
      <c r="F190" s="238"/>
      <c r="G190" s="238"/>
      <c r="H190" s="238"/>
      <c r="I190" s="238"/>
      <c r="J190" s="238"/>
      <c r="K190" s="238"/>
      <c r="L190" s="238"/>
      <c r="M190" s="238"/>
      <c r="N190" s="238"/>
      <c r="O190" s="238"/>
      <c r="P190" s="238"/>
      <c r="Q190" s="238"/>
      <c r="R190" s="238"/>
      <c r="S190" s="238"/>
      <c r="T190" s="238"/>
      <c r="U190" s="238"/>
      <c r="V190" s="238"/>
    </row>
    <row r="191" spans="1:22" ht="16.5">
      <c r="A191" s="260"/>
      <c r="B191" s="238"/>
      <c r="C191" s="238"/>
      <c r="D191" s="238"/>
      <c r="E191" s="238"/>
      <c r="F191" s="238"/>
      <c r="G191" s="238"/>
      <c r="H191" s="238"/>
      <c r="I191" s="238"/>
      <c r="J191" s="238"/>
      <c r="K191" s="238"/>
      <c r="L191" s="238"/>
      <c r="M191" s="238"/>
      <c r="N191" s="238"/>
      <c r="O191" s="238"/>
      <c r="P191" s="238"/>
      <c r="Q191" s="238"/>
      <c r="R191" s="238"/>
      <c r="S191" s="238"/>
      <c r="T191" s="238"/>
      <c r="U191" s="238"/>
      <c r="V191" s="238"/>
    </row>
    <row r="192" spans="1:22" ht="16.5">
      <c r="A192" s="260"/>
      <c r="B192" s="238"/>
      <c r="C192" s="238"/>
      <c r="D192" s="238"/>
      <c r="E192" s="238"/>
      <c r="F192" s="238"/>
      <c r="G192" s="238"/>
      <c r="H192" s="238"/>
      <c r="I192" s="238"/>
      <c r="J192" s="238"/>
      <c r="K192" s="238"/>
      <c r="L192" s="238"/>
      <c r="M192" s="238"/>
      <c r="N192" s="238"/>
      <c r="O192" s="238"/>
      <c r="P192" s="238"/>
      <c r="Q192" s="238"/>
      <c r="R192" s="238"/>
      <c r="S192" s="238"/>
      <c r="T192" s="238"/>
      <c r="U192" s="238"/>
      <c r="V192" s="238"/>
    </row>
    <row r="193" spans="1:22" ht="16.5">
      <c r="A193" s="260"/>
      <c r="B193" s="238"/>
      <c r="C193" s="238"/>
      <c r="D193" s="238"/>
      <c r="E193" s="238"/>
      <c r="F193" s="238"/>
      <c r="G193" s="238"/>
      <c r="H193" s="238"/>
      <c r="I193" s="238"/>
      <c r="J193" s="238"/>
      <c r="K193" s="238"/>
      <c r="L193" s="238"/>
      <c r="M193" s="238"/>
      <c r="N193" s="238"/>
      <c r="O193" s="238"/>
      <c r="P193" s="238"/>
      <c r="Q193" s="238"/>
      <c r="R193" s="238"/>
      <c r="S193" s="238"/>
      <c r="T193" s="238"/>
      <c r="U193" s="238"/>
      <c r="V193" s="238"/>
    </row>
    <row r="194" spans="1:22" ht="16.5">
      <c r="A194" s="260"/>
      <c r="B194" s="238"/>
      <c r="C194" s="238"/>
      <c r="D194" s="238"/>
      <c r="E194" s="238"/>
      <c r="F194" s="238"/>
      <c r="G194" s="238"/>
      <c r="H194" s="238"/>
      <c r="I194" s="238"/>
      <c r="J194" s="238"/>
      <c r="K194" s="238"/>
      <c r="L194" s="238"/>
      <c r="M194" s="238"/>
      <c r="N194" s="238"/>
      <c r="O194" s="238"/>
      <c r="P194" s="238"/>
      <c r="Q194" s="238"/>
      <c r="R194" s="238"/>
      <c r="S194" s="238"/>
      <c r="T194" s="238"/>
      <c r="U194" s="238"/>
      <c r="V194" s="238"/>
    </row>
    <row r="195" spans="1:22" ht="16.5">
      <c r="A195" s="260"/>
      <c r="B195" s="238"/>
      <c r="C195" s="238"/>
      <c r="D195" s="238"/>
      <c r="E195" s="238"/>
      <c r="F195" s="238"/>
      <c r="G195" s="238"/>
      <c r="H195" s="238"/>
      <c r="I195" s="238"/>
      <c r="J195" s="238"/>
      <c r="K195" s="238"/>
      <c r="L195" s="238"/>
      <c r="M195" s="238"/>
      <c r="N195" s="238"/>
      <c r="O195" s="238"/>
      <c r="P195" s="238"/>
      <c r="Q195" s="238"/>
      <c r="R195" s="238"/>
      <c r="S195" s="238"/>
      <c r="T195" s="238"/>
      <c r="U195" s="238"/>
      <c r="V195" s="238"/>
    </row>
    <row r="196" spans="1:22" ht="16.5">
      <c r="A196" s="260"/>
      <c r="B196" s="238"/>
      <c r="C196" s="238"/>
      <c r="D196" s="238"/>
      <c r="E196" s="238"/>
      <c r="F196" s="238"/>
      <c r="G196" s="238"/>
      <c r="H196" s="238"/>
      <c r="I196" s="238"/>
      <c r="J196" s="238"/>
      <c r="K196" s="238"/>
      <c r="L196" s="238"/>
      <c r="M196" s="238"/>
      <c r="N196" s="238"/>
      <c r="O196" s="238"/>
      <c r="P196" s="238"/>
      <c r="Q196" s="238"/>
      <c r="R196" s="238"/>
      <c r="S196" s="238"/>
      <c r="T196" s="238"/>
      <c r="U196" s="238"/>
      <c r="V196" s="238"/>
    </row>
    <row r="197" spans="1:22" ht="16.5">
      <c r="A197" s="260"/>
      <c r="B197" s="238"/>
      <c r="C197" s="238"/>
      <c r="D197" s="238"/>
      <c r="E197" s="238"/>
      <c r="F197" s="238"/>
      <c r="G197" s="238"/>
      <c r="H197" s="238"/>
      <c r="I197" s="238"/>
      <c r="J197" s="238"/>
      <c r="K197" s="238"/>
      <c r="L197" s="238"/>
      <c r="M197" s="238"/>
      <c r="N197" s="238"/>
      <c r="O197" s="238"/>
      <c r="P197" s="238"/>
      <c r="Q197" s="238"/>
      <c r="R197" s="238"/>
      <c r="S197" s="238"/>
      <c r="T197" s="238"/>
      <c r="U197" s="238"/>
      <c r="V197" s="238"/>
    </row>
    <row r="198" spans="1:22" ht="16.5">
      <c r="A198" s="260"/>
      <c r="B198" s="238"/>
      <c r="C198" s="238"/>
      <c r="D198" s="238"/>
      <c r="E198" s="238"/>
      <c r="F198" s="238"/>
      <c r="G198" s="238"/>
      <c r="H198" s="238"/>
      <c r="I198" s="238"/>
      <c r="J198" s="238"/>
      <c r="K198" s="238"/>
      <c r="L198" s="238"/>
      <c r="M198" s="238"/>
      <c r="N198" s="238"/>
      <c r="O198" s="238"/>
      <c r="P198" s="238"/>
      <c r="Q198" s="238"/>
      <c r="R198" s="238"/>
      <c r="S198" s="238"/>
      <c r="T198" s="238"/>
      <c r="U198" s="238"/>
      <c r="V198" s="238"/>
    </row>
    <row r="199" spans="1:22" ht="16.5">
      <c r="A199" s="260"/>
      <c r="B199" s="238"/>
      <c r="C199" s="238"/>
      <c r="D199" s="238"/>
      <c r="E199" s="238"/>
      <c r="F199" s="238"/>
      <c r="G199" s="238"/>
      <c r="H199" s="238"/>
      <c r="I199" s="238"/>
      <c r="J199" s="238"/>
      <c r="K199" s="238"/>
      <c r="L199" s="238"/>
      <c r="M199" s="238"/>
      <c r="N199" s="238"/>
      <c r="O199" s="238"/>
      <c r="P199" s="238"/>
      <c r="Q199" s="238"/>
      <c r="R199" s="238"/>
      <c r="S199" s="238"/>
      <c r="T199" s="238"/>
      <c r="U199" s="238"/>
      <c r="V199" s="238"/>
    </row>
    <row r="200" spans="1:22" ht="16.5">
      <c r="A200" s="260"/>
      <c r="B200" s="238"/>
      <c r="C200" s="238"/>
      <c r="D200" s="238"/>
      <c r="E200" s="238"/>
      <c r="F200" s="238"/>
      <c r="G200" s="238"/>
      <c r="H200" s="238"/>
      <c r="I200" s="238"/>
      <c r="J200" s="238"/>
      <c r="K200" s="238"/>
      <c r="L200" s="238"/>
      <c r="M200" s="238"/>
      <c r="N200" s="238"/>
      <c r="O200" s="238"/>
      <c r="P200" s="238"/>
      <c r="Q200" s="238"/>
      <c r="R200" s="238"/>
      <c r="S200" s="238"/>
      <c r="T200" s="238"/>
      <c r="U200" s="238"/>
      <c r="V200" s="238"/>
    </row>
    <row r="201" spans="1:22" ht="16.5">
      <c r="A201" s="260"/>
      <c r="B201" s="238"/>
      <c r="C201" s="238"/>
      <c r="D201" s="238"/>
      <c r="E201" s="238"/>
      <c r="F201" s="238"/>
      <c r="G201" s="238"/>
      <c r="H201" s="238"/>
      <c r="I201" s="238"/>
      <c r="J201" s="238"/>
      <c r="K201" s="238"/>
      <c r="L201" s="238"/>
      <c r="M201" s="238"/>
      <c r="N201" s="238"/>
      <c r="O201" s="238"/>
      <c r="P201" s="238"/>
      <c r="Q201" s="238"/>
      <c r="R201" s="238"/>
      <c r="S201" s="238"/>
      <c r="T201" s="238"/>
      <c r="U201" s="238"/>
      <c r="V201" s="238"/>
    </row>
    <row r="202" spans="1:22" ht="16.5">
      <c r="A202" s="260"/>
      <c r="B202" s="238"/>
      <c r="C202" s="238"/>
      <c r="D202" s="238"/>
      <c r="E202" s="238"/>
      <c r="F202" s="238"/>
      <c r="G202" s="238"/>
      <c r="H202" s="238"/>
      <c r="I202" s="238"/>
      <c r="J202" s="238"/>
      <c r="K202" s="238"/>
      <c r="L202" s="238"/>
      <c r="M202" s="238"/>
      <c r="N202" s="238"/>
      <c r="O202" s="238"/>
      <c r="P202" s="238"/>
      <c r="Q202" s="238"/>
      <c r="R202" s="238"/>
      <c r="S202" s="238"/>
      <c r="T202" s="238"/>
      <c r="U202" s="238"/>
      <c r="V202" s="238"/>
    </row>
    <row r="203" spans="1:22" ht="16.5">
      <c r="A203" s="260"/>
      <c r="B203" s="238"/>
      <c r="C203" s="238"/>
      <c r="D203" s="238"/>
      <c r="E203" s="238"/>
      <c r="F203" s="238"/>
      <c r="G203" s="238"/>
      <c r="H203" s="238"/>
      <c r="I203" s="238"/>
      <c r="J203" s="238"/>
      <c r="K203" s="238"/>
      <c r="L203" s="238"/>
      <c r="M203" s="238"/>
      <c r="N203" s="238"/>
      <c r="O203" s="238"/>
      <c r="P203" s="238"/>
      <c r="Q203" s="238"/>
      <c r="R203" s="238"/>
      <c r="S203" s="238"/>
      <c r="T203" s="238"/>
      <c r="U203" s="238"/>
      <c r="V203" s="238"/>
    </row>
    <row r="204" spans="1:22" ht="16.5">
      <c r="A204" s="260"/>
      <c r="B204" s="238"/>
      <c r="C204" s="238"/>
      <c r="D204" s="238"/>
      <c r="E204" s="238"/>
      <c r="F204" s="238"/>
      <c r="G204" s="238"/>
      <c r="H204" s="238"/>
      <c r="I204" s="238"/>
      <c r="J204" s="238"/>
      <c r="K204" s="238"/>
      <c r="L204" s="238"/>
      <c r="M204" s="238"/>
      <c r="N204" s="238"/>
      <c r="O204" s="238"/>
      <c r="P204" s="238"/>
      <c r="Q204" s="238"/>
      <c r="R204" s="238"/>
      <c r="S204" s="238"/>
      <c r="T204" s="238"/>
      <c r="U204" s="238"/>
      <c r="V204" s="238"/>
    </row>
    <row r="205" spans="1:22" ht="16.5">
      <c r="A205" s="260"/>
      <c r="B205" s="238"/>
      <c r="C205" s="238"/>
      <c r="D205" s="238"/>
      <c r="E205" s="238"/>
      <c r="F205" s="238"/>
      <c r="G205" s="238"/>
      <c r="H205" s="238"/>
      <c r="I205" s="238"/>
      <c r="J205" s="238"/>
      <c r="K205" s="238"/>
      <c r="L205" s="238"/>
      <c r="M205" s="238"/>
      <c r="N205" s="238"/>
      <c r="O205" s="238"/>
      <c r="P205" s="238"/>
      <c r="Q205" s="238"/>
      <c r="R205" s="238"/>
      <c r="S205" s="238"/>
      <c r="T205" s="238"/>
      <c r="U205" s="238"/>
      <c r="V205" s="238"/>
    </row>
    <row r="206" spans="1:22" ht="16.5">
      <c r="A206" s="260"/>
      <c r="B206" s="238"/>
      <c r="C206" s="238"/>
      <c r="D206" s="238"/>
      <c r="E206" s="238"/>
      <c r="F206" s="238"/>
      <c r="G206" s="238"/>
      <c r="H206" s="238"/>
      <c r="I206" s="238"/>
      <c r="J206" s="238"/>
      <c r="K206" s="238"/>
      <c r="L206" s="238"/>
      <c r="M206" s="238"/>
      <c r="N206" s="238"/>
      <c r="O206" s="238"/>
      <c r="P206" s="238"/>
      <c r="Q206" s="238"/>
      <c r="R206" s="238"/>
      <c r="S206" s="238"/>
      <c r="T206" s="238"/>
      <c r="U206" s="238"/>
      <c r="V206" s="238"/>
    </row>
    <row r="207" spans="1:22" ht="16.5">
      <c r="A207" s="260"/>
      <c r="B207" s="238"/>
      <c r="C207" s="238"/>
      <c r="D207" s="238"/>
      <c r="E207" s="238"/>
      <c r="F207" s="238"/>
      <c r="G207" s="238"/>
      <c r="H207" s="238"/>
      <c r="I207" s="238"/>
      <c r="J207" s="238"/>
      <c r="K207" s="238"/>
      <c r="L207" s="238"/>
      <c r="M207" s="238"/>
      <c r="N207" s="238"/>
      <c r="O207" s="238"/>
      <c r="P207" s="238"/>
      <c r="Q207" s="238"/>
      <c r="R207" s="238"/>
      <c r="S207" s="238"/>
      <c r="T207" s="238"/>
      <c r="U207" s="238"/>
      <c r="V207" s="238"/>
    </row>
    <row r="208" spans="1:22" ht="16.5">
      <c r="A208" s="260"/>
      <c r="B208" s="238"/>
      <c r="C208" s="238"/>
      <c r="D208" s="238"/>
      <c r="E208" s="238"/>
      <c r="F208" s="238"/>
      <c r="G208" s="238"/>
      <c r="H208" s="238"/>
      <c r="I208" s="238"/>
      <c r="J208" s="238"/>
      <c r="K208" s="238"/>
      <c r="L208" s="238"/>
      <c r="M208" s="238"/>
      <c r="N208" s="238"/>
      <c r="O208" s="238"/>
      <c r="P208" s="238"/>
      <c r="Q208" s="238"/>
      <c r="R208" s="238"/>
      <c r="S208" s="238"/>
      <c r="T208" s="238"/>
      <c r="U208" s="238"/>
      <c r="V208" s="238"/>
    </row>
    <row r="209" spans="1:22" ht="16.5">
      <c r="A209" s="260"/>
      <c r="B209" s="238"/>
      <c r="C209" s="238"/>
      <c r="D209" s="238"/>
      <c r="E209" s="238"/>
      <c r="F209" s="238"/>
      <c r="G209" s="238"/>
      <c r="H209" s="238"/>
      <c r="I209" s="238"/>
      <c r="J209" s="238"/>
      <c r="K209" s="238"/>
      <c r="L209" s="238"/>
      <c r="M209" s="238"/>
      <c r="N209" s="238"/>
      <c r="O209" s="238"/>
      <c r="P209" s="238"/>
      <c r="Q209" s="238"/>
      <c r="R209" s="238"/>
      <c r="S209" s="238"/>
      <c r="T209" s="238"/>
      <c r="U209" s="238"/>
      <c r="V209" s="238"/>
    </row>
    <row r="210" spans="1:22" ht="16.5">
      <c r="A210" s="260"/>
      <c r="B210" s="238"/>
      <c r="C210" s="238"/>
      <c r="D210" s="238"/>
      <c r="E210" s="238"/>
      <c r="F210" s="238"/>
      <c r="G210" s="238"/>
      <c r="H210" s="238"/>
      <c r="I210" s="238"/>
      <c r="J210" s="238"/>
      <c r="K210" s="238"/>
      <c r="L210" s="238"/>
      <c r="M210" s="238"/>
      <c r="N210" s="238"/>
      <c r="O210" s="238"/>
      <c r="P210" s="238"/>
      <c r="Q210" s="238"/>
      <c r="R210" s="238"/>
      <c r="S210" s="238"/>
      <c r="T210" s="238"/>
      <c r="U210" s="238"/>
      <c r="V210" s="238"/>
    </row>
    <row r="211" spans="1:22" ht="16.5">
      <c r="A211" s="260"/>
      <c r="B211" s="238"/>
      <c r="C211" s="238"/>
      <c r="D211" s="238"/>
      <c r="E211" s="238"/>
      <c r="F211" s="238"/>
      <c r="G211" s="238"/>
      <c r="H211" s="238"/>
      <c r="I211" s="238"/>
      <c r="J211" s="238"/>
      <c r="K211" s="238"/>
      <c r="L211" s="238"/>
      <c r="M211" s="238"/>
      <c r="N211" s="238"/>
      <c r="O211" s="238"/>
      <c r="P211" s="238"/>
      <c r="Q211" s="238"/>
      <c r="R211" s="238"/>
      <c r="S211" s="238"/>
      <c r="T211" s="238"/>
      <c r="U211" s="238"/>
      <c r="V211" s="238"/>
    </row>
    <row r="212" spans="1:22" ht="16.5">
      <c r="A212" s="260"/>
      <c r="B212" s="238"/>
      <c r="C212" s="238"/>
      <c r="D212" s="238"/>
      <c r="E212" s="238"/>
      <c r="F212" s="238"/>
      <c r="G212" s="238"/>
      <c r="H212" s="238"/>
      <c r="I212" s="238"/>
      <c r="J212" s="238"/>
      <c r="K212" s="238"/>
      <c r="L212" s="238"/>
      <c r="M212" s="238"/>
      <c r="N212" s="238"/>
      <c r="O212" s="238"/>
      <c r="P212" s="238"/>
      <c r="Q212" s="238"/>
      <c r="R212" s="238"/>
      <c r="S212" s="238"/>
      <c r="T212" s="238"/>
      <c r="U212" s="238"/>
      <c r="V212" s="238"/>
    </row>
    <row r="213" spans="1:22" ht="16.5">
      <c r="A213" s="260"/>
      <c r="B213" s="238"/>
      <c r="C213" s="238"/>
      <c r="D213" s="238"/>
      <c r="E213" s="238"/>
      <c r="F213" s="238"/>
      <c r="G213" s="238"/>
      <c r="H213" s="238"/>
      <c r="I213" s="238"/>
      <c r="J213" s="238"/>
      <c r="K213" s="238"/>
      <c r="L213" s="238"/>
      <c r="M213" s="238"/>
      <c r="N213" s="238"/>
      <c r="O213" s="238"/>
      <c r="P213" s="238"/>
      <c r="Q213" s="238"/>
      <c r="R213" s="238"/>
      <c r="S213" s="238"/>
      <c r="T213" s="238"/>
      <c r="U213" s="238"/>
      <c r="V213" s="238"/>
    </row>
    <row r="214" spans="1:22" ht="16.5">
      <c r="A214" s="260"/>
      <c r="B214" s="238"/>
      <c r="C214" s="238"/>
      <c r="D214" s="238"/>
      <c r="E214" s="238"/>
      <c r="F214" s="238"/>
      <c r="G214" s="238"/>
      <c r="H214" s="238"/>
      <c r="I214" s="238"/>
      <c r="J214" s="238"/>
      <c r="K214" s="238"/>
      <c r="L214" s="238"/>
      <c r="M214" s="238"/>
      <c r="N214" s="238"/>
      <c r="O214" s="238"/>
      <c r="P214" s="238"/>
      <c r="Q214" s="238"/>
      <c r="R214" s="238"/>
      <c r="S214" s="238"/>
      <c r="T214" s="238"/>
      <c r="U214" s="238"/>
      <c r="V214" s="238"/>
    </row>
    <row r="215" spans="1:22" ht="16.5">
      <c r="A215" s="260"/>
      <c r="B215" s="238"/>
      <c r="C215" s="238"/>
      <c r="D215" s="238"/>
      <c r="E215" s="238"/>
      <c r="F215" s="238"/>
      <c r="G215" s="238"/>
      <c r="H215" s="238"/>
      <c r="I215" s="238"/>
      <c r="J215" s="238"/>
      <c r="K215" s="238"/>
      <c r="L215" s="238"/>
      <c r="M215" s="238"/>
      <c r="N215" s="238"/>
      <c r="O215" s="238"/>
      <c r="P215" s="238"/>
      <c r="Q215" s="238"/>
      <c r="R215" s="238"/>
      <c r="S215" s="238"/>
      <c r="T215" s="238"/>
      <c r="U215" s="238"/>
      <c r="V215" s="238"/>
    </row>
    <row r="216" spans="1:22" ht="16.5">
      <c r="A216" s="260"/>
      <c r="B216" s="238"/>
      <c r="C216" s="238"/>
      <c r="D216" s="238"/>
      <c r="E216" s="238"/>
      <c r="F216" s="238"/>
      <c r="G216" s="238"/>
      <c r="H216" s="238"/>
      <c r="I216" s="238"/>
      <c r="J216" s="238"/>
      <c r="K216" s="238"/>
      <c r="L216" s="238"/>
      <c r="M216" s="238"/>
      <c r="N216" s="238"/>
      <c r="O216" s="238"/>
      <c r="P216" s="238"/>
      <c r="Q216" s="238"/>
      <c r="R216" s="238"/>
      <c r="S216" s="238"/>
      <c r="T216" s="238"/>
      <c r="U216" s="238"/>
      <c r="V216" s="238"/>
    </row>
    <row r="217" spans="1:22" ht="16.5">
      <c r="A217" s="260"/>
      <c r="B217" s="238"/>
      <c r="C217" s="238"/>
      <c r="D217" s="238"/>
      <c r="E217" s="238"/>
      <c r="F217" s="238"/>
      <c r="G217" s="238"/>
      <c r="H217" s="238"/>
      <c r="I217" s="238"/>
      <c r="J217" s="238"/>
      <c r="K217" s="238"/>
      <c r="L217" s="238"/>
      <c r="M217" s="238"/>
      <c r="N217" s="238"/>
      <c r="O217" s="238"/>
      <c r="P217" s="238"/>
      <c r="Q217" s="238"/>
      <c r="R217" s="238"/>
      <c r="S217" s="238"/>
      <c r="T217" s="238"/>
      <c r="U217" s="238"/>
      <c r="V217" s="238"/>
    </row>
    <row r="218" spans="1:22" ht="16.5">
      <c r="A218" s="260"/>
      <c r="B218" s="238"/>
      <c r="C218" s="238"/>
      <c r="D218" s="238"/>
      <c r="E218" s="238"/>
      <c r="F218" s="238"/>
      <c r="G218" s="238"/>
      <c r="H218" s="238"/>
      <c r="I218" s="238"/>
      <c r="J218" s="238"/>
      <c r="K218" s="238"/>
      <c r="L218" s="238"/>
      <c r="M218" s="238"/>
      <c r="N218" s="238"/>
      <c r="O218" s="238"/>
      <c r="P218" s="238"/>
      <c r="Q218" s="238"/>
      <c r="R218" s="238"/>
      <c r="S218" s="238"/>
      <c r="T218" s="238"/>
      <c r="U218" s="238"/>
      <c r="V218" s="238"/>
    </row>
    <row r="219" spans="1:22" ht="16.5">
      <c r="A219" s="260"/>
      <c r="B219" s="238"/>
      <c r="C219" s="238"/>
      <c r="D219" s="238"/>
      <c r="E219" s="238"/>
      <c r="F219" s="238"/>
      <c r="G219" s="238"/>
      <c r="H219" s="238"/>
      <c r="I219" s="238"/>
      <c r="J219" s="238"/>
      <c r="K219" s="238"/>
      <c r="L219" s="238"/>
      <c r="M219" s="238"/>
      <c r="N219" s="238"/>
      <c r="O219" s="238"/>
      <c r="P219" s="238"/>
      <c r="Q219" s="238"/>
      <c r="R219" s="238"/>
      <c r="S219" s="238"/>
      <c r="T219" s="238"/>
      <c r="U219" s="238"/>
      <c r="V219" s="238"/>
    </row>
    <row r="220" spans="1:22" ht="16.5">
      <c r="A220" s="260"/>
      <c r="B220" s="238"/>
      <c r="C220" s="238"/>
      <c r="D220" s="238"/>
      <c r="E220" s="238"/>
      <c r="F220" s="238"/>
      <c r="G220" s="238"/>
      <c r="H220" s="238"/>
      <c r="I220" s="238"/>
      <c r="J220" s="238"/>
      <c r="K220" s="238"/>
      <c r="L220" s="238"/>
      <c r="M220" s="238"/>
      <c r="N220" s="238"/>
      <c r="O220" s="238"/>
      <c r="P220" s="238"/>
      <c r="Q220" s="238"/>
      <c r="R220" s="238"/>
      <c r="S220" s="238"/>
      <c r="T220" s="238"/>
      <c r="U220" s="238"/>
      <c r="V220" s="238"/>
    </row>
    <row r="221" spans="1:22" ht="16.5">
      <c r="A221" s="260"/>
      <c r="B221" s="238"/>
      <c r="C221" s="238"/>
      <c r="D221" s="238"/>
      <c r="E221" s="238"/>
      <c r="F221" s="238"/>
      <c r="G221" s="238"/>
      <c r="H221" s="238"/>
      <c r="I221" s="238"/>
      <c r="J221" s="238"/>
      <c r="K221" s="238"/>
      <c r="L221" s="238"/>
      <c r="M221" s="238"/>
      <c r="N221" s="238"/>
      <c r="O221" s="238"/>
      <c r="P221" s="238"/>
      <c r="Q221" s="238"/>
      <c r="R221" s="238"/>
      <c r="S221" s="238"/>
      <c r="T221" s="238"/>
      <c r="U221" s="238"/>
      <c r="V221" s="238"/>
    </row>
    <row r="222" spans="1:22" ht="16.5">
      <c r="A222" s="260"/>
      <c r="B222" s="238"/>
      <c r="C222" s="238"/>
      <c r="D222" s="238"/>
      <c r="E222" s="238"/>
      <c r="F222" s="238"/>
      <c r="G222" s="238"/>
      <c r="H222" s="238"/>
      <c r="I222" s="238"/>
      <c r="J222" s="238"/>
      <c r="K222" s="238"/>
      <c r="L222" s="238"/>
      <c r="M222" s="238"/>
      <c r="N222" s="238"/>
      <c r="O222" s="238"/>
      <c r="P222" s="238"/>
      <c r="Q222" s="238"/>
      <c r="R222" s="238"/>
      <c r="S222" s="238"/>
      <c r="T222" s="238"/>
      <c r="U222" s="238"/>
      <c r="V222" s="238"/>
    </row>
    <row r="223" spans="1:22" ht="16.5">
      <c r="A223" s="260"/>
      <c r="B223" s="238"/>
      <c r="C223" s="238"/>
      <c r="D223" s="238"/>
      <c r="E223" s="238"/>
      <c r="F223" s="238"/>
      <c r="G223" s="238"/>
      <c r="H223" s="238"/>
      <c r="I223" s="238"/>
      <c r="J223" s="238"/>
      <c r="K223" s="238"/>
      <c r="L223" s="238"/>
      <c r="M223" s="238"/>
      <c r="N223" s="238"/>
      <c r="O223" s="238"/>
      <c r="P223" s="238"/>
      <c r="Q223" s="238"/>
      <c r="R223" s="238"/>
      <c r="S223" s="238"/>
      <c r="T223" s="238"/>
      <c r="U223" s="238"/>
      <c r="V223" s="238"/>
    </row>
    <row r="224" spans="1:22" ht="16.5">
      <c r="A224" s="260"/>
      <c r="B224" s="238"/>
      <c r="C224" s="238"/>
      <c r="D224" s="238"/>
      <c r="E224" s="238"/>
      <c r="F224" s="238"/>
      <c r="G224" s="238"/>
      <c r="H224" s="238"/>
      <c r="I224" s="238"/>
      <c r="J224" s="238"/>
      <c r="K224" s="238"/>
      <c r="L224" s="238"/>
      <c r="M224" s="238"/>
      <c r="N224" s="238"/>
      <c r="O224" s="238"/>
      <c r="P224" s="238"/>
      <c r="Q224" s="238"/>
      <c r="R224" s="238"/>
      <c r="S224" s="238"/>
      <c r="T224" s="238"/>
      <c r="U224" s="238"/>
      <c r="V224" s="238"/>
    </row>
    <row r="225" spans="1:22" ht="16.5">
      <c r="A225" s="260"/>
      <c r="B225" s="238"/>
      <c r="C225" s="238"/>
      <c r="D225" s="238"/>
      <c r="E225" s="238"/>
      <c r="F225" s="238"/>
      <c r="G225" s="238"/>
      <c r="H225" s="238"/>
      <c r="I225" s="238"/>
      <c r="J225" s="238"/>
      <c r="K225" s="238"/>
      <c r="L225" s="238"/>
      <c r="M225" s="238"/>
      <c r="N225" s="238"/>
      <c r="O225" s="238"/>
      <c r="P225" s="238"/>
      <c r="Q225" s="238"/>
      <c r="R225" s="238"/>
      <c r="S225" s="238"/>
      <c r="T225" s="238"/>
      <c r="U225" s="238"/>
      <c r="V225" s="238"/>
    </row>
    <row r="226" spans="1:22" ht="16.5">
      <c r="A226" s="260"/>
      <c r="B226" s="238"/>
      <c r="C226" s="238"/>
      <c r="D226" s="238"/>
      <c r="E226" s="238"/>
      <c r="F226" s="238"/>
      <c r="G226" s="238"/>
      <c r="H226" s="238"/>
      <c r="I226" s="238"/>
      <c r="J226" s="238"/>
      <c r="K226" s="238"/>
      <c r="L226" s="238"/>
      <c r="M226" s="238"/>
      <c r="N226" s="238"/>
      <c r="O226" s="238"/>
      <c r="P226" s="238"/>
      <c r="Q226" s="238"/>
      <c r="R226" s="238"/>
      <c r="S226" s="238"/>
      <c r="T226" s="238"/>
      <c r="U226" s="238"/>
      <c r="V226" s="238"/>
    </row>
    <row r="227" spans="1:22" ht="16.5">
      <c r="A227" s="260"/>
      <c r="B227" s="238"/>
      <c r="C227" s="238"/>
      <c r="D227" s="238"/>
      <c r="E227" s="238"/>
      <c r="F227" s="238"/>
      <c r="G227" s="238"/>
      <c r="H227" s="238"/>
      <c r="I227" s="238"/>
      <c r="J227" s="238"/>
      <c r="K227" s="238"/>
      <c r="L227" s="238"/>
      <c r="M227" s="238"/>
      <c r="N227" s="238"/>
      <c r="O227" s="238"/>
      <c r="P227" s="238"/>
      <c r="Q227" s="238"/>
      <c r="R227" s="238"/>
      <c r="S227" s="238"/>
      <c r="T227" s="238"/>
      <c r="U227" s="238"/>
      <c r="V227" s="238"/>
    </row>
    <row r="228" spans="1:22" ht="16.5">
      <c r="A228" s="260"/>
      <c r="B228" s="238"/>
      <c r="C228" s="238"/>
      <c r="D228" s="238"/>
      <c r="E228" s="238"/>
      <c r="F228" s="238"/>
      <c r="G228" s="238"/>
      <c r="H228" s="238"/>
      <c r="I228" s="238"/>
      <c r="J228" s="238"/>
      <c r="K228" s="238"/>
      <c r="L228" s="238"/>
      <c r="M228" s="238"/>
      <c r="N228" s="238"/>
      <c r="O228" s="238"/>
      <c r="P228" s="238"/>
      <c r="Q228" s="238"/>
      <c r="R228" s="238"/>
      <c r="S228" s="238"/>
      <c r="T228" s="238"/>
      <c r="U228" s="238"/>
      <c r="V228" s="238"/>
    </row>
    <row r="229" spans="1:22" ht="16.5">
      <c r="A229" s="260"/>
      <c r="B229" s="238"/>
      <c r="C229" s="238"/>
      <c r="D229" s="238"/>
      <c r="E229" s="238"/>
      <c r="F229" s="238"/>
      <c r="G229" s="238"/>
      <c r="H229" s="238"/>
      <c r="I229" s="238"/>
      <c r="J229" s="238"/>
      <c r="K229" s="238"/>
      <c r="L229" s="238"/>
      <c r="M229" s="238"/>
      <c r="N229" s="238"/>
      <c r="O229" s="238"/>
      <c r="P229" s="238"/>
      <c r="Q229" s="238"/>
      <c r="R229" s="238"/>
      <c r="S229" s="238"/>
      <c r="T229" s="238"/>
      <c r="U229" s="238"/>
      <c r="V229" s="238"/>
    </row>
    <row r="230" spans="1:22" ht="16.5">
      <c r="A230" s="260"/>
      <c r="B230" s="238"/>
      <c r="C230" s="238"/>
      <c r="D230" s="238"/>
      <c r="E230" s="238"/>
      <c r="F230" s="238"/>
      <c r="G230" s="238"/>
      <c r="H230" s="238"/>
      <c r="I230" s="238"/>
      <c r="J230" s="238"/>
      <c r="K230" s="238"/>
      <c r="L230" s="238"/>
      <c r="M230" s="238"/>
      <c r="N230" s="238"/>
      <c r="O230" s="238"/>
      <c r="P230" s="238"/>
      <c r="Q230" s="238"/>
      <c r="R230" s="238"/>
      <c r="S230" s="238"/>
      <c r="T230" s="238"/>
      <c r="U230" s="238"/>
      <c r="V230" s="238"/>
    </row>
    <row r="231" spans="1:22" ht="16.5">
      <c r="A231" s="260"/>
      <c r="B231" s="238"/>
      <c r="C231" s="238"/>
      <c r="D231" s="238"/>
      <c r="E231" s="238"/>
      <c r="F231" s="238"/>
      <c r="G231" s="238"/>
      <c r="H231" s="238"/>
      <c r="I231" s="238"/>
      <c r="J231" s="238"/>
      <c r="K231" s="238"/>
      <c r="L231" s="238"/>
      <c r="M231" s="238"/>
      <c r="N231" s="238"/>
      <c r="O231" s="238"/>
      <c r="P231" s="238"/>
      <c r="Q231" s="238"/>
      <c r="R231" s="238"/>
      <c r="S231" s="238"/>
      <c r="T231" s="238"/>
      <c r="U231" s="238"/>
      <c r="V231" s="238"/>
    </row>
    <row r="232" spans="1:22" ht="16.5">
      <c r="A232" s="260"/>
      <c r="B232" s="238"/>
      <c r="C232" s="238"/>
      <c r="D232" s="238"/>
      <c r="E232" s="238"/>
      <c r="F232" s="238"/>
      <c r="G232" s="238"/>
      <c r="H232" s="238"/>
      <c r="I232" s="238"/>
      <c r="J232" s="238"/>
      <c r="K232" s="238"/>
      <c r="L232" s="238"/>
      <c r="M232" s="238"/>
      <c r="N232" s="238"/>
      <c r="O232" s="238"/>
      <c r="P232" s="238"/>
      <c r="Q232" s="238"/>
      <c r="R232" s="238"/>
      <c r="S232" s="238"/>
      <c r="T232" s="238"/>
      <c r="U232" s="238"/>
      <c r="V232" s="238"/>
    </row>
    <row r="233" spans="1:22" ht="16.5">
      <c r="A233" s="260"/>
      <c r="B233" s="238"/>
      <c r="C233" s="238"/>
      <c r="D233" s="238"/>
      <c r="E233" s="238"/>
      <c r="F233" s="238"/>
      <c r="G233" s="238"/>
      <c r="H233" s="238"/>
      <c r="I233" s="238"/>
      <c r="J233" s="238"/>
      <c r="K233" s="238"/>
      <c r="L233" s="238"/>
      <c r="M233" s="238"/>
      <c r="N233" s="238"/>
      <c r="O233" s="238"/>
      <c r="P233" s="238"/>
      <c r="Q233" s="238"/>
      <c r="R233" s="238"/>
      <c r="S233" s="238"/>
      <c r="T233" s="238"/>
      <c r="U233" s="238"/>
      <c r="V233" s="238"/>
    </row>
    <row r="234" spans="1:22" ht="16.5">
      <c r="A234" s="260"/>
      <c r="B234" s="238"/>
      <c r="C234" s="238"/>
      <c r="D234" s="238"/>
      <c r="E234" s="238"/>
      <c r="F234" s="238"/>
      <c r="G234" s="238"/>
      <c r="H234" s="238"/>
      <c r="I234" s="238"/>
      <c r="J234" s="238"/>
      <c r="K234" s="238"/>
      <c r="L234" s="238"/>
      <c r="M234" s="238"/>
      <c r="N234" s="238"/>
      <c r="O234" s="238"/>
      <c r="P234" s="238"/>
      <c r="Q234" s="238"/>
      <c r="R234" s="238"/>
      <c r="S234" s="238"/>
      <c r="T234" s="238"/>
      <c r="U234" s="238"/>
      <c r="V234" s="238"/>
    </row>
    <row r="235" spans="1:22" ht="16.5">
      <c r="A235" s="260"/>
      <c r="B235" s="238"/>
      <c r="C235" s="238"/>
      <c r="D235" s="238"/>
      <c r="E235" s="238"/>
      <c r="F235" s="238"/>
      <c r="G235" s="238"/>
      <c r="H235" s="238"/>
      <c r="I235" s="238"/>
      <c r="J235" s="238"/>
      <c r="K235" s="238"/>
      <c r="L235" s="238"/>
      <c r="M235" s="238"/>
      <c r="N235" s="238"/>
      <c r="O235" s="238"/>
      <c r="P235" s="238"/>
      <c r="Q235" s="238"/>
      <c r="R235" s="238"/>
      <c r="S235" s="238"/>
      <c r="T235" s="238"/>
      <c r="U235" s="238"/>
      <c r="V235" s="238"/>
    </row>
    <row r="236" spans="1:22" ht="16.5">
      <c r="A236" s="260"/>
      <c r="B236" s="238"/>
      <c r="C236" s="238"/>
      <c r="D236" s="238"/>
      <c r="E236" s="238"/>
      <c r="F236" s="238"/>
      <c r="G236" s="238"/>
      <c r="H236" s="238"/>
      <c r="I236" s="238"/>
      <c r="J236" s="238"/>
      <c r="K236" s="238"/>
      <c r="L236" s="238"/>
      <c r="M236" s="238"/>
      <c r="N236" s="238"/>
      <c r="O236" s="238"/>
      <c r="P236" s="238"/>
      <c r="Q236" s="238"/>
      <c r="R236" s="238"/>
      <c r="S236" s="238"/>
      <c r="T236" s="238"/>
      <c r="U236" s="238"/>
      <c r="V236" s="238"/>
    </row>
    <row r="237" spans="1:22" ht="16.5">
      <c r="A237" s="260"/>
      <c r="B237" s="238"/>
      <c r="C237" s="238"/>
      <c r="D237" s="238"/>
      <c r="E237" s="238"/>
      <c r="F237" s="238"/>
      <c r="G237" s="238"/>
      <c r="H237" s="238"/>
      <c r="I237" s="238"/>
      <c r="J237" s="238"/>
      <c r="K237" s="238"/>
      <c r="L237" s="238"/>
      <c r="M237" s="238"/>
      <c r="N237" s="238"/>
      <c r="O237" s="238"/>
      <c r="P237" s="238"/>
      <c r="Q237" s="238"/>
      <c r="R237" s="238"/>
      <c r="S237" s="238"/>
      <c r="T237" s="238"/>
      <c r="U237" s="238"/>
      <c r="V237" s="238"/>
    </row>
    <row r="238" spans="1:22" ht="16.5">
      <c r="A238" s="260"/>
      <c r="B238" s="238"/>
      <c r="C238" s="238"/>
      <c r="D238" s="238"/>
      <c r="E238" s="238"/>
      <c r="F238" s="238"/>
      <c r="G238" s="238"/>
      <c r="H238" s="238"/>
      <c r="I238" s="238"/>
      <c r="J238" s="238"/>
      <c r="K238" s="238"/>
      <c r="L238" s="238"/>
      <c r="M238" s="238"/>
      <c r="N238" s="238"/>
      <c r="O238" s="238"/>
      <c r="P238" s="238"/>
      <c r="Q238" s="238"/>
      <c r="R238" s="238"/>
      <c r="S238" s="238"/>
      <c r="T238" s="238"/>
      <c r="U238" s="238"/>
      <c r="V238" s="238"/>
    </row>
    <row r="239" spans="1:22" ht="16.5">
      <c r="A239" s="260"/>
      <c r="B239" s="238"/>
      <c r="C239" s="238"/>
      <c r="D239" s="238"/>
      <c r="E239" s="238"/>
      <c r="F239" s="238"/>
      <c r="G239" s="238"/>
      <c r="H239" s="238"/>
      <c r="I239" s="238"/>
      <c r="J239" s="238"/>
      <c r="K239" s="238"/>
      <c r="L239" s="238"/>
      <c r="M239" s="238"/>
      <c r="N239" s="238"/>
      <c r="O239" s="238"/>
      <c r="P239" s="238"/>
      <c r="Q239" s="238"/>
      <c r="R239" s="238"/>
      <c r="S239" s="238"/>
      <c r="T239" s="238"/>
      <c r="U239" s="238"/>
      <c r="V239" s="238"/>
    </row>
    <row r="240" spans="1:22" ht="16.5">
      <c r="A240" s="260"/>
      <c r="B240" s="238"/>
      <c r="C240" s="238"/>
      <c r="D240" s="238"/>
      <c r="E240" s="238"/>
      <c r="F240" s="238"/>
      <c r="G240" s="238"/>
      <c r="H240" s="238"/>
      <c r="I240" s="238"/>
      <c r="J240" s="238"/>
      <c r="K240" s="238"/>
      <c r="L240" s="238"/>
      <c r="M240" s="238"/>
      <c r="N240" s="238"/>
      <c r="O240" s="238"/>
      <c r="P240" s="238"/>
      <c r="Q240" s="238"/>
      <c r="R240" s="238"/>
      <c r="S240" s="238"/>
      <c r="T240" s="238"/>
      <c r="U240" s="238"/>
      <c r="V240" s="238"/>
    </row>
    <row r="241" spans="1:22" ht="16.5">
      <c r="A241" s="260"/>
      <c r="B241" s="238"/>
      <c r="C241" s="238"/>
      <c r="D241" s="238"/>
      <c r="E241" s="238"/>
      <c r="F241" s="238"/>
      <c r="G241" s="238"/>
      <c r="H241" s="238"/>
      <c r="I241" s="238"/>
      <c r="J241" s="238"/>
      <c r="K241" s="238"/>
      <c r="L241" s="238"/>
      <c r="M241" s="238"/>
      <c r="N241" s="238"/>
      <c r="O241" s="238"/>
      <c r="P241" s="238"/>
      <c r="Q241" s="238"/>
      <c r="R241" s="238"/>
      <c r="S241" s="238"/>
      <c r="T241" s="238"/>
      <c r="U241" s="238"/>
      <c r="V241" s="238"/>
    </row>
    <row r="242" spans="1:22" ht="16.5">
      <c r="A242" s="260"/>
      <c r="B242" s="238"/>
      <c r="C242" s="238"/>
      <c r="D242" s="238"/>
      <c r="E242" s="238"/>
      <c r="F242" s="238"/>
      <c r="G242" s="238"/>
      <c r="H242" s="238"/>
      <c r="I242" s="238"/>
      <c r="J242" s="238"/>
      <c r="K242" s="238"/>
      <c r="L242" s="238"/>
      <c r="M242" s="238"/>
      <c r="N242" s="238"/>
      <c r="O242" s="238"/>
      <c r="P242" s="238"/>
      <c r="Q242" s="238"/>
      <c r="R242" s="238"/>
      <c r="S242" s="238"/>
      <c r="T242" s="238"/>
      <c r="U242" s="238"/>
      <c r="V242" s="238"/>
    </row>
    <row r="243" spans="1:22" ht="16.5">
      <c r="A243" s="260"/>
      <c r="B243" s="238"/>
      <c r="C243" s="238"/>
      <c r="D243" s="238"/>
      <c r="E243" s="238"/>
      <c r="F243" s="238"/>
      <c r="G243" s="238"/>
      <c r="H243" s="238"/>
      <c r="I243" s="238"/>
      <c r="J243" s="238"/>
      <c r="K243" s="238"/>
      <c r="L243" s="238"/>
      <c r="M243" s="238"/>
      <c r="N243" s="238"/>
      <c r="O243" s="238"/>
      <c r="P243" s="238"/>
      <c r="Q243" s="238"/>
      <c r="R243" s="238"/>
      <c r="S243" s="238"/>
      <c r="T243" s="238"/>
      <c r="U243" s="238"/>
      <c r="V243" s="238"/>
    </row>
    <row r="244" spans="1:22" ht="16.5">
      <c r="A244" s="260"/>
      <c r="B244" s="238"/>
      <c r="C244" s="238"/>
      <c r="D244" s="238"/>
      <c r="E244" s="238"/>
      <c r="F244" s="238"/>
      <c r="G244" s="238"/>
      <c r="H244" s="238"/>
      <c r="I244" s="238"/>
      <c r="J244" s="238"/>
      <c r="K244" s="238"/>
      <c r="L244" s="238"/>
      <c r="M244" s="238"/>
      <c r="N244" s="238"/>
      <c r="O244" s="238"/>
      <c r="P244" s="238"/>
      <c r="Q244" s="238"/>
      <c r="R244" s="238"/>
      <c r="S244" s="238"/>
      <c r="T244" s="238"/>
      <c r="U244" s="238"/>
      <c r="V244" s="238"/>
    </row>
    <row r="245" spans="1:22" ht="16.5">
      <c r="A245" s="260"/>
      <c r="B245" s="238"/>
      <c r="C245" s="238"/>
      <c r="D245" s="238"/>
      <c r="E245" s="238"/>
      <c r="F245" s="238"/>
      <c r="G245" s="238"/>
      <c r="H245" s="238"/>
      <c r="I245" s="238"/>
      <c r="J245" s="238"/>
      <c r="K245" s="238"/>
      <c r="L245" s="238"/>
      <c r="M245" s="238"/>
      <c r="N245" s="238"/>
      <c r="O245" s="238"/>
      <c r="P245" s="238"/>
      <c r="Q245" s="238"/>
      <c r="R245" s="238"/>
      <c r="S245" s="238"/>
      <c r="T245" s="238"/>
      <c r="U245" s="238"/>
      <c r="V245" s="238"/>
    </row>
    <row r="246" spans="1:22" ht="16.5">
      <c r="A246" s="260"/>
      <c r="B246" s="238"/>
      <c r="C246" s="238"/>
      <c r="D246" s="238"/>
      <c r="E246" s="238"/>
      <c r="F246" s="238"/>
      <c r="G246" s="238"/>
      <c r="H246" s="238"/>
      <c r="I246" s="238"/>
      <c r="J246" s="238"/>
      <c r="K246" s="238"/>
      <c r="L246" s="238"/>
      <c r="M246" s="238"/>
      <c r="N246" s="238"/>
      <c r="O246" s="238"/>
      <c r="P246" s="238"/>
      <c r="Q246" s="238"/>
      <c r="R246" s="238"/>
      <c r="S246" s="238"/>
      <c r="T246" s="238"/>
      <c r="U246" s="238"/>
      <c r="V246" s="238"/>
    </row>
    <row r="247" spans="1:22" ht="16.5">
      <c r="A247" s="260"/>
      <c r="B247" s="238"/>
      <c r="C247" s="238"/>
      <c r="D247" s="238"/>
      <c r="E247" s="238"/>
      <c r="F247" s="238"/>
      <c r="G247" s="238"/>
      <c r="H247" s="238"/>
      <c r="I247" s="238"/>
      <c r="J247" s="238"/>
      <c r="K247" s="238"/>
      <c r="L247" s="238"/>
      <c r="M247" s="238"/>
      <c r="N247" s="238"/>
      <c r="O247" s="238"/>
      <c r="P247" s="238"/>
      <c r="Q247" s="238"/>
      <c r="R247" s="238"/>
      <c r="S247" s="238"/>
      <c r="T247" s="238"/>
      <c r="U247" s="238"/>
      <c r="V247" s="238"/>
    </row>
    <row r="248" spans="1:22" ht="16.5">
      <c r="A248" s="260"/>
      <c r="B248" s="238"/>
      <c r="C248" s="238"/>
      <c r="D248" s="238"/>
      <c r="E248" s="238"/>
      <c r="F248" s="238"/>
      <c r="G248" s="238"/>
      <c r="H248" s="238"/>
      <c r="I248" s="238"/>
      <c r="J248" s="238"/>
      <c r="K248" s="238"/>
      <c r="L248" s="238"/>
      <c r="M248" s="238"/>
      <c r="N248" s="238"/>
      <c r="O248" s="238"/>
      <c r="P248" s="238"/>
      <c r="Q248" s="238"/>
      <c r="R248" s="238"/>
      <c r="S248" s="238"/>
      <c r="T248" s="238"/>
      <c r="U248" s="238"/>
      <c r="V248" s="238"/>
    </row>
    <row r="249" spans="1:22" ht="16.5">
      <c r="A249" s="260"/>
      <c r="B249" s="238"/>
      <c r="C249" s="238"/>
      <c r="D249" s="238"/>
      <c r="E249" s="238"/>
      <c r="F249" s="238"/>
      <c r="G249" s="238"/>
      <c r="H249" s="238"/>
      <c r="I249" s="238"/>
      <c r="J249" s="238"/>
      <c r="K249" s="238"/>
      <c r="L249" s="238"/>
      <c r="M249" s="238"/>
      <c r="N249" s="238"/>
      <c r="O249" s="238"/>
      <c r="P249" s="238"/>
      <c r="Q249" s="238"/>
      <c r="R249" s="238"/>
      <c r="S249" s="238"/>
      <c r="T249" s="238"/>
      <c r="U249" s="238"/>
      <c r="V249" s="238"/>
    </row>
    <row r="250" spans="1:22" ht="16.5">
      <c r="A250" s="260"/>
      <c r="B250" s="238"/>
      <c r="C250" s="238"/>
      <c r="D250" s="238"/>
      <c r="E250" s="238"/>
      <c r="F250" s="238"/>
      <c r="G250" s="238"/>
      <c r="H250" s="238"/>
      <c r="I250" s="238"/>
      <c r="J250" s="238"/>
      <c r="K250" s="238"/>
      <c r="L250" s="238"/>
      <c r="M250" s="238"/>
      <c r="N250" s="238"/>
      <c r="O250" s="238"/>
      <c r="P250" s="238"/>
      <c r="Q250" s="238"/>
      <c r="R250" s="238"/>
      <c r="S250" s="238"/>
      <c r="T250" s="238"/>
      <c r="U250" s="238"/>
      <c r="V250" s="238"/>
    </row>
    <row r="251" spans="1:22" ht="16.5">
      <c r="A251" s="260"/>
      <c r="B251" s="238"/>
      <c r="C251" s="238"/>
      <c r="D251" s="238"/>
      <c r="E251" s="238"/>
      <c r="F251" s="238"/>
      <c r="G251" s="238"/>
      <c r="H251" s="238"/>
      <c r="I251" s="238"/>
      <c r="J251" s="238"/>
      <c r="K251" s="238"/>
      <c r="L251" s="238"/>
      <c r="M251" s="238"/>
      <c r="N251" s="238"/>
      <c r="O251" s="238"/>
      <c r="P251" s="238"/>
      <c r="Q251" s="238"/>
      <c r="R251" s="238"/>
      <c r="S251" s="238"/>
      <c r="T251" s="238"/>
      <c r="U251" s="238"/>
      <c r="V251" s="238"/>
    </row>
    <row r="252" spans="1:22" ht="16.5">
      <c r="A252" s="260"/>
      <c r="B252" s="238"/>
      <c r="C252" s="238"/>
      <c r="D252" s="238"/>
      <c r="E252" s="238"/>
      <c r="F252" s="238"/>
      <c r="G252" s="238"/>
      <c r="H252" s="238"/>
      <c r="I252" s="238"/>
      <c r="J252" s="238"/>
      <c r="K252" s="238"/>
      <c r="L252" s="238"/>
      <c r="M252" s="238"/>
      <c r="N252" s="238"/>
      <c r="O252" s="238"/>
      <c r="P252" s="238"/>
      <c r="Q252" s="238"/>
      <c r="R252" s="238"/>
      <c r="S252" s="238"/>
      <c r="T252" s="238"/>
      <c r="U252" s="238"/>
      <c r="V252" s="238"/>
    </row>
    <row r="253" spans="1:22" ht="16.5">
      <c r="A253" s="260"/>
      <c r="B253" s="238"/>
      <c r="C253" s="238"/>
      <c r="D253" s="238"/>
      <c r="E253" s="238"/>
      <c r="F253" s="238"/>
      <c r="G253" s="238"/>
      <c r="H253" s="238"/>
      <c r="I253" s="238"/>
      <c r="J253" s="238"/>
      <c r="K253" s="238"/>
      <c r="L253" s="238"/>
      <c r="M253" s="238"/>
      <c r="N253" s="238"/>
      <c r="O253" s="238"/>
      <c r="P253" s="238"/>
      <c r="Q253" s="238"/>
      <c r="R253" s="238"/>
      <c r="S253" s="238"/>
      <c r="T253" s="238"/>
      <c r="U253" s="238"/>
      <c r="V253" s="238"/>
    </row>
    <row r="254" spans="1:22" ht="16.5">
      <c r="A254" s="260"/>
      <c r="B254" s="238"/>
      <c r="C254" s="238"/>
      <c r="D254" s="238"/>
      <c r="E254" s="238"/>
      <c r="F254" s="238"/>
      <c r="G254" s="238"/>
      <c r="H254" s="238"/>
      <c r="I254" s="238"/>
      <c r="J254" s="238"/>
      <c r="K254" s="238"/>
      <c r="L254" s="238"/>
      <c r="M254" s="238"/>
      <c r="N254" s="238"/>
      <c r="O254" s="238"/>
      <c r="P254" s="238"/>
      <c r="Q254" s="238"/>
      <c r="R254" s="238"/>
      <c r="S254" s="238"/>
      <c r="T254" s="238"/>
      <c r="U254" s="238"/>
      <c r="V254" s="238"/>
    </row>
    <row r="255" spans="1:22" ht="16.5">
      <c r="A255" s="260"/>
      <c r="B255" s="238"/>
      <c r="C255" s="238"/>
      <c r="D255" s="238"/>
      <c r="E255" s="238"/>
      <c r="F255" s="238"/>
      <c r="G255" s="238"/>
      <c r="H255" s="238"/>
      <c r="I255" s="238"/>
      <c r="J255" s="238"/>
      <c r="K255" s="238"/>
      <c r="L255" s="238"/>
      <c r="M255" s="238"/>
      <c r="N255" s="238"/>
      <c r="O255" s="238"/>
      <c r="P255" s="238"/>
      <c r="Q255" s="238"/>
      <c r="R255" s="238"/>
      <c r="S255" s="238"/>
      <c r="T255" s="238"/>
      <c r="U255" s="238"/>
      <c r="V255" s="238"/>
    </row>
    <row r="256" spans="1:22" ht="16.5">
      <c r="A256" s="260"/>
      <c r="B256" s="238"/>
      <c r="C256" s="238"/>
      <c r="D256" s="238"/>
      <c r="E256" s="238"/>
      <c r="F256" s="238"/>
      <c r="G256" s="238"/>
      <c r="H256" s="238"/>
      <c r="I256" s="238"/>
      <c r="J256" s="238"/>
      <c r="K256" s="238"/>
      <c r="L256" s="238"/>
      <c r="M256" s="238"/>
      <c r="N256" s="238"/>
      <c r="O256" s="238"/>
      <c r="P256" s="238"/>
      <c r="Q256" s="238"/>
      <c r="R256" s="238"/>
      <c r="S256" s="238"/>
      <c r="T256" s="238"/>
      <c r="U256" s="238"/>
      <c r="V256" s="238"/>
    </row>
    <row r="257" spans="1:22" ht="16.5">
      <c r="A257" s="260"/>
      <c r="B257" s="238"/>
      <c r="C257" s="238"/>
      <c r="D257" s="238"/>
      <c r="E257" s="238"/>
      <c r="F257" s="238"/>
      <c r="G257" s="238"/>
      <c r="H257" s="238"/>
      <c r="I257" s="238"/>
      <c r="J257" s="238"/>
      <c r="K257" s="238"/>
      <c r="L257" s="238"/>
      <c r="M257" s="238"/>
      <c r="N257" s="238"/>
      <c r="O257" s="238"/>
      <c r="P257" s="238"/>
      <c r="Q257" s="238"/>
      <c r="R257" s="238"/>
      <c r="S257" s="238"/>
      <c r="T257" s="238"/>
      <c r="U257" s="238"/>
      <c r="V257" s="238"/>
    </row>
    <row r="258" spans="1:22" ht="16.5">
      <c r="A258" s="260"/>
      <c r="B258" s="238"/>
      <c r="C258" s="238"/>
      <c r="D258" s="238"/>
      <c r="E258" s="238"/>
      <c r="F258" s="238"/>
      <c r="G258" s="238"/>
      <c r="H258" s="238"/>
      <c r="I258" s="238"/>
      <c r="J258" s="238"/>
      <c r="K258" s="238"/>
      <c r="L258" s="238"/>
      <c r="M258" s="238"/>
      <c r="N258" s="238"/>
      <c r="O258" s="238"/>
      <c r="P258" s="238"/>
      <c r="Q258" s="238"/>
      <c r="R258" s="238"/>
      <c r="S258" s="238"/>
      <c r="T258" s="238"/>
      <c r="U258" s="238"/>
      <c r="V258" s="238"/>
    </row>
    <row r="259" spans="1:22" ht="16.5">
      <c r="A259" s="260"/>
      <c r="B259" s="238"/>
      <c r="C259" s="238"/>
      <c r="D259" s="238"/>
      <c r="E259" s="238"/>
      <c r="F259" s="238"/>
      <c r="G259" s="238"/>
      <c r="H259" s="238"/>
      <c r="I259" s="238"/>
      <c r="J259" s="238"/>
      <c r="K259" s="238"/>
      <c r="L259" s="238"/>
      <c r="M259" s="238"/>
      <c r="N259" s="238"/>
      <c r="O259" s="238"/>
      <c r="P259" s="238"/>
      <c r="Q259" s="238"/>
      <c r="R259" s="238"/>
      <c r="S259" s="238"/>
      <c r="T259" s="238"/>
      <c r="U259" s="238"/>
      <c r="V259" s="238"/>
    </row>
    <row r="260" spans="1:22" ht="16.5">
      <c r="A260" s="260"/>
      <c r="B260" s="238"/>
      <c r="C260" s="238"/>
      <c r="D260" s="238"/>
      <c r="E260" s="238"/>
      <c r="F260" s="238"/>
      <c r="G260" s="238"/>
      <c r="H260" s="238"/>
      <c r="I260" s="238"/>
      <c r="J260" s="238"/>
      <c r="K260" s="238"/>
      <c r="L260" s="238"/>
      <c r="M260" s="238"/>
      <c r="N260" s="238"/>
      <c r="O260" s="238"/>
      <c r="P260" s="238"/>
      <c r="Q260" s="238"/>
      <c r="R260" s="238"/>
      <c r="S260" s="238"/>
      <c r="T260" s="238"/>
      <c r="U260" s="238"/>
      <c r="V260" s="238"/>
    </row>
    <row r="261" spans="1:22" ht="16.5">
      <c r="A261" s="260"/>
      <c r="B261" s="238"/>
      <c r="C261" s="238"/>
      <c r="D261" s="238"/>
      <c r="E261" s="238"/>
      <c r="F261" s="238"/>
      <c r="G261" s="238"/>
      <c r="H261" s="238"/>
      <c r="I261" s="238"/>
      <c r="J261" s="238"/>
      <c r="K261" s="238"/>
      <c r="L261" s="238"/>
      <c r="M261" s="238"/>
      <c r="N261" s="238"/>
      <c r="O261" s="238"/>
      <c r="P261" s="238"/>
      <c r="Q261" s="238"/>
      <c r="R261" s="238"/>
      <c r="S261" s="238"/>
      <c r="T261" s="238"/>
      <c r="U261" s="238"/>
      <c r="V261" s="238"/>
    </row>
    <row r="262" spans="1:22" ht="16.5">
      <c r="A262" s="260"/>
      <c r="B262" s="238"/>
      <c r="C262" s="238"/>
      <c r="D262" s="238"/>
      <c r="E262" s="238"/>
      <c r="F262" s="238"/>
      <c r="G262" s="238"/>
      <c r="H262" s="238"/>
      <c r="I262" s="238"/>
      <c r="J262" s="238"/>
      <c r="K262" s="238"/>
      <c r="L262" s="238"/>
      <c r="M262" s="238"/>
      <c r="N262" s="238"/>
      <c r="O262" s="238"/>
      <c r="P262" s="238"/>
      <c r="Q262" s="238"/>
      <c r="R262" s="238"/>
      <c r="S262" s="238"/>
      <c r="T262" s="238"/>
      <c r="U262" s="238"/>
      <c r="V262" s="238"/>
    </row>
    <row r="263" spans="1:22" ht="16.5">
      <c r="A263" s="260"/>
      <c r="B263" s="238"/>
      <c r="C263" s="238"/>
      <c r="D263" s="238"/>
      <c r="E263" s="238"/>
      <c r="F263" s="238"/>
      <c r="G263" s="238"/>
      <c r="H263" s="238"/>
      <c r="I263" s="238"/>
      <c r="J263" s="238"/>
      <c r="K263" s="238"/>
      <c r="L263" s="238"/>
      <c r="M263" s="238"/>
      <c r="N263" s="238"/>
      <c r="O263" s="238"/>
      <c r="P263" s="238"/>
      <c r="Q263" s="238"/>
      <c r="R263" s="238"/>
      <c r="S263" s="238"/>
      <c r="T263" s="238"/>
      <c r="U263" s="238"/>
      <c r="V263" s="238"/>
    </row>
    <row r="264" spans="1:22" ht="16.5">
      <c r="A264" s="260"/>
      <c r="B264" s="238"/>
      <c r="C264" s="238"/>
      <c r="D264" s="238"/>
      <c r="E264" s="238"/>
      <c r="F264" s="238"/>
      <c r="G264" s="238"/>
      <c r="H264" s="238"/>
      <c r="I264" s="238"/>
      <c r="J264" s="238"/>
      <c r="K264" s="238"/>
      <c r="L264" s="238"/>
      <c r="M264" s="238"/>
      <c r="N264" s="238"/>
      <c r="O264" s="238"/>
      <c r="P264" s="238"/>
      <c r="Q264" s="238"/>
      <c r="R264" s="238"/>
      <c r="S264" s="238"/>
      <c r="T264" s="238"/>
      <c r="U264" s="238"/>
      <c r="V264" s="238"/>
    </row>
    <row r="265" spans="1:22" ht="16.5">
      <c r="A265" s="260"/>
      <c r="B265" s="238"/>
      <c r="C265" s="238"/>
      <c r="D265" s="238"/>
      <c r="E265" s="238"/>
      <c r="F265" s="238"/>
      <c r="G265" s="238"/>
      <c r="H265" s="238"/>
      <c r="I265" s="238"/>
      <c r="J265" s="238"/>
      <c r="K265" s="238"/>
      <c r="L265" s="238"/>
      <c r="M265" s="238"/>
      <c r="N265" s="238"/>
      <c r="O265" s="238"/>
      <c r="P265" s="238"/>
      <c r="Q265" s="238"/>
      <c r="R265" s="238"/>
      <c r="S265" s="238"/>
      <c r="T265" s="238"/>
      <c r="U265" s="238"/>
      <c r="V265" s="238"/>
    </row>
    <row r="266" spans="1:22" ht="16.5">
      <c r="A266" s="260"/>
      <c r="B266" s="238"/>
      <c r="C266" s="238"/>
      <c r="D266" s="238"/>
      <c r="E266" s="238"/>
      <c r="F266" s="238"/>
      <c r="G266" s="238"/>
      <c r="H266" s="238"/>
      <c r="I266" s="238"/>
      <c r="J266" s="238"/>
      <c r="K266" s="238"/>
      <c r="L266" s="238"/>
      <c r="M266" s="238"/>
      <c r="N266" s="238"/>
      <c r="O266" s="238"/>
      <c r="P266" s="238"/>
      <c r="Q266" s="238"/>
      <c r="R266" s="238"/>
      <c r="S266" s="238"/>
      <c r="T266" s="238"/>
      <c r="U266" s="238"/>
      <c r="V266" s="238"/>
    </row>
    <row r="267" spans="1:22" ht="16.5">
      <c r="A267" s="260"/>
      <c r="B267" s="238"/>
      <c r="C267" s="238"/>
      <c r="D267" s="238"/>
      <c r="E267" s="238"/>
      <c r="F267" s="238"/>
      <c r="G267" s="238"/>
      <c r="H267" s="238"/>
      <c r="I267" s="238"/>
      <c r="J267" s="238"/>
      <c r="K267" s="238"/>
      <c r="L267" s="238"/>
      <c r="M267" s="238"/>
      <c r="N267" s="238"/>
      <c r="O267" s="238"/>
      <c r="P267" s="238"/>
      <c r="Q267" s="238"/>
      <c r="R267" s="238"/>
      <c r="S267" s="238"/>
      <c r="T267" s="238"/>
      <c r="U267" s="238"/>
      <c r="V267" s="238"/>
    </row>
    <row r="268" spans="1:22" ht="16.5">
      <c r="A268" s="260"/>
      <c r="B268" s="238"/>
      <c r="C268" s="238"/>
      <c r="D268" s="238"/>
      <c r="E268" s="238"/>
      <c r="F268" s="238"/>
      <c r="G268" s="238"/>
      <c r="H268" s="238"/>
      <c r="I268" s="238"/>
      <c r="J268" s="238"/>
      <c r="K268" s="238"/>
      <c r="L268" s="238"/>
      <c r="M268" s="238"/>
      <c r="N268" s="238"/>
      <c r="O268" s="238"/>
      <c r="P268" s="238"/>
      <c r="Q268" s="238"/>
      <c r="R268" s="238"/>
      <c r="S268" s="238"/>
      <c r="T268" s="238"/>
      <c r="U268" s="238"/>
      <c r="V268" s="238"/>
    </row>
    <row r="269" spans="1:22" ht="16.5">
      <c r="A269" s="260"/>
      <c r="B269" s="238"/>
      <c r="C269" s="238"/>
      <c r="D269" s="238"/>
      <c r="E269" s="238"/>
      <c r="F269" s="238"/>
      <c r="G269" s="238"/>
      <c r="H269" s="238"/>
      <c r="I269" s="238"/>
      <c r="J269" s="238"/>
      <c r="K269" s="238"/>
      <c r="L269" s="238"/>
      <c r="M269" s="238"/>
      <c r="N269" s="238"/>
      <c r="O269" s="238"/>
      <c r="P269" s="238"/>
      <c r="Q269" s="238"/>
      <c r="R269" s="238"/>
      <c r="S269" s="238"/>
      <c r="T269" s="238"/>
      <c r="U269" s="238"/>
      <c r="V269" s="238"/>
    </row>
    <row r="270" spans="1:22" ht="16.5">
      <c r="A270" s="260"/>
      <c r="B270" s="238"/>
      <c r="C270" s="238"/>
      <c r="D270" s="238"/>
      <c r="E270" s="238"/>
      <c r="F270" s="238"/>
      <c r="G270" s="238"/>
      <c r="H270" s="238"/>
      <c r="I270" s="238"/>
      <c r="J270" s="238"/>
      <c r="K270" s="238"/>
      <c r="L270" s="238"/>
      <c r="M270" s="238"/>
      <c r="N270" s="238"/>
      <c r="O270" s="238"/>
      <c r="P270" s="238"/>
      <c r="Q270" s="238"/>
      <c r="R270" s="238"/>
      <c r="S270" s="238"/>
      <c r="T270" s="238"/>
      <c r="U270" s="238"/>
      <c r="V270" s="238"/>
    </row>
    <row r="271" spans="1:22" ht="16.5">
      <c r="A271" s="260"/>
      <c r="B271" s="238"/>
      <c r="C271" s="238"/>
      <c r="D271" s="238"/>
      <c r="E271" s="238"/>
      <c r="F271" s="238"/>
      <c r="G271" s="238"/>
      <c r="H271" s="238"/>
      <c r="I271" s="238"/>
      <c r="J271" s="238"/>
      <c r="K271" s="238"/>
      <c r="L271" s="238"/>
      <c r="M271" s="238"/>
      <c r="N271" s="238"/>
      <c r="O271" s="238"/>
      <c r="P271" s="238"/>
      <c r="Q271" s="238"/>
      <c r="R271" s="238"/>
      <c r="S271" s="238"/>
      <c r="T271" s="238"/>
      <c r="U271" s="238"/>
      <c r="V271" s="238"/>
    </row>
    <row r="272" spans="1:22" ht="16.5">
      <c r="A272" s="260"/>
      <c r="B272" s="238"/>
      <c r="C272" s="238"/>
      <c r="D272" s="238"/>
      <c r="E272" s="238"/>
      <c r="F272" s="238"/>
      <c r="G272" s="238"/>
      <c r="H272" s="238"/>
      <c r="I272" s="238"/>
      <c r="J272" s="238"/>
      <c r="K272" s="238"/>
      <c r="L272" s="238"/>
      <c r="M272" s="238"/>
      <c r="N272" s="238"/>
      <c r="O272" s="238"/>
      <c r="P272" s="238"/>
      <c r="Q272" s="238"/>
      <c r="R272" s="238"/>
      <c r="S272" s="238"/>
      <c r="T272" s="238"/>
      <c r="U272" s="238"/>
      <c r="V272" s="238"/>
    </row>
    <row r="273" spans="1:22" ht="16.5">
      <c r="A273" s="260"/>
      <c r="B273" s="238"/>
      <c r="C273" s="238"/>
      <c r="D273" s="238"/>
      <c r="E273" s="238"/>
      <c r="F273" s="238"/>
      <c r="G273" s="238"/>
      <c r="H273" s="238"/>
      <c r="I273" s="238"/>
      <c r="J273" s="238"/>
      <c r="K273" s="238"/>
      <c r="L273" s="238"/>
      <c r="M273" s="238"/>
      <c r="N273" s="238"/>
      <c r="O273" s="238"/>
      <c r="P273" s="238"/>
      <c r="Q273" s="238"/>
      <c r="R273" s="238"/>
      <c r="S273" s="238"/>
      <c r="T273" s="238"/>
      <c r="U273" s="238"/>
      <c r="V273" s="238"/>
    </row>
    <row r="274" spans="1:22" ht="16.5">
      <c r="A274" s="260"/>
      <c r="B274" s="238"/>
      <c r="C274" s="238"/>
      <c r="D274" s="238"/>
      <c r="E274" s="238"/>
      <c r="F274" s="238"/>
      <c r="G274" s="238"/>
      <c r="H274" s="238"/>
      <c r="I274" s="238"/>
      <c r="J274" s="238"/>
      <c r="K274" s="238"/>
      <c r="L274" s="238"/>
      <c r="M274" s="238"/>
      <c r="N274" s="238"/>
      <c r="O274" s="238"/>
      <c r="P274" s="238"/>
      <c r="Q274" s="238"/>
      <c r="R274" s="238"/>
      <c r="S274" s="238"/>
      <c r="T274" s="238"/>
      <c r="U274" s="238"/>
      <c r="V274" s="238"/>
    </row>
    <row r="275" spans="1:22" ht="16.5">
      <c r="A275" s="260"/>
      <c r="B275" s="238"/>
      <c r="C275" s="238"/>
      <c r="D275" s="238"/>
      <c r="E275" s="238"/>
      <c r="F275" s="238"/>
      <c r="G275" s="238"/>
      <c r="H275" s="238"/>
      <c r="I275" s="238"/>
      <c r="J275" s="238"/>
      <c r="K275" s="238"/>
      <c r="L275" s="238"/>
      <c r="M275" s="238"/>
      <c r="N275" s="238"/>
      <c r="O275" s="238"/>
      <c r="P275" s="238"/>
      <c r="Q275" s="238"/>
      <c r="R275" s="238"/>
      <c r="S275" s="238"/>
      <c r="T275" s="238"/>
      <c r="U275" s="238"/>
      <c r="V275" s="238"/>
    </row>
    <row r="276" spans="1:22" ht="16.5">
      <c r="A276" s="260"/>
      <c r="B276" s="238"/>
      <c r="C276" s="238"/>
      <c r="D276" s="238"/>
      <c r="E276" s="238"/>
      <c r="F276" s="238"/>
      <c r="G276" s="238"/>
      <c r="H276" s="238"/>
      <c r="I276" s="238"/>
      <c r="J276" s="238"/>
      <c r="K276" s="238"/>
      <c r="L276" s="238"/>
      <c r="M276" s="238"/>
      <c r="N276" s="238"/>
      <c r="O276" s="238"/>
      <c r="P276" s="238"/>
      <c r="Q276" s="238"/>
      <c r="R276" s="238"/>
      <c r="S276" s="238"/>
      <c r="T276" s="238"/>
      <c r="U276" s="238"/>
      <c r="V276" s="238"/>
    </row>
    <row r="277" spans="1:22" ht="16.5">
      <c r="A277" s="260"/>
      <c r="B277" s="238"/>
      <c r="C277" s="238"/>
      <c r="D277" s="238"/>
      <c r="E277" s="238"/>
      <c r="F277" s="238"/>
      <c r="G277" s="238"/>
      <c r="H277" s="238"/>
      <c r="I277" s="238"/>
      <c r="J277" s="238"/>
      <c r="K277" s="238"/>
      <c r="L277" s="238"/>
      <c r="M277" s="238"/>
      <c r="N277" s="238"/>
      <c r="O277" s="238"/>
      <c r="P277" s="238"/>
      <c r="Q277" s="238"/>
      <c r="R277" s="238"/>
      <c r="S277" s="238"/>
      <c r="T277" s="238"/>
      <c r="U277" s="238"/>
      <c r="V277" s="238"/>
    </row>
    <row r="278" spans="1:22" ht="16.5">
      <c r="A278" s="260"/>
      <c r="B278" s="238"/>
      <c r="C278" s="238"/>
      <c r="D278" s="238"/>
      <c r="E278" s="238"/>
      <c r="F278" s="238"/>
      <c r="G278" s="238"/>
      <c r="H278" s="238"/>
      <c r="I278" s="238"/>
      <c r="J278" s="238"/>
      <c r="K278" s="238"/>
      <c r="L278" s="238"/>
      <c r="M278" s="238"/>
      <c r="N278" s="238"/>
      <c r="O278" s="238"/>
      <c r="P278" s="238"/>
      <c r="Q278" s="238"/>
      <c r="R278" s="238"/>
      <c r="S278" s="238"/>
      <c r="T278" s="238"/>
      <c r="U278" s="238"/>
      <c r="V278" s="238"/>
    </row>
    <row r="279" spans="1:22" ht="16.5">
      <c r="A279" s="260"/>
      <c r="B279" s="238"/>
      <c r="C279" s="238"/>
      <c r="D279" s="238"/>
      <c r="E279" s="238"/>
      <c r="F279" s="238"/>
      <c r="G279" s="238"/>
      <c r="H279" s="238"/>
      <c r="I279" s="238"/>
      <c r="J279" s="238"/>
      <c r="K279" s="238"/>
      <c r="L279" s="238"/>
      <c r="M279" s="238"/>
      <c r="N279" s="238"/>
      <c r="O279" s="238"/>
      <c r="P279" s="238"/>
      <c r="Q279" s="238"/>
      <c r="R279" s="238"/>
      <c r="S279" s="238"/>
      <c r="T279" s="238"/>
      <c r="U279" s="238"/>
      <c r="V279" s="238"/>
    </row>
    <row r="280" spans="1:22" ht="16.5">
      <c r="A280" s="260"/>
      <c r="B280" s="238"/>
      <c r="C280" s="238"/>
      <c r="D280" s="238"/>
      <c r="E280" s="238"/>
      <c r="F280" s="238"/>
      <c r="G280" s="238"/>
      <c r="H280" s="238"/>
      <c r="I280" s="238"/>
      <c r="J280" s="238"/>
      <c r="K280" s="238"/>
      <c r="L280" s="238"/>
      <c r="M280" s="238"/>
      <c r="N280" s="238"/>
      <c r="O280" s="238"/>
      <c r="P280" s="238"/>
      <c r="Q280" s="238"/>
      <c r="R280" s="238"/>
      <c r="S280" s="238"/>
      <c r="T280" s="238"/>
      <c r="U280" s="238"/>
      <c r="V280" s="238"/>
    </row>
    <row r="281" spans="1:22" ht="16.5">
      <c r="A281" s="260"/>
      <c r="B281" s="238"/>
      <c r="C281" s="238"/>
      <c r="D281" s="238"/>
      <c r="E281" s="238"/>
      <c r="F281" s="238"/>
      <c r="G281" s="238"/>
      <c r="H281" s="238"/>
      <c r="I281" s="238"/>
      <c r="J281" s="238"/>
      <c r="K281" s="238"/>
      <c r="L281" s="238"/>
      <c r="M281" s="238"/>
      <c r="N281" s="238"/>
      <c r="O281" s="238"/>
      <c r="P281" s="238"/>
      <c r="Q281" s="238"/>
      <c r="R281" s="238"/>
      <c r="S281" s="238"/>
      <c r="T281" s="238"/>
      <c r="U281" s="238"/>
      <c r="V281" s="238"/>
    </row>
    <row r="282" spans="1:22" ht="16.5">
      <c r="A282" s="260"/>
      <c r="B282" s="238"/>
      <c r="C282" s="238"/>
      <c r="D282" s="238"/>
      <c r="E282" s="238"/>
      <c r="F282" s="238"/>
      <c r="G282" s="238"/>
      <c r="H282" s="238"/>
      <c r="I282" s="238"/>
      <c r="J282" s="238"/>
      <c r="K282" s="238"/>
      <c r="L282" s="238"/>
      <c r="M282" s="238"/>
      <c r="N282" s="238"/>
      <c r="O282" s="238"/>
      <c r="P282" s="238"/>
      <c r="Q282" s="238"/>
      <c r="R282" s="238"/>
      <c r="S282" s="238"/>
      <c r="T282" s="238"/>
      <c r="U282" s="238"/>
      <c r="V282" s="238"/>
    </row>
    <row r="283" spans="1:22" ht="16.5">
      <c r="A283" s="260"/>
      <c r="B283" s="238"/>
      <c r="C283" s="238"/>
      <c r="D283" s="238"/>
      <c r="E283" s="238"/>
      <c r="F283" s="238"/>
      <c r="G283" s="238"/>
      <c r="H283" s="238"/>
      <c r="I283" s="238"/>
      <c r="J283" s="238"/>
      <c r="K283" s="238"/>
      <c r="L283" s="238"/>
      <c r="M283" s="238"/>
      <c r="N283" s="238"/>
      <c r="O283" s="238"/>
      <c r="P283" s="238"/>
      <c r="Q283" s="238"/>
      <c r="R283" s="238"/>
      <c r="S283" s="238"/>
      <c r="T283" s="238"/>
      <c r="U283" s="238"/>
      <c r="V283" s="238"/>
    </row>
    <row r="284" spans="1:22" ht="16.5">
      <c r="A284" s="260"/>
      <c r="B284" s="238"/>
      <c r="C284" s="238"/>
      <c r="D284" s="238"/>
      <c r="E284" s="238"/>
      <c r="F284" s="238"/>
      <c r="G284" s="238"/>
      <c r="H284" s="238"/>
      <c r="I284" s="238"/>
      <c r="J284" s="238"/>
      <c r="K284" s="238"/>
      <c r="L284" s="238"/>
      <c r="M284" s="238"/>
      <c r="N284" s="238"/>
      <c r="O284" s="238"/>
      <c r="P284" s="238"/>
      <c r="Q284" s="238"/>
      <c r="R284" s="238"/>
      <c r="S284" s="238"/>
      <c r="T284" s="238"/>
      <c r="U284" s="238"/>
      <c r="V284" s="238"/>
    </row>
    <row r="285" spans="1:22" ht="16.5">
      <c r="A285" s="260"/>
      <c r="B285" s="238"/>
      <c r="C285" s="238"/>
      <c r="D285" s="238"/>
      <c r="E285" s="238"/>
      <c r="F285" s="238"/>
      <c r="G285" s="238"/>
      <c r="H285" s="238"/>
      <c r="I285" s="238"/>
      <c r="J285" s="238"/>
      <c r="K285" s="238"/>
      <c r="L285" s="238"/>
      <c r="M285" s="238"/>
      <c r="N285" s="238"/>
      <c r="O285" s="238"/>
      <c r="P285" s="238"/>
      <c r="Q285" s="238"/>
      <c r="R285" s="238"/>
      <c r="S285" s="238"/>
      <c r="T285" s="238"/>
      <c r="U285" s="238"/>
      <c r="V285" s="238"/>
    </row>
    <row r="286" spans="1:22" ht="16.5">
      <c r="A286" s="260"/>
      <c r="B286" s="238"/>
      <c r="C286" s="238"/>
      <c r="D286" s="238"/>
      <c r="E286" s="238"/>
      <c r="F286" s="238"/>
      <c r="G286" s="238"/>
      <c r="H286" s="238"/>
      <c r="I286" s="238"/>
      <c r="J286" s="238"/>
      <c r="K286" s="238"/>
      <c r="L286" s="238"/>
      <c r="M286" s="238"/>
      <c r="N286" s="238"/>
      <c r="O286" s="238"/>
      <c r="P286" s="238"/>
      <c r="Q286" s="238"/>
      <c r="R286" s="238"/>
      <c r="S286" s="238"/>
      <c r="T286" s="238"/>
      <c r="U286" s="238"/>
      <c r="V286" s="238"/>
    </row>
    <row r="287" spans="1:22" ht="16.5">
      <c r="A287" s="260"/>
      <c r="B287" s="238"/>
      <c r="C287" s="238"/>
      <c r="D287" s="238"/>
      <c r="E287" s="238"/>
      <c r="F287" s="238"/>
      <c r="G287" s="238"/>
      <c r="H287" s="238"/>
      <c r="I287" s="238"/>
      <c r="J287" s="238"/>
      <c r="K287" s="238"/>
      <c r="L287" s="238"/>
      <c r="M287" s="238"/>
      <c r="N287" s="238"/>
      <c r="O287" s="238"/>
      <c r="P287" s="238"/>
      <c r="Q287" s="238"/>
      <c r="R287" s="238"/>
      <c r="S287" s="238"/>
      <c r="T287" s="238"/>
      <c r="U287" s="238"/>
      <c r="V287" s="238"/>
    </row>
    <row r="288" spans="1:22" ht="16.5">
      <c r="A288" s="260"/>
      <c r="B288" s="238"/>
      <c r="C288" s="238"/>
      <c r="D288" s="238"/>
      <c r="E288" s="238"/>
      <c r="F288" s="238"/>
      <c r="G288" s="238"/>
      <c r="H288" s="238"/>
      <c r="I288" s="238"/>
      <c r="J288" s="238"/>
      <c r="K288" s="238"/>
      <c r="L288" s="238"/>
      <c r="M288" s="238"/>
      <c r="N288" s="238"/>
      <c r="O288" s="238"/>
      <c r="P288" s="238"/>
      <c r="Q288" s="238"/>
      <c r="R288" s="238"/>
      <c r="S288" s="238"/>
      <c r="T288" s="238"/>
      <c r="U288" s="238"/>
      <c r="V288" s="238"/>
    </row>
    <row r="289" spans="1:22" ht="16.5">
      <c r="A289" s="260"/>
      <c r="B289" s="238"/>
      <c r="C289" s="238"/>
      <c r="D289" s="238"/>
      <c r="E289" s="238"/>
      <c r="F289" s="238"/>
      <c r="G289" s="238"/>
      <c r="H289" s="238"/>
      <c r="I289" s="238"/>
      <c r="J289" s="238"/>
      <c r="K289" s="238"/>
      <c r="L289" s="238"/>
      <c r="M289" s="238"/>
      <c r="N289" s="238"/>
      <c r="O289" s="238"/>
      <c r="P289" s="238"/>
      <c r="Q289" s="238"/>
      <c r="R289" s="238"/>
      <c r="S289" s="238"/>
      <c r="T289" s="238"/>
      <c r="U289" s="238"/>
      <c r="V289" s="238"/>
    </row>
    <row r="290" spans="1:22" ht="16.5">
      <c r="A290" s="260"/>
      <c r="B290" s="238"/>
      <c r="C290" s="238"/>
      <c r="D290" s="238"/>
      <c r="E290" s="238"/>
      <c r="F290" s="238"/>
      <c r="G290" s="238"/>
      <c r="H290" s="238"/>
      <c r="I290" s="238"/>
      <c r="J290" s="238"/>
      <c r="K290" s="238"/>
      <c r="L290" s="238"/>
      <c r="M290" s="238"/>
      <c r="N290" s="238"/>
      <c r="O290" s="238"/>
      <c r="P290" s="238"/>
      <c r="Q290" s="238"/>
      <c r="R290" s="238"/>
      <c r="S290" s="238"/>
      <c r="T290" s="238"/>
      <c r="U290" s="238"/>
      <c r="V290" s="238"/>
    </row>
    <row r="291" spans="1:22" ht="16.5">
      <c r="A291" s="260"/>
      <c r="B291" s="238"/>
      <c r="C291" s="238"/>
      <c r="D291" s="238"/>
      <c r="E291" s="238"/>
      <c r="F291" s="238"/>
      <c r="G291" s="238"/>
      <c r="H291" s="238"/>
      <c r="I291" s="238"/>
      <c r="J291" s="238"/>
      <c r="K291" s="238"/>
      <c r="L291" s="238"/>
      <c r="M291" s="238"/>
      <c r="N291" s="238"/>
      <c r="O291" s="238"/>
      <c r="P291" s="238"/>
      <c r="Q291" s="238"/>
      <c r="R291" s="238"/>
      <c r="S291" s="238"/>
      <c r="T291" s="238"/>
      <c r="U291" s="238"/>
      <c r="V291" s="238"/>
    </row>
    <row r="292" spans="1:22" ht="16.5">
      <c r="A292" s="260"/>
      <c r="B292" s="238"/>
      <c r="C292" s="238"/>
      <c r="D292" s="238"/>
      <c r="E292" s="238"/>
      <c r="F292" s="238"/>
      <c r="G292" s="238"/>
      <c r="H292" s="238"/>
      <c r="I292" s="238"/>
      <c r="J292" s="238"/>
      <c r="K292" s="238"/>
      <c r="L292" s="238"/>
      <c r="M292" s="238"/>
      <c r="N292" s="238"/>
      <c r="O292" s="238"/>
      <c r="P292" s="238"/>
      <c r="Q292" s="238"/>
      <c r="R292" s="238"/>
      <c r="S292" s="238"/>
      <c r="T292" s="238"/>
      <c r="U292" s="238"/>
      <c r="V292" s="238"/>
    </row>
    <row r="293" spans="1:22" ht="16.5">
      <c r="A293" s="260"/>
      <c r="B293" s="238"/>
      <c r="C293" s="238"/>
      <c r="D293" s="238"/>
      <c r="E293" s="238"/>
      <c r="F293" s="238"/>
      <c r="G293" s="238"/>
      <c r="H293" s="238"/>
      <c r="I293" s="238"/>
      <c r="J293" s="238"/>
      <c r="K293" s="238"/>
      <c r="L293" s="238"/>
      <c r="M293" s="238"/>
      <c r="N293" s="238"/>
      <c r="O293" s="238"/>
      <c r="P293" s="238"/>
      <c r="Q293" s="238"/>
      <c r="R293" s="238"/>
      <c r="S293" s="238"/>
      <c r="T293" s="238"/>
      <c r="U293" s="238"/>
      <c r="V293" s="238"/>
    </row>
    <row r="294" spans="1:22" ht="16.5">
      <c r="A294" s="260"/>
      <c r="B294" s="238"/>
      <c r="C294" s="238"/>
      <c r="D294" s="238"/>
      <c r="E294" s="238"/>
      <c r="F294" s="238"/>
      <c r="G294" s="238"/>
      <c r="H294" s="238"/>
      <c r="I294" s="238"/>
      <c r="J294" s="238"/>
      <c r="K294" s="238"/>
      <c r="L294" s="238"/>
      <c r="M294" s="238"/>
      <c r="N294" s="238"/>
      <c r="O294" s="238"/>
      <c r="P294" s="238"/>
      <c r="Q294" s="238"/>
      <c r="R294" s="238"/>
      <c r="S294" s="238"/>
      <c r="T294" s="238"/>
      <c r="U294" s="238"/>
      <c r="V294" s="238"/>
    </row>
    <row r="295" spans="1:22" ht="16.5">
      <c r="A295" s="260"/>
      <c r="B295" s="238"/>
      <c r="C295" s="238"/>
      <c r="D295" s="238"/>
      <c r="E295" s="238"/>
      <c r="F295" s="238"/>
      <c r="G295" s="238"/>
      <c r="H295" s="238"/>
      <c r="I295" s="238"/>
      <c r="J295" s="238"/>
      <c r="K295" s="238"/>
      <c r="L295" s="238"/>
      <c r="M295" s="238"/>
      <c r="N295" s="238"/>
      <c r="O295" s="238"/>
      <c r="P295" s="238"/>
      <c r="Q295" s="238"/>
      <c r="R295" s="238"/>
      <c r="S295" s="238"/>
      <c r="T295" s="238"/>
      <c r="U295" s="238"/>
      <c r="V295" s="238"/>
    </row>
    <row r="296" spans="1:22" ht="16.5">
      <c r="A296" s="260"/>
      <c r="B296" s="238"/>
      <c r="C296" s="238"/>
      <c r="D296" s="238"/>
      <c r="E296" s="238"/>
      <c r="F296" s="238"/>
      <c r="G296" s="238"/>
      <c r="H296" s="238"/>
      <c r="I296" s="238"/>
      <c r="J296" s="238"/>
      <c r="K296" s="238"/>
      <c r="L296" s="238"/>
      <c r="M296" s="238"/>
      <c r="N296" s="238"/>
      <c r="O296" s="238"/>
      <c r="P296" s="238"/>
      <c r="Q296" s="238"/>
      <c r="R296" s="238"/>
      <c r="S296" s="238"/>
      <c r="T296" s="238"/>
      <c r="U296" s="238"/>
      <c r="V296" s="238"/>
    </row>
    <row r="297" spans="1:22" ht="16.5">
      <c r="A297" s="260"/>
      <c r="B297" s="238"/>
      <c r="C297" s="238"/>
      <c r="D297" s="238"/>
      <c r="E297" s="238"/>
      <c r="F297" s="238"/>
      <c r="G297" s="238"/>
      <c r="H297" s="238"/>
      <c r="I297" s="238"/>
      <c r="J297" s="238"/>
      <c r="K297" s="238"/>
      <c r="L297" s="238"/>
      <c r="M297" s="238"/>
      <c r="N297" s="238"/>
      <c r="O297" s="238"/>
      <c r="P297" s="238"/>
      <c r="Q297" s="238"/>
      <c r="R297" s="238"/>
      <c r="S297" s="238"/>
      <c r="T297" s="238"/>
      <c r="U297" s="238"/>
      <c r="V297" s="238"/>
    </row>
    <row r="298" spans="1:22" ht="16.5">
      <c r="A298" s="260"/>
      <c r="B298" s="238"/>
      <c r="C298" s="238"/>
      <c r="D298" s="238"/>
      <c r="E298" s="238"/>
      <c r="F298" s="238"/>
      <c r="G298" s="238"/>
      <c r="H298" s="238"/>
      <c r="I298" s="238"/>
      <c r="J298" s="238"/>
      <c r="K298" s="238"/>
      <c r="L298" s="238"/>
      <c r="M298" s="238"/>
      <c r="N298" s="238"/>
      <c r="O298" s="238"/>
      <c r="P298" s="238"/>
      <c r="Q298" s="238"/>
      <c r="R298" s="238"/>
      <c r="S298" s="238"/>
      <c r="T298" s="238"/>
      <c r="U298" s="238"/>
      <c r="V298" s="238"/>
    </row>
    <row r="299" spans="1:22" ht="16.5">
      <c r="A299" s="260"/>
      <c r="B299" s="238"/>
      <c r="C299" s="238"/>
      <c r="D299" s="238"/>
      <c r="E299" s="238"/>
      <c r="F299" s="238"/>
      <c r="G299" s="238"/>
      <c r="H299" s="238"/>
      <c r="I299" s="238"/>
      <c r="J299" s="238"/>
      <c r="K299" s="238"/>
      <c r="L299" s="238"/>
      <c r="M299" s="238"/>
      <c r="N299" s="238"/>
      <c r="O299" s="238"/>
      <c r="P299" s="238"/>
      <c r="Q299" s="238"/>
      <c r="R299" s="238"/>
      <c r="S299" s="238"/>
      <c r="T299" s="238"/>
      <c r="U299" s="238"/>
      <c r="V299" s="238"/>
    </row>
    <row r="300" spans="1:22" ht="16.5">
      <c r="A300" s="260"/>
      <c r="B300" s="238"/>
      <c r="C300" s="238"/>
      <c r="D300" s="238"/>
      <c r="E300" s="238"/>
      <c r="F300" s="238"/>
      <c r="G300" s="238"/>
      <c r="H300" s="238"/>
      <c r="I300" s="238"/>
      <c r="J300" s="238"/>
      <c r="K300" s="238"/>
      <c r="L300" s="238"/>
      <c r="M300" s="238"/>
      <c r="N300" s="238"/>
      <c r="O300" s="238"/>
      <c r="P300" s="238"/>
      <c r="Q300" s="238"/>
      <c r="R300" s="238"/>
      <c r="S300" s="238"/>
      <c r="T300" s="238"/>
      <c r="U300" s="238"/>
      <c r="V300" s="238"/>
    </row>
    <row r="301" spans="1:22" ht="16.5">
      <c r="A301" s="260"/>
      <c r="B301" s="238"/>
      <c r="C301" s="238"/>
      <c r="D301" s="238"/>
      <c r="E301" s="238"/>
      <c r="F301" s="238"/>
      <c r="G301" s="238"/>
      <c r="H301" s="238"/>
      <c r="I301" s="238"/>
      <c r="J301" s="238"/>
      <c r="K301" s="238"/>
      <c r="L301" s="238"/>
      <c r="M301" s="238"/>
      <c r="N301" s="238"/>
      <c r="O301" s="238"/>
      <c r="P301" s="238"/>
      <c r="Q301" s="238"/>
      <c r="R301" s="238"/>
      <c r="S301" s="238"/>
      <c r="T301" s="238"/>
      <c r="U301" s="238"/>
      <c r="V301" s="238"/>
    </row>
    <row r="302" spans="1:22" ht="16.5">
      <c r="A302" s="260"/>
      <c r="B302" s="238"/>
      <c r="C302" s="238"/>
      <c r="D302" s="238"/>
      <c r="E302" s="238"/>
      <c r="F302" s="238"/>
      <c r="G302" s="238"/>
      <c r="H302" s="238"/>
      <c r="I302" s="238"/>
      <c r="J302" s="238"/>
      <c r="K302" s="238"/>
      <c r="L302" s="238"/>
      <c r="M302" s="238"/>
      <c r="N302" s="238"/>
      <c r="O302" s="238"/>
      <c r="P302" s="238"/>
      <c r="Q302" s="238"/>
      <c r="R302" s="238"/>
      <c r="S302" s="238"/>
      <c r="T302" s="238"/>
      <c r="U302" s="238"/>
      <c r="V302" s="238"/>
    </row>
    <row r="303" spans="1:22" ht="16.5">
      <c r="A303" s="260"/>
      <c r="B303" s="238"/>
      <c r="C303" s="238"/>
      <c r="D303" s="238"/>
      <c r="E303" s="238"/>
      <c r="F303" s="238"/>
      <c r="G303" s="238"/>
      <c r="H303" s="238"/>
      <c r="I303" s="238"/>
      <c r="J303" s="238"/>
      <c r="K303" s="238"/>
      <c r="L303" s="238"/>
      <c r="M303" s="238"/>
      <c r="N303" s="238"/>
      <c r="O303" s="238"/>
      <c r="P303" s="238"/>
      <c r="Q303" s="238"/>
      <c r="R303" s="238"/>
      <c r="S303" s="238"/>
      <c r="T303" s="238"/>
      <c r="U303" s="238"/>
      <c r="V303" s="238"/>
    </row>
    <row r="304" spans="1:22" ht="16.5">
      <c r="A304" s="260"/>
      <c r="B304" s="238"/>
      <c r="C304" s="238"/>
      <c r="D304" s="238"/>
      <c r="E304" s="238"/>
      <c r="F304" s="238"/>
      <c r="G304" s="238"/>
      <c r="H304" s="238"/>
      <c r="I304" s="238"/>
      <c r="J304" s="238"/>
      <c r="K304" s="238"/>
      <c r="L304" s="238"/>
      <c r="M304" s="238"/>
      <c r="N304" s="238"/>
      <c r="O304" s="238"/>
      <c r="P304" s="238"/>
      <c r="Q304" s="238"/>
      <c r="R304" s="238"/>
      <c r="S304" s="238"/>
      <c r="T304" s="238"/>
      <c r="U304" s="238"/>
      <c r="V304" s="238"/>
    </row>
    <row r="305" spans="1:22" ht="16.5">
      <c r="A305" s="260"/>
      <c r="B305" s="238"/>
      <c r="C305" s="238"/>
      <c r="D305" s="238"/>
      <c r="E305" s="238"/>
      <c r="F305" s="238"/>
      <c r="G305" s="238"/>
      <c r="H305" s="238"/>
      <c r="I305" s="238"/>
      <c r="J305" s="238"/>
      <c r="K305" s="238"/>
      <c r="L305" s="238"/>
      <c r="M305" s="238"/>
      <c r="N305" s="238"/>
      <c r="O305" s="238"/>
      <c r="P305" s="238"/>
      <c r="Q305" s="238"/>
      <c r="R305" s="238"/>
      <c r="S305" s="238"/>
      <c r="T305" s="238"/>
      <c r="U305" s="238"/>
      <c r="V305" s="238"/>
    </row>
    <row r="306" spans="1:22" ht="16.5">
      <c r="A306" s="260"/>
      <c r="B306" s="238"/>
      <c r="C306" s="238"/>
      <c r="D306" s="238"/>
      <c r="E306" s="238"/>
      <c r="F306" s="238"/>
      <c r="G306" s="238"/>
      <c r="H306" s="238"/>
      <c r="I306" s="238"/>
      <c r="J306" s="238"/>
      <c r="K306" s="238"/>
      <c r="L306" s="238"/>
      <c r="M306" s="238"/>
      <c r="N306" s="238"/>
      <c r="O306" s="238"/>
      <c r="P306" s="238"/>
      <c r="Q306" s="238"/>
      <c r="R306" s="238"/>
      <c r="S306" s="238"/>
      <c r="T306" s="238"/>
      <c r="U306" s="238"/>
      <c r="V306" s="238"/>
    </row>
    <row r="307" spans="1:22" ht="16.5">
      <c r="A307" s="260"/>
      <c r="B307" s="238"/>
      <c r="C307" s="238"/>
      <c r="D307" s="238"/>
      <c r="E307" s="238"/>
      <c r="F307" s="238"/>
      <c r="G307" s="238"/>
      <c r="H307" s="238"/>
      <c r="I307" s="238"/>
      <c r="J307" s="238"/>
      <c r="K307" s="238"/>
      <c r="L307" s="238"/>
      <c r="M307" s="238"/>
      <c r="N307" s="238"/>
      <c r="O307" s="238"/>
      <c r="P307" s="238"/>
      <c r="Q307" s="238"/>
      <c r="R307" s="238"/>
      <c r="S307" s="238"/>
      <c r="T307" s="238"/>
      <c r="U307" s="238"/>
      <c r="V307" s="238"/>
    </row>
    <row r="308" spans="1:22" ht="16.5">
      <c r="A308" s="260"/>
      <c r="B308" s="238"/>
      <c r="C308" s="238"/>
      <c r="D308" s="238"/>
      <c r="E308" s="238"/>
      <c r="F308" s="238"/>
      <c r="G308" s="238"/>
      <c r="H308" s="238"/>
      <c r="I308" s="238"/>
      <c r="J308" s="238"/>
      <c r="K308" s="238"/>
      <c r="L308" s="238"/>
      <c r="M308" s="238"/>
      <c r="N308" s="238"/>
      <c r="O308" s="238"/>
      <c r="P308" s="238"/>
      <c r="Q308" s="238"/>
      <c r="R308" s="238"/>
      <c r="S308" s="238"/>
      <c r="T308" s="238"/>
      <c r="U308" s="238"/>
      <c r="V308" s="238"/>
    </row>
    <row r="309" spans="1:22" ht="16.5">
      <c r="A309" s="260"/>
      <c r="B309" s="238"/>
      <c r="C309" s="238"/>
      <c r="D309" s="238"/>
      <c r="E309" s="238"/>
      <c r="F309" s="238"/>
      <c r="G309" s="238"/>
      <c r="H309" s="238"/>
      <c r="I309" s="238"/>
      <c r="J309" s="238"/>
      <c r="K309" s="238"/>
      <c r="L309" s="238"/>
      <c r="M309" s="238"/>
      <c r="N309" s="238"/>
      <c r="O309" s="238"/>
      <c r="P309" s="238"/>
      <c r="Q309" s="238"/>
      <c r="R309" s="238"/>
      <c r="S309" s="238"/>
      <c r="T309" s="238"/>
      <c r="U309" s="238"/>
      <c r="V309" s="238"/>
    </row>
    <row r="310" spans="1:22" ht="16.5">
      <c r="A310" s="260"/>
      <c r="B310" s="238"/>
      <c r="C310" s="238"/>
      <c r="D310" s="238"/>
      <c r="E310" s="238"/>
      <c r="F310" s="238"/>
      <c r="G310" s="238"/>
      <c r="H310" s="238"/>
      <c r="I310" s="238"/>
      <c r="J310" s="238"/>
      <c r="K310" s="238"/>
      <c r="L310" s="238"/>
      <c r="M310" s="238"/>
      <c r="N310" s="238"/>
      <c r="O310" s="238"/>
      <c r="P310" s="238"/>
      <c r="Q310" s="238"/>
      <c r="R310" s="238"/>
      <c r="S310" s="238"/>
      <c r="T310" s="238"/>
      <c r="U310" s="238"/>
      <c r="V310" s="238"/>
    </row>
    <row r="311" spans="1:22" ht="16.5">
      <c r="A311" s="260"/>
      <c r="B311" s="238"/>
      <c r="C311" s="238"/>
      <c r="D311" s="238"/>
      <c r="E311" s="238"/>
      <c r="F311" s="238"/>
      <c r="G311" s="238"/>
      <c r="H311" s="238"/>
      <c r="I311" s="238"/>
      <c r="J311" s="238"/>
      <c r="K311" s="238"/>
      <c r="L311" s="238"/>
      <c r="M311" s="238"/>
      <c r="N311" s="238"/>
      <c r="O311" s="238"/>
      <c r="P311" s="238"/>
      <c r="Q311" s="238"/>
      <c r="R311" s="238"/>
      <c r="S311" s="238"/>
      <c r="T311" s="238"/>
      <c r="U311" s="238"/>
      <c r="V311" s="238"/>
    </row>
    <row r="312" spans="1:22" ht="16.5">
      <c r="A312" s="260"/>
      <c r="B312" s="238"/>
      <c r="C312" s="238"/>
      <c r="D312" s="238"/>
      <c r="E312" s="238"/>
      <c r="F312" s="238"/>
      <c r="G312" s="238"/>
      <c r="H312" s="238"/>
      <c r="I312" s="238"/>
      <c r="J312" s="238"/>
      <c r="K312" s="238"/>
      <c r="L312" s="238"/>
      <c r="M312" s="238"/>
      <c r="N312" s="238"/>
      <c r="O312" s="238"/>
      <c r="P312" s="238"/>
      <c r="Q312" s="238"/>
      <c r="R312" s="238"/>
      <c r="S312" s="238"/>
      <c r="T312" s="238"/>
      <c r="U312" s="238"/>
      <c r="V312" s="238"/>
    </row>
    <row r="313" spans="1:22" ht="16.5">
      <c r="A313" s="260"/>
      <c r="B313" s="238"/>
      <c r="C313" s="238"/>
      <c r="D313" s="238"/>
      <c r="E313" s="238"/>
      <c r="F313" s="238"/>
      <c r="G313" s="238"/>
      <c r="H313" s="238"/>
      <c r="I313" s="238"/>
      <c r="J313" s="238"/>
      <c r="K313" s="238"/>
      <c r="L313" s="238"/>
      <c r="M313" s="238"/>
      <c r="N313" s="238"/>
      <c r="O313" s="238"/>
      <c r="P313" s="238"/>
      <c r="Q313" s="238"/>
      <c r="R313" s="238"/>
      <c r="S313" s="238"/>
      <c r="T313" s="238"/>
      <c r="U313" s="238"/>
      <c r="V313" s="238"/>
    </row>
    <row r="314" spans="1:22" ht="16.5">
      <c r="A314" s="260"/>
      <c r="B314" s="238"/>
      <c r="C314" s="238"/>
      <c r="D314" s="238"/>
      <c r="E314" s="238"/>
      <c r="F314" s="238"/>
      <c r="G314" s="238"/>
      <c r="H314" s="238"/>
      <c r="I314" s="238"/>
      <c r="J314" s="238"/>
      <c r="K314" s="238"/>
      <c r="L314" s="238"/>
      <c r="M314" s="238"/>
      <c r="N314" s="238"/>
      <c r="O314" s="238"/>
      <c r="P314" s="238"/>
      <c r="Q314" s="238"/>
      <c r="R314" s="238"/>
      <c r="S314" s="238"/>
      <c r="T314" s="238"/>
      <c r="U314" s="238"/>
      <c r="V314" s="238"/>
    </row>
    <row r="315" spans="1:22" ht="16.5">
      <c r="A315" s="260"/>
      <c r="B315" s="238"/>
      <c r="C315" s="238"/>
      <c r="D315" s="238"/>
      <c r="E315" s="238"/>
      <c r="F315" s="238"/>
      <c r="G315" s="238"/>
      <c r="H315" s="238"/>
      <c r="I315" s="238"/>
      <c r="J315" s="238"/>
      <c r="K315" s="238"/>
      <c r="L315" s="238"/>
      <c r="M315" s="238"/>
      <c r="N315" s="238"/>
      <c r="O315" s="238"/>
      <c r="P315" s="238"/>
      <c r="Q315" s="238"/>
      <c r="R315" s="238"/>
      <c r="S315" s="238"/>
      <c r="T315" s="238"/>
      <c r="U315" s="238"/>
      <c r="V315" s="238"/>
    </row>
    <row r="316" spans="1:22" ht="16.5">
      <c r="A316" s="260"/>
      <c r="B316" s="238"/>
      <c r="C316" s="238"/>
      <c r="D316" s="238"/>
      <c r="E316" s="238"/>
      <c r="F316" s="238"/>
      <c r="G316" s="238"/>
      <c r="H316" s="238"/>
      <c r="I316" s="238"/>
      <c r="J316" s="238"/>
      <c r="K316" s="238"/>
      <c r="L316" s="238"/>
      <c r="M316" s="238"/>
      <c r="N316" s="238"/>
      <c r="O316" s="238"/>
      <c r="P316" s="238"/>
      <c r="Q316" s="238"/>
      <c r="R316" s="238"/>
      <c r="S316" s="238"/>
      <c r="T316" s="238"/>
      <c r="U316" s="238"/>
      <c r="V316" s="238"/>
    </row>
    <row r="317" spans="1:22" ht="16.5">
      <c r="A317" s="260"/>
      <c r="B317" s="238"/>
      <c r="C317" s="238"/>
      <c r="D317" s="238"/>
      <c r="E317" s="238"/>
      <c r="F317" s="238"/>
      <c r="G317" s="238"/>
      <c r="H317" s="238"/>
      <c r="I317" s="238"/>
      <c r="J317" s="238"/>
      <c r="K317" s="238"/>
      <c r="L317" s="238"/>
      <c r="M317" s="238"/>
      <c r="N317" s="238"/>
      <c r="O317" s="238"/>
      <c r="P317" s="238"/>
      <c r="Q317" s="238"/>
      <c r="R317" s="238"/>
      <c r="S317" s="238"/>
      <c r="T317" s="238"/>
      <c r="U317" s="238"/>
      <c r="V317" s="238"/>
    </row>
    <row r="318" spans="1:22" ht="16.5">
      <c r="A318" s="260"/>
      <c r="B318" s="238"/>
      <c r="C318" s="238"/>
      <c r="D318" s="238"/>
      <c r="E318" s="238"/>
      <c r="F318" s="238"/>
      <c r="G318" s="238"/>
      <c r="H318" s="238"/>
      <c r="I318" s="238"/>
      <c r="J318" s="238"/>
      <c r="K318" s="238"/>
      <c r="L318" s="238"/>
      <c r="M318" s="238"/>
      <c r="N318" s="238"/>
      <c r="O318" s="238"/>
      <c r="P318" s="238"/>
      <c r="Q318" s="238"/>
      <c r="R318" s="238"/>
      <c r="S318" s="238"/>
      <c r="T318" s="238"/>
      <c r="U318" s="238"/>
      <c r="V318" s="238"/>
    </row>
    <row r="319" spans="1:22" ht="16.5">
      <c r="A319" s="260"/>
      <c r="B319" s="238"/>
      <c r="C319" s="238"/>
      <c r="D319" s="238"/>
      <c r="E319" s="238"/>
      <c r="F319" s="238"/>
      <c r="G319" s="238"/>
      <c r="H319" s="238"/>
      <c r="I319" s="238"/>
      <c r="J319" s="238"/>
      <c r="K319" s="238"/>
      <c r="L319" s="238"/>
      <c r="M319" s="238"/>
      <c r="N319" s="238"/>
      <c r="O319" s="238"/>
      <c r="P319" s="238"/>
      <c r="Q319" s="238"/>
      <c r="R319" s="238"/>
      <c r="S319" s="238"/>
      <c r="T319" s="238"/>
      <c r="U319" s="238"/>
      <c r="V319" s="238"/>
    </row>
    <row r="320" spans="1:22" ht="16.5">
      <c r="A320" s="260"/>
      <c r="B320" s="238"/>
      <c r="C320" s="238"/>
      <c r="D320" s="238"/>
      <c r="E320" s="238"/>
      <c r="F320" s="238"/>
      <c r="G320" s="238"/>
      <c r="H320" s="238"/>
      <c r="I320" s="238"/>
      <c r="J320" s="238"/>
      <c r="K320" s="238"/>
      <c r="L320" s="238"/>
      <c r="M320" s="238"/>
      <c r="N320" s="238"/>
      <c r="O320" s="238"/>
      <c r="P320" s="238"/>
      <c r="Q320" s="238"/>
      <c r="R320" s="238"/>
      <c r="S320" s="238"/>
      <c r="T320" s="238"/>
      <c r="U320" s="238"/>
      <c r="V320" s="238"/>
    </row>
    <row r="321" spans="1:22" ht="16.5">
      <c r="A321" s="260"/>
      <c r="B321" s="238"/>
      <c r="C321" s="238"/>
      <c r="D321" s="238"/>
      <c r="E321" s="238"/>
      <c r="F321" s="238"/>
      <c r="G321" s="238"/>
      <c r="H321" s="238"/>
      <c r="I321" s="238"/>
      <c r="J321" s="238"/>
      <c r="K321" s="238"/>
      <c r="L321" s="238"/>
      <c r="M321" s="238"/>
      <c r="N321" s="238"/>
      <c r="O321" s="238"/>
      <c r="P321" s="238"/>
      <c r="Q321" s="238"/>
      <c r="R321" s="238"/>
      <c r="S321" s="238"/>
      <c r="T321" s="238"/>
      <c r="U321" s="238"/>
      <c r="V321" s="238"/>
    </row>
    <row r="322" spans="1:22" ht="16.5">
      <c r="A322" s="260"/>
      <c r="B322" s="238"/>
      <c r="C322" s="238"/>
      <c r="D322" s="238"/>
      <c r="E322" s="238"/>
      <c r="F322" s="238"/>
      <c r="G322" s="238"/>
      <c r="H322" s="238"/>
      <c r="I322" s="238"/>
      <c r="J322" s="238"/>
      <c r="K322" s="238"/>
      <c r="L322" s="238"/>
      <c r="M322" s="238"/>
      <c r="N322" s="238"/>
      <c r="O322" s="238"/>
      <c r="P322" s="238"/>
      <c r="Q322" s="238"/>
      <c r="R322" s="238"/>
      <c r="S322" s="238"/>
      <c r="T322" s="238"/>
      <c r="U322" s="238"/>
      <c r="V322" s="238"/>
    </row>
    <row r="323" spans="1:22" ht="16.5">
      <c r="A323" s="260"/>
      <c r="B323" s="238"/>
      <c r="C323" s="238"/>
      <c r="D323" s="238"/>
      <c r="E323" s="238"/>
      <c r="F323" s="238"/>
      <c r="G323" s="238"/>
      <c r="H323" s="238"/>
      <c r="I323" s="238"/>
      <c r="J323" s="238"/>
      <c r="K323" s="238"/>
      <c r="L323" s="238"/>
      <c r="M323" s="238"/>
      <c r="N323" s="238"/>
      <c r="O323" s="238"/>
      <c r="P323" s="238"/>
      <c r="Q323" s="238"/>
      <c r="R323" s="238"/>
      <c r="S323" s="238"/>
      <c r="T323" s="238"/>
      <c r="U323" s="238"/>
      <c r="V323" s="238"/>
    </row>
    <row r="324" spans="1:22" ht="16.5">
      <c r="A324" s="260"/>
      <c r="B324" s="238"/>
      <c r="C324" s="238"/>
      <c r="D324" s="238"/>
      <c r="E324" s="238"/>
      <c r="F324" s="238"/>
      <c r="G324" s="238"/>
      <c r="H324" s="238"/>
      <c r="I324" s="238"/>
      <c r="J324" s="238"/>
      <c r="K324" s="238"/>
      <c r="L324" s="238"/>
      <c r="M324" s="238"/>
      <c r="N324" s="238"/>
      <c r="O324" s="238"/>
      <c r="P324" s="238"/>
      <c r="Q324" s="238"/>
      <c r="R324" s="238"/>
      <c r="S324" s="238"/>
      <c r="T324" s="238"/>
      <c r="U324" s="238"/>
      <c r="V324" s="238"/>
    </row>
    <row r="325" spans="1:22" ht="16.5">
      <c r="A325" s="260"/>
      <c r="B325" s="238"/>
      <c r="C325" s="238"/>
      <c r="D325" s="238"/>
      <c r="E325" s="238"/>
      <c r="F325" s="238"/>
      <c r="G325" s="238"/>
      <c r="H325" s="238"/>
      <c r="I325" s="238"/>
      <c r="J325" s="238"/>
      <c r="K325" s="238"/>
      <c r="L325" s="238"/>
      <c r="M325" s="238"/>
      <c r="N325" s="238"/>
      <c r="O325" s="238"/>
      <c r="P325" s="238"/>
      <c r="Q325" s="238"/>
      <c r="R325" s="238"/>
      <c r="S325" s="238"/>
      <c r="T325" s="238"/>
      <c r="U325" s="238"/>
      <c r="V325" s="238"/>
    </row>
    <row r="326" spans="1:22" ht="16.5">
      <c r="A326" s="260"/>
      <c r="B326" s="238"/>
      <c r="C326" s="238"/>
      <c r="D326" s="238"/>
      <c r="E326" s="238"/>
      <c r="F326" s="238"/>
      <c r="G326" s="238"/>
      <c r="H326" s="238"/>
      <c r="I326" s="238"/>
      <c r="J326" s="238"/>
      <c r="K326" s="238"/>
      <c r="L326" s="238"/>
      <c r="M326" s="238"/>
      <c r="N326" s="238"/>
      <c r="O326" s="238"/>
      <c r="P326" s="238"/>
      <c r="Q326" s="238"/>
      <c r="R326" s="238"/>
      <c r="S326" s="238"/>
      <c r="T326" s="238"/>
      <c r="U326" s="238"/>
      <c r="V326" s="238"/>
    </row>
    <row r="327" spans="1:22" ht="16.5">
      <c r="A327" s="260"/>
      <c r="B327" s="238"/>
      <c r="C327" s="238"/>
      <c r="D327" s="238"/>
      <c r="E327" s="238"/>
      <c r="F327" s="238"/>
      <c r="G327" s="238"/>
      <c r="H327" s="238"/>
      <c r="I327" s="238"/>
      <c r="J327" s="238"/>
      <c r="K327" s="238"/>
      <c r="L327" s="238"/>
      <c r="M327" s="238"/>
      <c r="N327" s="238"/>
      <c r="O327" s="238"/>
      <c r="P327" s="238"/>
      <c r="Q327" s="238"/>
      <c r="R327" s="238"/>
      <c r="S327" s="238"/>
      <c r="T327" s="238"/>
      <c r="U327" s="238"/>
      <c r="V327" s="238"/>
    </row>
    <row r="328" spans="1:22" ht="16.5">
      <c r="A328" s="260"/>
      <c r="B328" s="238"/>
      <c r="C328" s="238"/>
      <c r="D328" s="238"/>
      <c r="E328" s="238"/>
      <c r="F328" s="238"/>
      <c r="G328" s="238"/>
      <c r="H328" s="238"/>
      <c r="I328" s="238"/>
      <c r="J328" s="238"/>
      <c r="K328" s="238"/>
      <c r="L328" s="238"/>
      <c r="M328" s="238"/>
      <c r="N328" s="238"/>
      <c r="O328" s="238"/>
      <c r="P328" s="238"/>
      <c r="Q328" s="238"/>
      <c r="R328" s="238"/>
      <c r="S328" s="238"/>
      <c r="T328" s="238"/>
      <c r="U328" s="238"/>
      <c r="V328" s="238"/>
    </row>
    <row r="329" spans="1:22" ht="16.5">
      <c r="A329" s="260"/>
      <c r="B329" s="238"/>
      <c r="C329" s="238"/>
      <c r="D329" s="238"/>
      <c r="E329" s="238"/>
      <c r="F329" s="238"/>
      <c r="G329" s="238"/>
      <c r="H329" s="238"/>
      <c r="I329" s="238"/>
      <c r="J329" s="238"/>
      <c r="K329" s="238"/>
      <c r="L329" s="238"/>
      <c r="M329" s="238"/>
      <c r="N329" s="238"/>
      <c r="O329" s="238"/>
      <c r="P329" s="238"/>
      <c r="Q329" s="238"/>
      <c r="R329" s="238"/>
      <c r="S329" s="238"/>
      <c r="T329" s="238"/>
      <c r="U329" s="238"/>
      <c r="V329" s="238"/>
    </row>
    <row r="330" spans="1:22" ht="16.5">
      <c r="A330" s="260"/>
      <c r="B330" s="238"/>
      <c r="C330" s="238"/>
      <c r="D330" s="238"/>
      <c r="E330" s="238"/>
      <c r="F330" s="238"/>
      <c r="G330" s="238"/>
      <c r="H330" s="238"/>
      <c r="I330" s="238"/>
      <c r="J330" s="238"/>
      <c r="K330" s="238"/>
      <c r="L330" s="238"/>
      <c r="M330" s="238"/>
      <c r="N330" s="238"/>
      <c r="O330" s="238"/>
      <c r="P330" s="238"/>
      <c r="Q330" s="238"/>
      <c r="R330" s="238"/>
      <c r="S330" s="238"/>
      <c r="T330" s="238"/>
      <c r="U330" s="238"/>
      <c r="V330" s="238"/>
    </row>
  </sheetData>
  <sheetProtection sheet="1" objects="1" scenarios="1"/>
  <customSheetViews>
    <customSheetView guid="{D1431318-1DB8-4C45-813B-5A8065DFC797}">
      <selection activeCell="G6" sqref="G6"/>
      <pageMargins left="0" right="0" top="0" bottom="0" header="0" footer="0"/>
      <pageSetup scale="61" orientation="portrait" r:id="rId1"/>
      <headerFooter alignWithMargins="0"/>
    </customSheetView>
  </customSheetViews>
  <mergeCells count="1">
    <mergeCell ref="A1:C2"/>
  </mergeCells>
  <phoneticPr fontId="26" type="noConversion"/>
  <pageMargins left="0.75" right="0.5" top="0.75" bottom="0.5" header="0.5" footer="0.5"/>
  <pageSetup scale="61" orientation="portrait" r:id="rId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EBB2-8DD3-47E0-88C5-1B0DE5124CC8}">
  <sheetPr codeName="Sheet17">
    <tabColor rgb="FFFF6600"/>
    <pageSetUpPr fitToPage="1"/>
  </sheetPr>
  <dimension ref="A1:AS314"/>
  <sheetViews>
    <sheetView view="pageBreakPreview" zoomScaleNormal="100" zoomScaleSheetLayoutView="100" workbookViewId="0">
      <selection activeCell="C4" sqref="C4:E4"/>
    </sheetView>
  </sheetViews>
  <sheetFormatPr defaultColWidth="9.140625" defaultRowHeight="15"/>
  <cols>
    <col min="1" max="1" width="10.42578125" style="613" customWidth="1"/>
    <col min="2" max="2" width="11.42578125" style="613" customWidth="1"/>
    <col min="3" max="3" width="7.85546875" style="613" customWidth="1"/>
    <col min="4" max="7" width="7.42578125" style="613" customWidth="1"/>
    <col min="8" max="8" width="14" style="613" customWidth="1"/>
    <col min="9" max="9" width="11.140625" style="613" customWidth="1"/>
    <col min="10" max="10" width="11.42578125" style="613" customWidth="1"/>
    <col min="11" max="11" width="14.7109375" style="613" customWidth="1"/>
    <col min="12" max="12" width="12.7109375" style="613" customWidth="1"/>
    <col min="13" max="13" width="9.140625" style="613"/>
    <col min="14" max="14" width="13.140625" style="614" customWidth="1"/>
    <col min="15" max="15" width="7.85546875" style="614" customWidth="1"/>
    <col min="16" max="27" width="9.140625" style="614"/>
    <col min="28" max="16384" width="9.140625" style="613"/>
  </cols>
  <sheetData>
    <row r="1" spans="1:45" ht="45.75" customHeight="1" thickBot="1">
      <c r="B1" s="1623"/>
      <c r="C1" s="2503" t="s">
        <v>682</v>
      </c>
      <c r="D1" s="2503"/>
      <c r="E1" s="2503"/>
      <c r="F1" s="2503"/>
      <c r="G1" s="2503"/>
      <c r="H1" s="2503"/>
      <c r="I1" s="1139" t="s">
        <v>551</v>
      </c>
      <c r="J1" s="2504" t="str">
        <f>IF(ISBLANK(Prelim!S5)," ",Prelim!S5)</f>
        <v xml:space="preserve"> </v>
      </c>
      <c r="K1" s="2504"/>
      <c r="L1" s="2504" t="str">
        <f>'Drop-Down Lists'!A2</f>
        <v>v 05.01.2026</v>
      </c>
      <c r="M1" s="2504"/>
      <c r="AB1" s="615"/>
      <c r="AC1" s="615"/>
      <c r="AD1" s="615"/>
      <c r="AE1" s="615"/>
      <c r="AF1" s="615"/>
      <c r="AG1" s="615"/>
      <c r="AH1" s="615"/>
      <c r="AI1" s="615"/>
      <c r="AJ1" s="615"/>
      <c r="AK1" s="615"/>
      <c r="AL1" s="615"/>
      <c r="AM1" s="615"/>
      <c r="AN1" s="615"/>
      <c r="AO1" s="615"/>
      <c r="AP1" s="615"/>
      <c r="AQ1" s="615"/>
      <c r="AR1" s="615"/>
      <c r="AS1" s="615"/>
    </row>
    <row r="2" spans="1:45" ht="18" customHeight="1">
      <c r="A2" s="1188" t="s">
        <v>683</v>
      </c>
      <c r="B2" s="2617" t="str">
        <f>IF(ISBLANK(Prelim!G3),"  ", Prelim!G3)</f>
        <v xml:space="preserve">  </v>
      </c>
      <c r="C2" s="2617"/>
      <c r="D2" s="2617"/>
      <c r="E2" s="2617"/>
      <c r="F2" s="2617"/>
      <c r="G2" s="2617"/>
      <c r="H2" s="2506" t="s">
        <v>684</v>
      </c>
      <c r="I2" s="2507"/>
      <c r="J2" s="2618" t="str">
        <f>IF(ISBLANK(Prelim!G5), " ", Prelim!G5)</f>
        <v xml:space="preserve"> </v>
      </c>
      <c r="K2" s="2618"/>
      <c r="L2" s="2618"/>
      <c r="M2" s="2619"/>
      <c r="O2" s="2556" t="s">
        <v>707</v>
      </c>
      <c r="P2" s="2557"/>
      <c r="Q2" s="2557"/>
      <c r="R2" s="2557"/>
      <c r="S2" s="2557"/>
      <c r="T2" s="2557"/>
      <c r="U2" s="1471"/>
      <c r="V2" s="1471"/>
      <c r="W2" s="1472"/>
      <c r="AB2" s="615"/>
      <c r="AC2" s="615"/>
      <c r="AD2" s="615"/>
      <c r="AE2" s="615"/>
      <c r="AF2" s="615"/>
      <c r="AG2" s="615"/>
      <c r="AH2" s="615"/>
      <c r="AI2" s="615"/>
      <c r="AJ2" s="615"/>
      <c r="AK2" s="615"/>
      <c r="AL2" s="615"/>
      <c r="AM2" s="615"/>
      <c r="AN2" s="615"/>
      <c r="AO2" s="615"/>
      <c r="AP2" s="615"/>
      <c r="AQ2" s="615"/>
      <c r="AR2" s="615"/>
      <c r="AS2" s="615"/>
    </row>
    <row r="3" spans="1:45" ht="20.100000000000001" customHeight="1">
      <c r="A3" s="1140" t="s">
        <v>685</v>
      </c>
      <c r="M3" s="1141"/>
      <c r="O3" s="627" t="s">
        <v>708</v>
      </c>
      <c r="P3" s="1226"/>
      <c r="Q3" s="1226"/>
      <c r="R3" s="1238"/>
      <c r="S3" s="1238"/>
      <c r="T3" s="1238"/>
      <c r="W3" s="1473"/>
      <c r="AB3" s="615"/>
      <c r="AC3" s="615"/>
      <c r="AD3" s="615"/>
      <c r="AE3" s="615"/>
      <c r="AF3" s="615"/>
      <c r="AG3" s="615"/>
      <c r="AH3" s="615"/>
      <c r="AI3" s="615"/>
      <c r="AJ3" s="615"/>
      <c r="AK3" s="615"/>
      <c r="AL3" s="615"/>
      <c r="AM3" s="615"/>
      <c r="AN3" s="615"/>
      <c r="AO3" s="615"/>
      <c r="AP3" s="615"/>
      <c r="AQ3" s="615"/>
      <c r="AR3" s="615"/>
      <c r="AS3" s="615"/>
    </row>
    <row r="4" spans="1:45" ht="19.5" customHeight="1">
      <c r="A4" s="2517" t="s">
        <v>686</v>
      </c>
      <c r="B4" s="2518"/>
      <c r="C4" s="2519"/>
      <c r="D4" s="2519"/>
      <c r="E4" s="2520"/>
      <c r="F4" s="1142" t="s">
        <v>687</v>
      </c>
      <c r="G4" s="1143"/>
      <c r="H4" s="1624" t="s">
        <v>650</v>
      </c>
      <c r="I4" s="2510"/>
      <c r="J4" s="2511"/>
      <c r="K4" s="2612" t="s">
        <v>688</v>
      </c>
      <c r="L4" s="2612"/>
      <c r="M4" s="1219"/>
      <c r="O4" s="627" t="s">
        <v>709</v>
      </c>
      <c r="P4" s="1226"/>
      <c r="Q4" s="1226"/>
      <c r="R4" s="1238"/>
      <c r="S4" s="1238"/>
      <c r="T4" s="1238"/>
      <c r="W4" s="1473"/>
      <c r="AB4" s="615"/>
      <c r="AC4" s="615"/>
      <c r="AD4" s="615"/>
      <c r="AE4" s="615"/>
      <c r="AF4" s="615"/>
      <c r="AG4" s="615"/>
      <c r="AH4" s="615"/>
      <c r="AI4" s="615"/>
      <c r="AJ4" s="615"/>
      <c r="AK4" s="615"/>
      <c r="AL4" s="615"/>
      <c r="AM4" s="615"/>
      <c r="AN4" s="615"/>
      <c r="AO4" s="615"/>
      <c r="AP4" s="615"/>
      <c r="AQ4" s="615"/>
      <c r="AR4" s="615"/>
      <c r="AS4" s="615"/>
    </row>
    <row r="5" spans="1:45" ht="19.5" customHeight="1">
      <c r="A5" s="1218" t="s">
        <v>689</v>
      </c>
      <c r="B5" s="2510"/>
      <c r="C5" s="2510"/>
      <c r="D5" s="2511"/>
      <c r="E5" s="2512" t="s">
        <v>690</v>
      </c>
      <c r="F5" s="2513"/>
      <c r="G5" s="2513"/>
      <c r="H5" s="2615" t="str">
        <f>IF(ISBLANK(Prelim!G84)," ",Prelim!G84)</f>
        <v xml:space="preserve"> </v>
      </c>
      <c r="I5" s="2616"/>
      <c r="J5" s="2613" t="s">
        <v>691</v>
      </c>
      <c r="K5" s="2614"/>
      <c r="L5" s="2614"/>
      <c r="M5" s="2210"/>
      <c r="O5" s="627" t="s">
        <v>710</v>
      </c>
      <c r="P5" s="1226"/>
      <c r="Q5" s="1226"/>
      <c r="R5" s="1238"/>
      <c r="S5" s="1238"/>
      <c r="T5" s="1238"/>
      <c r="W5" s="1473"/>
      <c r="Y5" s="615"/>
      <c r="Z5" s="615"/>
      <c r="AA5" s="615"/>
      <c r="AB5" s="615"/>
      <c r="AC5" s="615"/>
      <c r="AD5" s="615"/>
      <c r="AE5" s="615"/>
      <c r="AF5" s="615"/>
      <c r="AG5" s="615"/>
      <c r="AH5" s="615"/>
      <c r="AI5" s="615"/>
      <c r="AJ5" s="615"/>
      <c r="AK5" s="615"/>
      <c r="AL5" s="615"/>
      <c r="AM5" s="615"/>
      <c r="AN5" s="615"/>
      <c r="AO5" s="615"/>
      <c r="AP5" s="615"/>
      <c r="AQ5" s="615"/>
      <c r="AR5" s="615"/>
      <c r="AS5" s="615"/>
    </row>
    <row r="6" spans="1:45" ht="19.5" customHeight="1">
      <c r="A6" s="2517" t="s">
        <v>692</v>
      </c>
      <c r="B6" s="2518"/>
      <c r="C6" s="2518"/>
      <c r="D6" s="2529"/>
      <c r="E6" s="2621"/>
      <c r="F6" s="2511"/>
      <c r="G6" s="2622"/>
      <c r="H6" s="2511"/>
      <c r="I6" s="2530"/>
      <c r="J6" s="2511"/>
      <c r="K6" s="2620" t="s">
        <v>693</v>
      </c>
      <c r="L6" s="2612"/>
      <c r="M6" s="2211"/>
      <c r="O6" s="1630" t="s">
        <v>711</v>
      </c>
      <c r="P6" s="1226"/>
      <c r="Q6" s="1226"/>
      <c r="R6" s="1238"/>
      <c r="S6" s="629"/>
      <c r="T6" s="629"/>
      <c r="U6" s="1474"/>
      <c r="V6" s="1474"/>
      <c r="W6" s="1475"/>
      <c r="AB6" s="615"/>
      <c r="AC6" s="615"/>
      <c r="AD6" s="615"/>
      <c r="AE6" s="615"/>
      <c r="AF6" s="615"/>
      <c r="AG6" s="615"/>
      <c r="AH6" s="615"/>
      <c r="AI6" s="615"/>
      <c r="AJ6" s="615"/>
      <c r="AK6" s="615"/>
      <c r="AL6" s="615"/>
      <c r="AM6" s="615"/>
      <c r="AN6" s="615"/>
      <c r="AO6" s="615"/>
      <c r="AP6" s="615"/>
      <c r="AQ6" s="615"/>
      <c r="AR6" s="615"/>
      <c r="AS6" s="615"/>
    </row>
    <row r="7" spans="1:45" ht="19.5" customHeight="1" thickBot="1">
      <c r="A7" s="2610" t="s">
        <v>725</v>
      </c>
      <c r="B7" s="2611"/>
      <c r="C7" s="2611"/>
      <c r="D7" s="2623"/>
      <c r="E7" s="2624"/>
      <c r="F7" s="2623"/>
      <c r="G7" s="2624"/>
      <c r="H7" s="2575"/>
      <c r="I7" s="2575"/>
      <c r="J7" s="2575"/>
      <c r="K7" s="2609" t="s">
        <v>726</v>
      </c>
      <c r="L7" s="2609"/>
      <c r="M7" s="2306"/>
      <c r="O7" s="1632" t="s">
        <v>712</v>
      </c>
      <c r="P7" s="1626"/>
      <c r="Q7" s="1626"/>
      <c r="R7" s="1631"/>
      <c r="S7" s="1633" t="s">
        <v>727</v>
      </c>
      <c r="T7" s="1628"/>
      <c r="U7" s="1628"/>
      <c r="V7" s="1232"/>
      <c r="W7" s="1232"/>
      <c r="X7" s="1232"/>
      <c r="Y7" s="624"/>
      <c r="Z7" s="624"/>
      <c r="AA7" s="1231"/>
      <c r="AB7" s="615"/>
      <c r="AC7" s="615"/>
      <c r="AD7" s="615"/>
      <c r="AE7" s="615"/>
      <c r="AF7" s="615"/>
      <c r="AG7" s="615"/>
      <c r="AH7" s="615"/>
      <c r="AI7" s="615"/>
      <c r="AJ7" s="615"/>
      <c r="AK7" s="615"/>
      <c r="AL7" s="615"/>
      <c r="AM7" s="615"/>
      <c r="AN7" s="615"/>
      <c r="AO7" s="615"/>
    </row>
    <row r="8" spans="1:45" ht="14.1" customHeight="1">
      <c r="A8" s="2545" t="s">
        <v>696</v>
      </c>
      <c r="B8" s="2531" t="s">
        <v>697</v>
      </c>
      <c r="C8" s="2547" t="s">
        <v>698</v>
      </c>
      <c r="D8" s="2549" t="s">
        <v>699</v>
      </c>
      <c r="E8" s="2550"/>
      <c r="F8" s="2549" t="s">
        <v>700</v>
      </c>
      <c r="G8" s="2553"/>
      <c r="H8" s="2625" t="s">
        <v>701</v>
      </c>
      <c r="I8" s="2625" t="s">
        <v>702</v>
      </c>
      <c r="J8" s="2626" t="s">
        <v>703</v>
      </c>
      <c r="K8" s="2533"/>
      <c r="L8" s="2533"/>
      <c r="M8" s="2534"/>
      <c r="O8" s="2564" t="s">
        <v>713</v>
      </c>
      <c r="P8" s="2565"/>
      <c r="Q8" s="2565"/>
      <c r="R8" s="2566"/>
      <c r="S8" s="2591" t="s">
        <v>96</v>
      </c>
      <c r="T8" s="2591"/>
      <c r="U8" s="2591"/>
      <c r="V8" s="1230"/>
      <c r="W8" s="2565" t="s">
        <v>728</v>
      </c>
      <c r="X8" s="2565"/>
      <c r="Y8" s="2565"/>
      <c r="Z8" s="2565"/>
      <c r="AA8" s="2566"/>
      <c r="AB8" s="615"/>
      <c r="AC8" s="615"/>
      <c r="AD8" s="615"/>
      <c r="AE8" s="615"/>
      <c r="AF8" s="615"/>
      <c r="AG8" s="615"/>
      <c r="AH8" s="615"/>
      <c r="AI8" s="615"/>
      <c r="AJ8" s="615"/>
      <c r="AK8" s="615"/>
      <c r="AL8" s="615"/>
      <c r="AM8" s="615"/>
      <c r="AN8" s="615"/>
      <c r="AO8" s="615"/>
      <c r="AP8" s="615"/>
      <c r="AQ8" s="615"/>
      <c r="AR8" s="615"/>
    </row>
    <row r="9" spans="1:45" ht="14.1" customHeight="1" thickBot="1">
      <c r="A9" s="2546"/>
      <c r="B9" s="2532"/>
      <c r="C9" s="2548"/>
      <c r="D9" s="2551"/>
      <c r="E9" s="2552"/>
      <c r="F9" s="2554"/>
      <c r="G9" s="2555"/>
      <c r="H9" s="2532"/>
      <c r="I9" s="2532"/>
      <c r="J9" s="1217" t="s">
        <v>704</v>
      </c>
      <c r="K9" s="1217" t="s">
        <v>705</v>
      </c>
      <c r="L9" s="2627" t="s">
        <v>706</v>
      </c>
      <c r="M9" s="2628"/>
      <c r="O9" s="2564" t="s">
        <v>714</v>
      </c>
      <c r="P9" s="2565"/>
      <c r="Q9" s="2565"/>
      <c r="R9" s="2566"/>
      <c r="S9" s="2591" t="s">
        <v>152</v>
      </c>
      <c r="T9" s="2591"/>
      <c r="U9" s="2591"/>
      <c r="V9" s="1230"/>
      <c r="W9" s="2565" t="s">
        <v>729</v>
      </c>
      <c r="X9" s="2565"/>
      <c r="Y9" s="2565"/>
      <c r="Z9" s="2565"/>
      <c r="AA9" s="2566"/>
      <c r="AB9" s="615"/>
      <c r="AC9" s="615"/>
      <c r="AD9" s="615"/>
      <c r="AE9" s="615"/>
      <c r="AF9" s="615"/>
      <c r="AG9" s="615"/>
      <c r="AH9" s="615"/>
      <c r="AI9" s="615"/>
      <c r="AJ9" s="615"/>
      <c r="AK9" s="615"/>
      <c r="AL9" s="615"/>
      <c r="AM9" s="615"/>
      <c r="AN9" s="615"/>
      <c r="AO9" s="615"/>
      <c r="AP9" s="615"/>
      <c r="AQ9" s="615"/>
      <c r="AR9" s="615"/>
    </row>
    <row r="10" spans="1:45" ht="18" customHeight="1" thickTop="1">
      <c r="A10" s="2536"/>
      <c r="B10" s="2538"/>
      <c r="C10" s="2538"/>
      <c r="D10" s="1403"/>
      <c r="E10" s="1404"/>
      <c r="F10" s="1403"/>
      <c r="G10" s="1404"/>
      <c r="H10" s="2267"/>
      <c r="I10" s="1400"/>
      <c r="J10" s="2541"/>
      <c r="K10" s="2541"/>
      <c r="L10" s="2541"/>
      <c r="M10" s="2543"/>
      <c r="N10" s="617"/>
      <c r="O10" s="2564" t="s">
        <v>715</v>
      </c>
      <c r="P10" s="2565"/>
      <c r="Q10" s="2565"/>
      <c r="R10" s="2566"/>
      <c r="S10" s="2591" t="s">
        <v>208</v>
      </c>
      <c r="T10" s="2591"/>
      <c r="U10" s="2591"/>
      <c r="V10" s="1230"/>
      <c r="W10" s="2565" t="s">
        <v>730</v>
      </c>
      <c r="X10" s="2565"/>
      <c r="Y10" s="2565"/>
      <c r="Z10" s="2565"/>
      <c r="AA10" s="2566"/>
      <c r="AB10" s="615"/>
      <c r="AC10" s="615"/>
      <c r="AD10" s="615"/>
      <c r="AE10" s="615"/>
      <c r="AF10" s="615"/>
      <c r="AG10" s="615"/>
      <c r="AH10" s="615"/>
      <c r="AI10" s="615"/>
      <c r="AJ10" s="615"/>
      <c r="AK10" s="615"/>
      <c r="AL10" s="615"/>
      <c r="AM10" s="615"/>
      <c r="AN10" s="615"/>
      <c r="AO10" s="615"/>
      <c r="AP10" s="615"/>
      <c r="AQ10" s="615"/>
      <c r="AR10" s="615"/>
    </row>
    <row r="11" spans="1:45" ht="18" customHeight="1">
      <c r="A11" s="2537"/>
      <c r="B11" s="2539"/>
      <c r="C11" s="2540"/>
      <c r="D11" s="1401"/>
      <c r="E11" s="1402"/>
      <c r="F11" s="1403"/>
      <c r="G11" s="1402"/>
      <c r="H11" s="1400"/>
      <c r="I11" s="1400"/>
      <c r="J11" s="2542"/>
      <c r="K11" s="2542"/>
      <c r="L11" s="2542"/>
      <c r="M11" s="2544"/>
      <c r="N11" s="617"/>
      <c r="O11" s="2564" t="s">
        <v>716</v>
      </c>
      <c r="P11" s="2565"/>
      <c r="Q11" s="2565"/>
      <c r="R11" s="2566"/>
      <c r="S11" s="2629" t="s">
        <v>249</v>
      </c>
      <c r="T11" s="2629"/>
      <c r="U11" s="2629"/>
      <c r="V11" s="1230"/>
      <c r="W11" s="2593" t="s">
        <v>731</v>
      </c>
      <c r="X11" s="2593"/>
      <c r="Y11" s="2593"/>
      <c r="Z11" s="2593"/>
      <c r="AA11" s="2594"/>
      <c r="AB11" s="615"/>
      <c r="AC11" s="615"/>
      <c r="AD11" s="615"/>
      <c r="AE11" s="615"/>
      <c r="AF11" s="615"/>
      <c r="AG11" s="615"/>
      <c r="AH11" s="615"/>
      <c r="AI11" s="615"/>
      <c r="AJ11" s="615"/>
      <c r="AK11" s="615"/>
      <c r="AL11" s="615"/>
      <c r="AM11" s="615"/>
      <c r="AN11" s="615"/>
      <c r="AO11" s="615"/>
      <c r="AP11" s="615"/>
      <c r="AQ11" s="615"/>
      <c r="AR11" s="615"/>
    </row>
    <row r="12" spans="1:45" ht="18" customHeight="1">
      <c r="A12" s="2537"/>
      <c r="B12" s="2539"/>
      <c r="C12" s="2538"/>
      <c r="D12" s="1401"/>
      <c r="E12" s="1402"/>
      <c r="F12" s="1403"/>
      <c r="G12" s="1402"/>
      <c r="H12" s="1400"/>
      <c r="I12" s="1400"/>
      <c r="J12" s="2542"/>
      <c r="K12" s="2542"/>
      <c r="L12" s="2542"/>
      <c r="M12" s="2544"/>
      <c r="N12" s="617"/>
      <c r="O12" s="2564" t="s">
        <v>717</v>
      </c>
      <c r="P12" s="2565"/>
      <c r="Q12" s="2565"/>
      <c r="R12" s="2566"/>
      <c r="S12" s="2629"/>
      <c r="T12" s="2629"/>
      <c r="U12" s="2629"/>
      <c r="V12" s="1230"/>
      <c r="W12" s="2593"/>
      <c r="X12" s="2593"/>
      <c r="Y12" s="2593"/>
      <c r="Z12" s="2593"/>
      <c r="AA12" s="2594"/>
      <c r="AB12" s="615"/>
      <c r="AC12" s="615"/>
      <c r="AD12" s="615"/>
      <c r="AE12" s="615"/>
      <c r="AF12" s="615"/>
      <c r="AG12" s="615"/>
      <c r="AH12" s="615"/>
      <c r="AI12" s="615"/>
      <c r="AJ12" s="615"/>
      <c r="AK12" s="615"/>
      <c r="AL12" s="615"/>
      <c r="AM12" s="615"/>
      <c r="AN12" s="615"/>
      <c r="AO12" s="615"/>
      <c r="AP12" s="615"/>
      <c r="AQ12" s="615"/>
      <c r="AR12" s="615"/>
    </row>
    <row r="13" spans="1:45" ht="18" customHeight="1">
      <c r="A13" s="2537"/>
      <c r="B13" s="2539"/>
      <c r="C13" s="2540"/>
      <c r="D13" s="1401"/>
      <c r="E13" s="1402"/>
      <c r="F13" s="1403"/>
      <c r="G13" s="1402"/>
      <c r="H13" s="1400"/>
      <c r="I13" s="1400"/>
      <c r="J13" s="2542"/>
      <c r="K13" s="2542"/>
      <c r="L13" s="2542"/>
      <c r="M13" s="2544"/>
      <c r="N13" s="617"/>
      <c r="O13" s="2567" t="s">
        <v>718</v>
      </c>
      <c r="P13" s="2568"/>
      <c r="Q13" s="2568"/>
      <c r="R13" s="2569"/>
      <c r="S13" s="2596" t="s">
        <v>277</v>
      </c>
      <c r="T13" s="2596"/>
      <c r="U13" s="2596"/>
      <c r="V13" s="1229"/>
      <c r="W13" s="2597" t="s">
        <v>732</v>
      </c>
      <c r="X13" s="2597"/>
      <c r="Y13" s="2597"/>
      <c r="Z13" s="2597"/>
      <c r="AA13" s="2598"/>
      <c r="AC13" s="615"/>
      <c r="AD13" s="615"/>
      <c r="AE13" s="615"/>
      <c r="AF13" s="615"/>
      <c r="AG13" s="615"/>
      <c r="AH13" s="615"/>
      <c r="AI13" s="615"/>
      <c r="AJ13" s="615"/>
      <c r="AK13" s="615"/>
      <c r="AL13" s="615"/>
      <c r="AM13" s="615"/>
      <c r="AN13" s="615"/>
      <c r="AO13" s="615"/>
      <c r="AP13" s="615"/>
      <c r="AQ13" s="615"/>
      <c r="AR13" s="615"/>
    </row>
    <row r="14" spans="1:45" ht="18" customHeight="1">
      <c r="A14" s="2537"/>
      <c r="B14" s="2539"/>
      <c r="C14" s="2538"/>
      <c r="D14" s="1401"/>
      <c r="E14" s="1402"/>
      <c r="F14" s="1403"/>
      <c r="G14" s="1402"/>
      <c r="H14" s="1400"/>
      <c r="I14" s="1400"/>
      <c r="J14" s="2542"/>
      <c r="K14" s="2542"/>
      <c r="L14" s="2542"/>
      <c r="M14" s="2544"/>
      <c r="N14" s="617"/>
      <c r="O14" s="1627" t="s">
        <v>733</v>
      </c>
      <c r="P14" s="1628"/>
      <c r="Q14" s="1628"/>
      <c r="R14" s="1232"/>
      <c r="S14" s="1241"/>
      <c r="T14" s="1241"/>
      <c r="U14" s="632"/>
      <c r="V14" s="632"/>
      <c r="W14" s="632"/>
      <c r="X14" s="632"/>
      <c r="Y14" s="632"/>
      <c r="Z14" s="632"/>
      <c r="AA14" s="623"/>
      <c r="AD14" s="615"/>
      <c r="AE14" s="615"/>
      <c r="AF14" s="615"/>
      <c r="AG14" s="615"/>
      <c r="AH14" s="615"/>
      <c r="AI14" s="615"/>
      <c r="AJ14" s="615"/>
      <c r="AK14" s="615"/>
      <c r="AL14" s="615"/>
      <c r="AM14" s="615"/>
      <c r="AN14" s="615"/>
      <c r="AO14" s="615"/>
      <c r="AP14" s="615"/>
      <c r="AQ14" s="615"/>
      <c r="AR14" s="615"/>
      <c r="AS14" s="615"/>
    </row>
    <row r="15" spans="1:45" ht="18" customHeight="1">
      <c r="A15" s="2537"/>
      <c r="B15" s="2539"/>
      <c r="C15" s="2540"/>
      <c r="D15" s="1401"/>
      <c r="E15" s="1402"/>
      <c r="F15" s="1403"/>
      <c r="G15" s="1402"/>
      <c r="H15" s="1400"/>
      <c r="I15" s="1400"/>
      <c r="J15" s="2542"/>
      <c r="K15" s="2542"/>
      <c r="L15" s="2542"/>
      <c r="M15" s="2544"/>
      <c r="N15" s="617"/>
      <c r="O15" s="2592" t="s">
        <v>150</v>
      </c>
      <c r="P15" s="2591"/>
      <c r="Q15" s="2591"/>
      <c r="R15" s="1230"/>
      <c r="S15" s="2605" t="s">
        <v>734</v>
      </c>
      <c r="T15" s="2605"/>
      <c r="U15" s="2605"/>
      <c r="V15" s="2605"/>
      <c r="W15" s="2605"/>
      <c r="X15" s="2605"/>
      <c r="Y15" s="2605"/>
      <c r="Z15" s="2605"/>
      <c r="AA15" s="2606"/>
      <c r="AF15" s="615"/>
      <c r="AG15" s="615"/>
      <c r="AH15" s="615"/>
      <c r="AI15" s="615"/>
      <c r="AJ15" s="615"/>
      <c r="AK15" s="615"/>
      <c r="AL15" s="615"/>
      <c r="AM15" s="615"/>
      <c r="AN15" s="615"/>
      <c r="AO15" s="615"/>
      <c r="AP15" s="615"/>
      <c r="AQ15" s="615"/>
      <c r="AR15" s="615"/>
      <c r="AS15" s="615"/>
    </row>
    <row r="16" spans="1:45" ht="18" customHeight="1">
      <c r="A16" s="2537"/>
      <c r="B16" s="2539"/>
      <c r="C16" s="2538"/>
      <c r="D16" s="1401"/>
      <c r="E16" s="1402"/>
      <c r="F16" s="1403"/>
      <c r="G16" s="1402"/>
      <c r="H16" s="1400"/>
      <c r="I16" s="1400"/>
      <c r="J16" s="2542"/>
      <c r="K16" s="2542"/>
      <c r="L16" s="2542"/>
      <c r="M16" s="2544"/>
      <c r="N16" s="617"/>
      <c r="O16" s="2592"/>
      <c r="P16" s="2591"/>
      <c r="Q16" s="2591"/>
      <c r="R16" s="1230"/>
      <c r="S16" s="2605"/>
      <c r="T16" s="2605"/>
      <c r="U16" s="2605"/>
      <c r="V16" s="2605"/>
      <c r="W16" s="2605"/>
      <c r="X16" s="2605"/>
      <c r="Y16" s="2605"/>
      <c r="Z16" s="2605"/>
      <c r="AA16" s="2606"/>
      <c r="AF16" s="615"/>
      <c r="AG16" s="615"/>
      <c r="AH16" s="615"/>
      <c r="AI16" s="615"/>
      <c r="AJ16" s="615"/>
      <c r="AK16" s="615"/>
      <c r="AL16" s="615"/>
      <c r="AM16" s="615"/>
      <c r="AN16" s="615"/>
      <c r="AO16" s="615"/>
      <c r="AP16" s="615"/>
      <c r="AQ16" s="615"/>
      <c r="AR16" s="615"/>
      <c r="AS16" s="615"/>
    </row>
    <row r="17" spans="1:45" ht="18" customHeight="1">
      <c r="A17" s="2537"/>
      <c r="B17" s="2539"/>
      <c r="C17" s="2540"/>
      <c r="D17" s="1401"/>
      <c r="E17" s="1402"/>
      <c r="F17" s="1403"/>
      <c r="G17" s="1402"/>
      <c r="H17" s="1400"/>
      <c r="I17" s="1400"/>
      <c r="J17" s="2542"/>
      <c r="K17" s="2542"/>
      <c r="L17" s="2542"/>
      <c r="M17" s="2544"/>
      <c r="N17" s="617"/>
      <c r="O17" s="2592" t="s">
        <v>206</v>
      </c>
      <c r="P17" s="2591"/>
      <c r="Q17" s="2591"/>
      <c r="R17" s="1230"/>
      <c r="S17" s="2605" t="s">
        <v>735</v>
      </c>
      <c r="T17" s="2605"/>
      <c r="U17" s="2605"/>
      <c r="V17" s="2605"/>
      <c r="W17" s="2605"/>
      <c r="X17" s="2605"/>
      <c r="Y17" s="2605"/>
      <c r="Z17" s="2605"/>
      <c r="AA17" s="2606"/>
      <c r="AF17" s="615"/>
      <c r="AG17" s="615"/>
      <c r="AH17" s="615"/>
      <c r="AI17" s="615"/>
      <c r="AJ17" s="615"/>
      <c r="AK17" s="615"/>
      <c r="AL17" s="615"/>
      <c r="AM17" s="615"/>
      <c r="AN17" s="615"/>
      <c r="AO17" s="615"/>
      <c r="AP17" s="615"/>
      <c r="AQ17" s="615"/>
      <c r="AR17" s="615"/>
      <c r="AS17" s="615"/>
    </row>
    <row r="18" spans="1:45" ht="18" customHeight="1">
      <c r="A18" s="2537"/>
      <c r="B18" s="2539"/>
      <c r="C18" s="2538"/>
      <c r="D18" s="1401"/>
      <c r="E18" s="1402"/>
      <c r="F18" s="1403"/>
      <c r="G18" s="1402"/>
      <c r="H18" s="1400"/>
      <c r="I18" s="1400"/>
      <c r="J18" s="2542"/>
      <c r="K18" s="2542"/>
      <c r="L18" s="2542"/>
      <c r="M18" s="2544"/>
      <c r="N18" s="617"/>
      <c r="O18" s="2592"/>
      <c r="P18" s="2591"/>
      <c r="Q18" s="2591"/>
      <c r="R18" s="1230"/>
      <c r="S18" s="2605"/>
      <c r="T18" s="2605"/>
      <c r="U18" s="2605"/>
      <c r="V18" s="2605"/>
      <c r="W18" s="2605"/>
      <c r="X18" s="2605"/>
      <c r="Y18" s="2605"/>
      <c r="Z18" s="2605"/>
      <c r="AA18" s="2606"/>
      <c r="AF18" s="615"/>
      <c r="AG18" s="615"/>
      <c r="AH18" s="615"/>
      <c r="AI18" s="615"/>
      <c r="AJ18" s="615"/>
      <c r="AK18" s="615"/>
      <c r="AL18" s="615"/>
      <c r="AM18" s="615"/>
      <c r="AN18" s="615"/>
      <c r="AO18" s="615"/>
      <c r="AP18" s="615"/>
      <c r="AQ18" s="615"/>
      <c r="AR18" s="615"/>
      <c r="AS18" s="615"/>
    </row>
    <row r="19" spans="1:45" ht="18" customHeight="1">
      <c r="A19" s="2537"/>
      <c r="B19" s="2539"/>
      <c r="C19" s="2540"/>
      <c r="D19" s="1401"/>
      <c r="E19" s="1402"/>
      <c r="F19" s="1403"/>
      <c r="G19" s="1402"/>
      <c r="H19" s="1400"/>
      <c r="I19" s="1400"/>
      <c r="J19" s="2542"/>
      <c r="K19" s="2542"/>
      <c r="L19" s="2542"/>
      <c r="M19" s="2544"/>
      <c r="N19" s="617"/>
      <c r="O19" s="2592"/>
      <c r="P19" s="2591"/>
      <c r="Q19" s="2591"/>
      <c r="R19" s="1230"/>
      <c r="S19" s="2605"/>
      <c r="T19" s="2605"/>
      <c r="U19" s="2605"/>
      <c r="V19" s="2605"/>
      <c r="W19" s="2605"/>
      <c r="X19" s="2605"/>
      <c r="Y19" s="2605"/>
      <c r="Z19" s="2605"/>
      <c r="AA19" s="2606"/>
      <c r="AF19" s="615"/>
      <c r="AG19" s="615"/>
      <c r="AH19" s="615"/>
      <c r="AI19" s="615"/>
      <c r="AJ19" s="615"/>
      <c r="AK19" s="615"/>
      <c r="AL19" s="615"/>
      <c r="AM19" s="615"/>
      <c r="AN19" s="615"/>
      <c r="AO19" s="615"/>
      <c r="AP19" s="615"/>
      <c r="AQ19" s="615"/>
      <c r="AR19" s="615"/>
      <c r="AS19" s="615"/>
    </row>
    <row r="20" spans="1:45" ht="18" customHeight="1">
      <c r="A20" s="2537"/>
      <c r="B20" s="2539"/>
      <c r="C20" s="2538"/>
      <c r="D20" s="1401"/>
      <c r="E20" s="1402"/>
      <c r="F20" s="1403"/>
      <c r="G20" s="1402"/>
      <c r="H20" s="1400"/>
      <c r="I20" s="1400"/>
      <c r="J20" s="2542"/>
      <c r="K20" s="2542"/>
      <c r="L20" s="2542"/>
      <c r="M20" s="2544"/>
      <c r="N20" s="617"/>
      <c r="O20" s="2592" t="s">
        <v>247</v>
      </c>
      <c r="P20" s="2591"/>
      <c r="Q20" s="2591"/>
      <c r="R20" s="1230"/>
      <c r="S20" s="2605" t="s">
        <v>736</v>
      </c>
      <c r="T20" s="2605"/>
      <c r="U20" s="2605"/>
      <c r="V20" s="2605"/>
      <c r="W20" s="2605"/>
      <c r="X20" s="2605"/>
      <c r="Y20" s="2605"/>
      <c r="Z20" s="2605"/>
      <c r="AA20" s="2606"/>
      <c r="AF20" s="615"/>
      <c r="AG20" s="615"/>
      <c r="AH20" s="615"/>
      <c r="AI20" s="615"/>
      <c r="AJ20" s="615"/>
      <c r="AK20" s="615"/>
      <c r="AL20" s="615"/>
      <c r="AM20" s="615"/>
      <c r="AN20" s="615"/>
      <c r="AO20" s="615"/>
      <c r="AP20" s="615"/>
      <c r="AQ20" s="615"/>
      <c r="AR20" s="615"/>
      <c r="AS20" s="615"/>
    </row>
    <row r="21" spans="1:45" ht="18" customHeight="1">
      <c r="A21" s="2537"/>
      <c r="B21" s="2539"/>
      <c r="C21" s="2540"/>
      <c r="D21" s="1401"/>
      <c r="E21" s="1402"/>
      <c r="F21" s="1403"/>
      <c r="G21" s="1402"/>
      <c r="H21" s="1400"/>
      <c r="I21" s="1400"/>
      <c r="J21" s="2542"/>
      <c r="K21" s="2542"/>
      <c r="L21" s="2542"/>
      <c r="M21" s="2544"/>
      <c r="N21" s="617"/>
      <c r="O21" s="2592"/>
      <c r="P21" s="2591"/>
      <c r="Q21" s="2591"/>
      <c r="R21" s="1230"/>
      <c r="S21" s="2605"/>
      <c r="T21" s="2605"/>
      <c r="U21" s="2605"/>
      <c r="V21" s="2605"/>
      <c r="W21" s="2605"/>
      <c r="X21" s="2605"/>
      <c r="Y21" s="2605"/>
      <c r="Z21" s="2605"/>
      <c r="AA21" s="2606"/>
      <c r="AF21" s="615"/>
      <c r="AG21" s="615"/>
      <c r="AH21" s="615"/>
      <c r="AI21" s="615"/>
      <c r="AJ21" s="615"/>
      <c r="AK21" s="615"/>
      <c r="AL21" s="615"/>
      <c r="AM21" s="615"/>
      <c r="AN21" s="615"/>
      <c r="AO21" s="615"/>
      <c r="AP21" s="615"/>
      <c r="AQ21" s="615"/>
      <c r="AR21" s="615"/>
      <c r="AS21" s="615"/>
    </row>
    <row r="22" spans="1:45" ht="18" customHeight="1">
      <c r="A22" s="2537"/>
      <c r="B22" s="2539"/>
      <c r="C22" s="2538"/>
      <c r="D22" s="1401"/>
      <c r="E22" s="1402"/>
      <c r="F22" s="1403"/>
      <c r="G22" s="1402"/>
      <c r="H22" s="1400"/>
      <c r="I22" s="1400"/>
      <c r="J22" s="2542"/>
      <c r="K22" s="2542"/>
      <c r="L22" s="2542"/>
      <c r="M22" s="2544"/>
      <c r="N22" s="617"/>
      <c r="O22" s="2592"/>
      <c r="P22" s="2591"/>
      <c r="Q22" s="2591"/>
      <c r="R22" s="1230"/>
      <c r="S22" s="2605"/>
      <c r="T22" s="2605"/>
      <c r="U22" s="2605"/>
      <c r="V22" s="2605"/>
      <c r="W22" s="2605"/>
      <c r="X22" s="2605"/>
      <c r="Y22" s="2605"/>
      <c r="Z22" s="2605"/>
      <c r="AA22" s="2606"/>
      <c r="AB22" s="621"/>
      <c r="AC22" s="621"/>
      <c r="AF22" s="615"/>
      <c r="AG22" s="615"/>
      <c r="AH22" s="615"/>
      <c r="AI22" s="615"/>
      <c r="AJ22" s="615"/>
      <c r="AK22" s="615"/>
      <c r="AL22" s="615"/>
      <c r="AM22" s="615"/>
      <c r="AN22" s="615"/>
      <c r="AO22" s="615"/>
      <c r="AP22" s="615"/>
      <c r="AQ22" s="615"/>
      <c r="AR22" s="615"/>
      <c r="AS22" s="615"/>
    </row>
    <row r="23" spans="1:45" ht="18" customHeight="1" thickBot="1">
      <c r="A23" s="2574"/>
      <c r="B23" s="2575"/>
      <c r="C23" s="2540"/>
      <c r="D23" s="1405"/>
      <c r="E23" s="1402"/>
      <c r="F23" s="1403"/>
      <c r="G23" s="1406"/>
      <c r="H23" s="1400"/>
      <c r="I23" s="1400"/>
      <c r="J23" s="2576"/>
      <c r="K23" s="2576"/>
      <c r="L23" s="2576"/>
      <c r="M23" s="2577"/>
      <c r="N23" s="617"/>
      <c r="O23" s="2592" t="s">
        <v>275</v>
      </c>
      <c r="P23" s="2591"/>
      <c r="Q23" s="2591"/>
      <c r="R23" s="1230"/>
      <c r="S23" s="2605" t="s">
        <v>737</v>
      </c>
      <c r="T23" s="2605"/>
      <c r="U23" s="2605"/>
      <c r="V23" s="2605"/>
      <c r="W23" s="2605"/>
      <c r="X23" s="2605"/>
      <c r="Y23" s="2605"/>
      <c r="Z23" s="2605"/>
      <c r="AA23" s="2606"/>
      <c r="AF23" s="615"/>
      <c r="AG23" s="615"/>
      <c r="AH23" s="615"/>
      <c r="AI23" s="615"/>
      <c r="AJ23" s="615"/>
      <c r="AK23" s="615"/>
      <c r="AL23" s="615"/>
      <c r="AM23" s="615"/>
      <c r="AN23" s="615"/>
      <c r="AO23" s="615"/>
      <c r="AP23" s="615"/>
      <c r="AQ23" s="615"/>
      <c r="AR23" s="615"/>
      <c r="AS23" s="615"/>
    </row>
    <row r="24" spans="1:45" s="621" customFormat="1" ht="6" customHeight="1">
      <c r="A24" s="2578" t="s">
        <v>719</v>
      </c>
      <c r="B24" s="2580"/>
      <c r="C24" s="2580"/>
      <c r="D24" s="2580"/>
      <c r="E24" s="2580"/>
      <c r="F24" s="2580"/>
      <c r="G24" s="2580"/>
      <c r="H24" s="2580"/>
      <c r="I24" s="2580"/>
      <c r="J24" s="2580"/>
      <c r="K24" s="2580"/>
      <c r="L24" s="2580"/>
      <c r="M24" s="2581"/>
      <c r="N24" s="618"/>
      <c r="O24" s="2592"/>
      <c r="P24" s="2591"/>
      <c r="Q24" s="2591"/>
      <c r="R24" s="1230"/>
      <c r="S24" s="2605"/>
      <c r="T24" s="2605"/>
      <c r="U24" s="2605"/>
      <c r="V24" s="2605"/>
      <c r="W24" s="2605"/>
      <c r="X24" s="2605"/>
      <c r="Y24" s="2605"/>
      <c r="Z24" s="2605"/>
      <c r="AA24" s="2606"/>
      <c r="AB24" s="608"/>
      <c r="AC24" s="608"/>
      <c r="AF24" s="620"/>
      <c r="AG24" s="620"/>
      <c r="AH24" s="620"/>
      <c r="AI24" s="620"/>
      <c r="AJ24" s="620"/>
      <c r="AK24" s="620"/>
      <c r="AL24" s="620"/>
      <c r="AM24" s="620"/>
      <c r="AN24" s="620"/>
      <c r="AO24" s="620"/>
      <c r="AP24" s="620"/>
      <c r="AQ24" s="620"/>
      <c r="AR24" s="620"/>
      <c r="AS24" s="620"/>
    </row>
    <row r="25" spans="1:45" ht="21.95" customHeight="1" thickBot="1">
      <c r="A25" s="2579"/>
      <c r="B25" s="2582"/>
      <c r="C25" s="2582"/>
      <c r="D25" s="2582"/>
      <c r="E25" s="2582"/>
      <c r="F25" s="2582"/>
      <c r="G25" s="2582"/>
      <c r="H25" s="2582"/>
      <c r="I25" s="2582"/>
      <c r="J25" s="2582"/>
      <c r="K25" s="2582"/>
      <c r="L25" s="2582"/>
      <c r="M25" s="2583"/>
      <c r="N25" s="617"/>
      <c r="O25" s="2592"/>
      <c r="P25" s="2591"/>
      <c r="Q25" s="2591"/>
      <c r="R25" s="1230"/>
      <c r="S25" s="2605"/>
      <c r="T25" s="2605"/>
      <c r="U25" s="2605"/>
      <c r="V25" s="2605"/>
      <c r="W25" s="2605"/>
      <c r="X25" s="2605"/>
      <c r="Y25" s="2605"/>
      <c r="Z25" s="2605"/>
      <c r="AA25" s="2606"/>
      <c r="AB25" s="608"/>
      <c r="AC25" s="608"/>
      <c r="AF25" s="615"/>
      <c r="AG25" s="615"/>
      <c r="AH25" s="615"/>
      <c r="AI25" s="615"/>
      <c r="AJ25" s="615"/>
      <c r="AK25" s="615"/>
      <c r="AL25" s="615"/>
      <c r="AM25" s="615"/>
      <c r="AN25" s="615"/>
      <c r="AO25" s="615"/>
      <c r="AP25" s="615"/>
      <c r="AQ25" s="615"/>
      <c r="AR25" s="615"/>
      <c r="AS25" s="615"/>
    </row>
    <row r="26" spans="1:45" s="608" customFormat="1" ht="14.1" customHeight="1">
      <c r="A26" s="1407" t="s">
        <v>720</v>
      </c>
      <c r="B26" s="1408"/>
      <c r="D26" s="1116"/>
      <c r="E26" s="1116"/>
      <c r="F26" s="1116"/>
      <c r="G26" s="1116"/>
      <c r="H26" s="1116"/>
      <c r="I26" s="1116"/>
      <c r="J26" s="1116"/>
      <c r="K26" s="1116"/>
      <c r="L26" s="1116"/>
      <c r="M26" s="1409"/>
      <c r="N26" s="1116"/>
      <c r="O26" s="2601" t="s">
        <v>738</v>
      </c>
      <c r="P26" s="2602"/>
      <c r="Q26" s="2602"/>
      <c r="R26" s="1229"/>
      <c r="S26" s="2603" t="s">
        <v>739</v>
      </c>
      <c r="T26" s="2603"/>
      <c r="U26" s="2603"/>
      <c r="V26" s="2603"/>
      <c r="W26" s="2603"/>
      <c r="X26" s="2603"/>
      <c r="Y26" s="2603"/>
      <c r="Z26" s="2603"/>
      <c r="AA26" s="2604"/>
    </row>
    <row r="27" spans="1:45" s="608" customFormat="1" ht="21.95" customHeight="1" thickBot="1">
      <c r="A27" s="2584"/>
      <c r="B27" s="2585"/>
      <c r="C27" s="2585"/>
      <c r="D27" s="610"/>
      <c r="E27" s="2586"/>
      <c r="F27" s="2586"/>
      <c r="G27" s="2586"/>
      <c r="H27" s="2586"/>
      <c r="J27" s="1564"/>
      <c r="L27" s="2634"/>
      <c r="M27" s="2588"/>
      <c r="N27" s="622"/>
      <c r="O27" s="1635" t="s">
        <v>740</v>
      </c>
      <c r="P27" s="1628"/>
      <c r="Q27" s="2607" t="s">
        <v>96</v>
      </c>
      <c r="R27" s="1232"/>
      <c r="S27" s="2589" t="s">
        <v>741</v>
      </c>
      <c r="T27" s="2589"/>
      <c r="U27" s="2589"/>
      <c r="V27" s="2589"/>
      <c r="W27" s="2589"/>
      <c r="X27" s="2589"/>
      <c r="Y27" s="2589"/>
      <c r="Z27" s="632"/>
      <c r="AA27" s="623"/>
    </row>
    <row r="28" spans="1:45" s="608" customFormat="1" ht="12" customHeight="1">
      <c r="A28" s="2570" t="s">
        <v>721</v>
      </c>
      <c r="B28" s="2571"/>
      <c r="C28" s="2571"/>
      <c r="D28" s="611"/>
      <c r="E28" s="2571" t="s">
        <v>722</v>
      </c>
      <c r="F28" s="2571"/>
      <c r="G28" s="2571"/>
      <c r="H28" s="2572"/>
      <c r="J28" s="1491" t="s">
        <v>723</v>
      </c>
      <c r="L28" s="2465" t="s">
        <v>724</v>
      </c>
      <c r="M28" s="2573"/>
      <c r="N28" s="622"/>
      <c r="O28" s="1634"/>
      <c r="P28" s="1629"/>
      <c r="Q28" s="2608"/>
      <c r="R28" s="1230"/>
      <c r="S28" s="2590"/>
      <c r="T28" s="2590"/>
      <c r="U28" s="2590"/>
      <c r="V28" s="2590"/>
      <c r="W28" s="2590"/>
      <c r="X28" s="2590"/>
      <c r="Y28" s="2590"/>
      <c r="Z28" s="1226"/>
      <c r="AA28" s="1240"/>
    </row>
    <row r="29" spans="1:45" s="608" customFormat="1" ht="27" customHeight="1">
      <c r="A29" s="2639" t="s">
        <v>2661</v>
      </c>
      <c r="B29" s="2640"/>
      <c r="C29" s="2640"/>
      <c r="D29" s="2640"/>
      <c r="E29" s="2640"/>
      <c r="F29" s="2640"/>
      <c r="G29" s="2640"/>
      <c r="H29" s="2640"/>
      <c r="I29" s="2640"/>
      <c r="J29" s="2640"/>
      <c r="K29" s="2640"/>
      <c r="L29" s="2640"/>
      <c r="M29" s="2641"/>
      <c r="N29" s="622"/>
      <c r="O29" s="2592" t="s">
        <v>151</v>
      </c>
      <c r="P29" s="2591"/>
      <c r="Q29" s="2591"/>
      <c r="R29" s="1230"/>
      <c r="S29" s="1239" t="s">
        <v>742</v>
      </c>
      <c r="T29" s="1239"/>
      <c r="U29" s="1239"/>
      <c r="V29" s="1239"/>
      <c r="W29" s="1239"/>
      <c r="X29" s="1239"/>
      <c r="Y29" s="1239"/>
      <c r="Z29" s="1238"/>
      <c r="AA29" s="626"/>
    </row>
    <row r="30" spans="1:45" s="608" customFormat="1" ht="21.95" customHeight="1" thickBot="1">
      <c r="A30" s="2635"/>
      <c r="B30" s="2636"/>
      <c r="C30" s="2636"/>
      <c r="D30" s="610"/>
      <c r="E30" s="2637"/>
      <c r="F30" s="2637"/>
      <c r="G30" s="2637"/>
      <c r="H30" s="2637"/>
      <c r="J30" s="1259"/>
      <c r="L30" s="2634"/>
      <c r="M30" s="2638"/>
      <c r="N30" s="622"/>
      <c r="O30" s="2592" t="s">
        <v>207</v>
      </c>
      <c r="P30" s="2591"/>
      <c r="Q30" s="2591"/>
      <c r="R30" s="1230"/>
      <c r="S30" s="2599" t="s">
        <v>743</v>
      </c>
      <c r="T30" s="2599"/>
      <c r="U30" s="2599"/>
      <c r="V30" s="2599"/>
      <c r="W30" s="2599"/>
      <c r="X30" s="2599"/>
      <c r="Y30" s="2599"/>
      <c r="Z30" s="2599"/>
      <c r="AA30" s="2600"/>
      <c r="AB30" s="613"/>
      <c r="AC30" s="613"/>
    </row>
    <row r="31" spans="1:45" s="608" customFormat="1" ht="14.1" customHeight="1" thickBot="1">
      <c r="A31" s="2630" t="s">
        <v>744</v>
      </c>
      <c r="B31" s="2631"/>
      <c r="C31" s="2631"/>
      <c r="D31" s="894"/>
      <c r="E31" s="2631" t="s">
        <v>722</v>
      </c>
      <c r="F31" s="2631"/>
      <c r="G31" s="2631"/>
      <c r="H31" s="2632"/>
      <c r="I31" s="612"/>
      <c r="J31" s="894" t="s">
        <v>745</v>
      </c>
      <c r="K31" s="612"/>
      <c r="L31" s="2631" t="s">
        <v>724</v>
      </c>
      <c r="M31" s="2633"/>
      <c r="O31" s="1237"/>
      <c r="P31" s="1236"/>
      <c r="Q31" s="1236"/>
      <c r="R31" s="1230"/>
      <c r="S31" s="2599"/>
      <c r="T31" s="2599"/>
      <c r="U31" s="2599"/>
      <c r="V31" s="2599"/>
      <c r="W31" s="2599"/>
      <c r="X31" s="2599"/>
      <c r="Y31" s="2599"/>
      <c r="Z31" s="2599"/>
      <c r="AA31" s="2600"/>
      <c r="AB31" s="613"/>
      <c r="AC31" s="613"/>
    </row>
    <row r="32" spans="1:45">
      <c r="L32" s="615"/>
      <c r="M32" s="615"/>
      <c r="O32" s="2592" t="s">
        <v>248</v>
      </c>
      <c r="P32" s="2591"/>
      <c r="Q32" s="2591"/>
      <c r="R32" s="1230"/>
      <c r="S32" s="2593" t="s">
        <v>746</v>
      </c>
      <c r="T32" s="2593"/>
      <c r="U32" s="2593"/>
      <c r="V32" s="2593"/>
      <c r="W32" s="2593"/>
      <c r="X32" s="2593"/>
      <c r="Y32" s="2593"/>
      <c r="Z32" s="2593"/>
      <c r="AA32" s="2594"/>
      <c r="AF32" s="615"/>
      <c r="AG32" s="615"/>
      <c r="AH32" s="615"/>
      <c r="AI32" s="615"/>
      <c r="AJ32" s="615"/>
      <c r="AK32" s="615"/>
      <c r="AL32" s="615"/>
      <c r="AM32" s="615"/>
      <c r="AN32" s="615"/>
      <c r="AO32" s="615"/>
      <c r="AP32" s="615"/>
      <c r="AQ32" s="615"/>
      <c r="AR32" s="615"/>
      <c r="AS32" s="615"/>
    </row>
    <row r="33" spans="12:45">
      <c r="L33" s="615"/>
      <c r="M33" s="615"/>
      <c r="O33" s="2592"/>
      <c r="P33" s="2591"/>
      <c r="Q33" s="2591"/>
      <c r="R33" s="1230"/>
      <c r="S33" s="2593"/>
      <c r="T33" s="2593"/>
      <c r="U33" s="2593"/>
      <c r="V33" s="2593"/>
      <c r="W33" s="2593"/>
      <c r="X33" s="2593"/>
      <c r="Y33" s="2593"/>
      <c r="Z33" s="2593"/>
      <c r="AA33" s="2594"/>
      <c r="AF33" s="615"/>
      <c r="AG33" s="615"/>
      <c r="AH33" s="615"/>
      <c r="AI33" s="615"/>
      <c r="AJ33" s="615"/>
      <c r="AK33" s="615"/>
      <c r="AL33" s="615"/>
      <c r="AM33" s="615"/>
      <c r="AN33" s="615"/>
      <c r="AO33" s="615"/>
      <c r="AP33" s="615"/>
      <c r="AQ33" s="615"/>
      <c r="AR33" s="615"/>
      <c r="AS33" s="615"/>
    </row>
    <row r="34" spans="12:45">
      <c r="L34" s="615"/>
      <c r="M34" s="615"/>
      <c r="O34" s="2595" t="s">
        <v>276</v>
      </c>
      <c r="P34" s="2596"/>
      <c r="Q34" s="2596"/>
      <c r="R34" s="1229"/>
      <c r="S34" s="631" t="s">
        <v>747</v>
      </c>
      <c r="T34" s="631"/>
      <c r="U34" s="631"/>
      <c r="V34" s="631"/>
      <c r="W34" s="631"/>
      <c r="X34" s="631"/>
      <c r="Y34" s="631"/>
      <c r="Z34" s="629"/>
      <c r="AA34" s="630"/>
      <c r="AF34" s="615"/>
      <c r="AG34" s="615"/>
      <c r="AH34" s="615"/>
      <c r="AI34" s="615"/>
      <c r="AJ34" s="615"/>
      <c r="AK34" s="615"/>
      <c r="AL34" s="615"/>
      <c r="AM34" s="615"/>
      <c r="AN34" s="615"/>
      <c r="AO34" s="615"/>
      <c r="AP34" s="615"/>
      <c r="AQ34" s="615"/>
      <c r="AR34" s="615"/>
      <c r="AS34" s="615"/>
    </row>
    <row r="35" spans="12:45">
      <c r="L35" s="615"/>
      <c r="M35" s="615"/>
      <c r="AF35" s="615"/>
      <c r="AG35" s="615"/>
      <c r="AH35" s="615"/>
      <c r="AI35" s="615"/>
      <c r="AJ35" s="615"/>
      <c r="AK35" s="615"/>
      <c r="AL35" s="615"/>
      <c r="AM35" s="615"/>
      <c r="AN35" s="615"/>
      <c r="AO35" s="615"/>
      <c r="AP35" s="615"/>
      <c r="AQ35" s="615"/>
      <c r="AR35" s="615"/>
      <c r="AS35" s="615"/>
    </row>
    <row r="36" spans="12:45">
      <c r="L36" s="615"/>
      <c r="M36" s="615"/>
      <c r="AF36" s="615"/>
      <c r="AG36" s="615"/>
      <c r="AH36" s="615"/>
      <c r="AI36" s="615"/>
      <c r="AJ36" s="615"/>
      <c r="AK36" s="615"/>
      <c r="AL36" s="615"/>
      <c r="AM36" s="615"/>
      <c r="AN36" s="615"/>
      <c r="AO36" s="615"/>
      <c r="AP36" s="615"/>
      <c r="AQ36" s="615"/>
      <c r="AR36" s="615"/>
      <c r="AS36" s="615"/>
    </row>
    <row r="37" spans="12:45">
      <c r="L37" s="615"/>
      <c r="AF37" s="615"/>
      <c r="AG37" s="615"/>
      <c r="AH37" s="615"/>
      <c r="AI37" s="615"/>
      <c r="AJ37" s="615"/>
      <c r="AK37" s="615"/>
      <c r="AL37" s="615"/>
      <c r="AM37" s="615"/>
      <c r="AN37" s="615"/>
      <c r="AO37" s="615"/>
      <c r="AP37" s="615"/>
      <c r="AQ37" s="615"/>
      <c r="AR37" s="615"/>
      <c r="AS37" s="615"/>
    </row>
    <row r="38" spans="12:45">
      <c r="L38" s="615"/>
      <c r="AF38" s="615"/>
      <c r="AG38" s="615"/>
      <c r="AH38" s="615"/>
      <c r="AI38" s="615"/>
      <c r="AJ38" s="615"/>
      <c r="AK38" s="615"/>
      <c r="AL38" s="615"/>
      <c r="AM38" s="615"/>
      <c r="AN38" s="615"/>
      <c r="AO38" s="615"/>
      <c r="AP38" s="615"/>
      <c r="AQ38" s="615"/>
      <c r="AR38" s="615"/>
      <c r="AS38" s="615"/>
    </row>
    <row r="39" spans="12:45">
      <c r="L39" s="615"/>
      <c r="M39" s="615"/>
      <c r="AF39" s="615"/>
      <c r="AG39" s="615"/>
      <c r="AH39" s="615"/>
      <c r="AI39" s="615"/>
      <c r="AJ39" s="615"/>
      <c r="AK39" s="615"/>
      <c r="AL39" s="615"/>
      <c r="AM39" s="615"/>
      <c r="AN39" s="615"/>
      <c r="AO39" s="615"/>
      <c r="AP39" s="615"/>
      <c r="AQ39" s="615"/>
      <c r="AR39" s="615"/>
      <c r="AS39" s="615"/>
    </row>
    <row r="40" spans="12:45">
      <c r="L40" s="615"/>
      <c r="M40" s="615"/>
      <c r="AB40" s="615"/>
      <c r="AC40" s="615"/>
      <c r="AF40" s="615"/>
      <c r="AG40" s="615"/>
      <c r="AH40" s="615"/>
      <c r="AI40" s="615"/>
      <c r="AJ40" s="615"/>
      <c r="AK40" s="615"/>
      <c r="AL40" s="615"/>
      <c r="AM40" s="615"/>
      <c r="AN40" s="615"/>
      <c r="AO40" s="615"/>
      <c r="AP40" s="615"/>
      <c r="AQ40" s="615"/>
      <c r="AR40" s="615"/>
      <c r="AS40" s="615"/>
    </row>
    <row r="41" spans="12:45">
      <c r="L41" s="615"/>
      <c r="M41" s="615"/>
      <c r="AB41" s="615"/>
      <c r="AC41" s="615"/>
      <c r="AF41" s="615"/>
      <c r="AG41" s="615"/>
      <c r="AH41" s="615"/>
      <c r="AI41" s="615"/>
      <c r="AJ41" s="615"/>
      <c r="AK41" s="615"/>
      <c r="AL41" s="615"/>
      <c r="AM41" s="615"/>
      <c r="AN41" s="615"/>
      <c r="AO41" s="615"/>
      <c r="AP41" s="615"/>
      <c r="AQ41" s="615"/>
      <c r="AR41" s="615"/>
      <c r="AS41" s="615"/>
    </row>
    <row r="42" spans="12:45">
      <c r="L42" s="615"/>
      <c r="M42" s="615"/>
      <c r="AB42" s="615"/>
      <c r="AC42" s="615"/>
      <c r="AD42" s="615"/>
      <c r="AE42" s="615"/>
      <c r="AF42" s="615"/>
      <c r="AG42" s="615"/>
      <c r="AH42" s="615"/>
      <c r="AI42" s="615"/>
      <c r="AJ42" s="615"/>
      <c r="AK42" s="615"/>
      <c r="AL42" s="615"/>
      <c r="AM42" s="615"/>
      <c r="AN42" s="615"/>
      <c r="AO42" s="615"/>
      <c r="AP42" s="615"/>
      <c r="AQ42" s="615"/>
      <c r="AR42" s="615"/>
      <c r="AS42" s="615"/>
    </row>
    <row r="43" spans="12:45">
      <c r="L43" s="615"/>
      <c r="M43" s="615"/>
      <c r="AB43" s="615"/>
      <c r="AC43" s="615"/>
      <c r="AD43" s="615"/>
      <c r="AE43" s="615"/>
      <c r="AF43" s="615"/>
      <c r="AG43" s="615"/>
      <c r="AH43" s="615"/>
      <c r="AI43" s="615"/>
      <c r="AJ43" s="615"/>
      <c r="AK43" s="615"/>
      <c r="AL43" s="615"/>
      <c r="AM43" s="615"/>
      <c r="AN43" s="615"/>
      <c r="AO43" s="615"/>
      <c r="AP43" s="615"/>
      <c r="AQ43" s="615"/>
      <c r="AR43" s="615"/>
      <c r="AS43" s="615"/>
    </row>
    <row r="44" spans="12:45">
      <c r="L44" s="615"/>
      <c r="M44" s="615"/>
      <c r="AB44" s="615"/>
      <c r="AC44" s="615"/>
      <c r="AD44" s="615"/>
      <c r="AE44" s="615"/>
      <c r="AF44" s="615"/>
      <c r="AG44" s="615"/>
      <c r="AH44" s="615"/>
      <c r="AI44" s="615"/>
      <c r="AJ44" s="615"/>
      <c r="AK44" s="615"/>
      <c r="AL44" s="615"/>
      <c r="AM44" s="615"/>
      <c r="AN44" s="615"/>
      <c r="AO44" s="615"/>
      <c r="AP44" s="615"/>
      <c r="AQ44" s="615"/>
      <c r="AR44" s="615"/>
      <c r="AS44" s="615"/>
    </row>
    <row r="45" spans="12:45">
      <c r="L45" s="615"/>
      <c r="M45" s="615"/>
      <c r="AB45" s="615"/>
      <c r="AC45" s="615"/>
      <c r="AD45" s="615"/>
      <c r="AE45" s="615"/>
      <c r="AF45" s="615"/>
      <c r="AG45" s="615"/>
      <c r="AH45" s="615"/>
      <c r="AI45" s="615"/>
      <c r="AJ45" s="615"/>
      <c r="AK45" s="615"/>
      <c r="AL45" s="615"/>
      <c r="AM45" s="615"/>
      <c r="AN45" s="615"/>
      <c r="AO45" s="615"/>
      <c r="AP45" s="615"/>
      <c r="AQ45" s="615"/>
      <c r="AR45" s="615"/>
      <c r="AS45" s="615"/>
    </row>
    <row r="46" spans="12:45">
      <c r="L46" s="615"/>
      <c r="M46" s="615"/>
      <c r="AB46" s="615"/>
      <c r="AC46" s="615"/>
      <c r="AD46" s="615"/>
      <c r="AE46" s="615"/>
      <c r="AF46" s="615"/>
      <c r="AG46" s="615"/>
      <c r="AH46" s="615"/>
      <c r="AI46" s="615"/>
      <c r="AJ46" s="615"/>
      <c r="AK46" s="615"/>
      <c r="AL46" s="615"/>
      <c r="AM46" s="615"/>
      <c r="AN46" s="615"/>
      <c r="AO46" s="615"/>
      <c r="AP46" s="615"/>
      <c r="AQ46" s="615"/>
      <c r="AR46" s="615"/>
      <c r="AS46" s="615"/>
    </row>
    <row r="47" spans="12:45">
      <c r="L47" s="615"/>
      <c r="M47" s="615"/>
      <c r="AB47" s="615"/>
      <c r="AC47" s="615"/>
      <c r="AD47" s="615"/>
      <c r="AE47" s="615"/>
      <c r="AF47" s="615"/>
      <c r="AG47" s="615"/>
      <c r="AH47" s="615"/>
      <c r="AI47" s="615"/>
      <c r="AJ47" s="615"/>
      <c r="AK47" s="615"/>
      <c r="AL47" s="615"/>
      <c r="AM47" s="615"/>
      <c r="AN47" s="615"/>
      <c r="AO47" s="615"/>
      <c r="AP47" s="615"/>
      <c r="AQ47" s="615"/>
      <c r="AR47" s="615"/>
      <c r="AS47" s="615"/>
    </row>
    <row r="48" spans="12:45">
      <c r="L48" s="615"/>
      <c r="M48" s="615"/>
      <c r="AB48" s="615"/>
      <c r="AC48" s="615"/>
      <c r="AD48" s="615"/>
      <c r="AE48" s="615"/>
      <c r="AF48" s="615"/>
      <c r="AG48" s="615"/>
      <c r="AH48" s="615"/>
      <c r="AI48" s="615"/>
      <c r="AJ48" s="615"/>
      <c r="AK48" s="615"/>
      <c r="AL48" s="615"/>
      <c r="AM48" s="615"/>
      <c r="AN48" s="615"/>
      <c r="AO48" s="615"/>
      <c r="AP48" s="615"/>
      <c r="AQ48" s="615"/>
      <c r="AR48" s="615"/>
      <c r="AS48" s="615"/>
    </row>
    <row r="49" spans="12:45">
      <c r="L49" s="615"/>
      <c r="M49" s="615"/>
      <c r="AB49" s="615"/>
      <c r="AC49" s="615"/>
      <c r="AD49" s="615"/>
      <c r="AE49" s="615"/>
      <c r="AF49" s="615"/>
      <c r="AG49" s="615"/>
      <c r="AH49" s="615"/>
      <c r="AI49" s="615"/>
      <c r="AJ49" s="615"/>
      <c r="AK49" s="615"/>
      <c r="AL49" s="615"/>
      <c r="AM49" s="615"/>
      <c r="AN49" s="615"/>
      <c r="AO49" s="615"/>
      <c r="AP49" s="615"/>
      <c r="AQ49" s="615"/>
      <c r="AR49" s="615"/>
      <c r="AS49" s="615"/>
    </row>
    <row r="50" spans="12:45">
      <c r="L50" s="615"/>
      <c r="M50" s="615"/>
      <c r="AB50" s="615"/>
      <c r="AC50" s="615"/>
      <c r="AD50" s="615"/>
      <c r="AE50" s="615"/>
      <c r="AF50" s="615"/>
      <c r="AG50" s="615"/>
      <c r="AH50" s="615"/>
      <c r="AI50" s="615"/>
      <c r="AJ50" s="615"/>
      <c r="AK50" s="615"/>
      <c r="AL50" s="615"/>
      <c r="AM50" s="615"/>
      <c r="AN50" s="615"/>
      <c r="AO50" s="615"/>
      <c r="AP50" s="615"/>
      <c r="AQ50" s="615"/>
      <c r="AR50" s="615"/>
      <c r="AS50" s="615"/>
    </row>
    <row r="51" spans="12:45">
      <c r="L51" s="615"/>
      <c r="M51" s="615"/>
      <c r="AB51" s="615"/>
      <c r="AC51" s="615"/>
      <c r="AD51" s="615"/>
      <c r="AE51" s="615"/>
      <c r="AF51" s="615"/>
      <c r="AG51" s="615"/>
      <c r="AH51" s="615"/>
      <c r="AI51" s="615"/>
      <c r="AJ51" s="615"/>
      <c r="AK51" s="615"/>
      <c r="AL51" s="615"/>
      <c r="AM51" s="615"/>
      <c r="AN51" s="615"/>
      <c r="AO51" s="615"/>
      <c r="AP51" s="615"/>
      <c r="AQ51" s="615"/>
      <c r="AR51" s="615"/>
      <c r="AS51" s="615"/>
    </row>
    <row r="52" spans="12:45">
      <c r="L52" s="615"/>
      <c r="M52" s="615"/>
      <c r="AB52" s="615"/>
      <c r="AC52" s="615"/>
      <c r="AD52" s="615"/>
      <c r="AE52" s="615"/>
      <c r="AF52" s="615"/>
      <c r="AG52" s="615"/>
      <c r="AH52" s="615"/>
      <c r="AI52" s="615"/>
      <c r="AJ52" s="615"/>
      <c r="AK52" s="615"/>
      <c r="AL52" s="615"/>
      <c r="AM52" s="615"/>
      <c r="AN52" s="615"/>
      <c r="AO52" s="615"/>
      <c r="AP52" s="615"/>
      <c r="AQ52" s="615"/>
      <c r="AR52" s="615"/>
      <c r="AS52" s="615"/>
    </row>
    <row r="53" spans="12:45">
      <c r="L53" s="615"/>
      <c r="M53" s="615"/>
      <c r="AB53" s="615"/>
      <c r="AC53" s="615"/>
      <c r="AD53" s="615"/>
      <c r="AE53" s="615"/>
      <c r="AF53" s="615"/>
      <c r="AG53" s="615"/>
      <c r="AH53" s="615"/>
      <c r="AI53" s="615"/>
      <c r="AJ53" s="615"/>
      <c r="AK53" s="615"/>
      <c r="AL53" s="615"/>
      <c r="AM53" s="615"/>
      <c r="AN53" s="615"/>
      <c r="AO53" s="615"/>
      <c r="AP53" s="615"/>
      <c r="AQ53" s="615"/>
      <c r="AR53" s="615"/>
      <c r="AS53" s="615"/>
    </row>
    <row r="54" spans="12:45">
      <c r="L54" s="615"/>
      <c r="M54" s="615"/>
      <c r="AB54" s="615"/>
      <c r="AC54" s="615"/>
      <c r="AD54" s="615"/>
      <c r="AE54" s="615"/>
      <c r="AF54" s="615"/>
      <c r="AG54" s="615"/>
      <c r="AH54" s="615"/>
      <c r="AI54" s="615"/>
      <c r="AJ54" s="615"/>
      <c r="AK54" s="615"/>
      <c r="AL54" s="615"/>
      <c r="AM54" s="615"/>
      <c r="AN54" s="615"/>
      <c r="AO54" s="615"/>
      <c r="AP54" s="615"/>
      <c r="AQ54" s="615"/>
      <c r="AR54" s="615"/>
      <c r="AS54" s="615"/>
    </row>
    <row r="55" spans="12:45">
      <c r="L55" s="615"/>
      <c r="M55" s="615"/>
      <c r="AB55" s="615"/>
      <c r="AC55" s="615"/>
      <c r="AD55" s="615"/>
      <c r="AE55" s="615"/>
      <c r="AF55" s="615"/>
      <c r="AG55" s="615"/>
      <c r="AH55" s="615"/>
      <c r="AI55" s="615"/>
      <c r="AJ55" s="615"/>
      <c r="AK55" s="615"/>
      <c r="AL55" s="615"/>
      <c r="AM55" s="615"/>
      <c r="AN55" s="615"/>
      <c r="AO55" s="615"/>
      <c r="AP55" s="615"/>
      <c r="AQ55" s="615"/>
      <c r="AR55" s="615"/>
      <c r="AS55" s="615"/>
    </row>
    <row r="56" spans="12:45">
      <c r="L56" s="615"/>
      <c r="M56" s="615"/>
      <c r="AB56" s="615"/>
      <c r="AC56" s="615"/>
      <c r="AD56" s="615"/>
      <c r="AE56" s="615"/>
      <c r="AF56" s="615"/>
      <c r="AG56" s="615"/>
      <c r="AH56" s="615"/>
      <c r="AI56" s="615"/>
      <c r="AJ56" s="615"/>
      <c r="AK56" s="615"/>
      <c r="AL56" s="615"/>
      <c r="AM56" s="615"/>
      <c r="AN56" s="615"/>
      <c r="AO56" s="615"/>
      <c r="AP56" s="615"/>
      <c r="AQ56" s="615"/>
      <c r="AR56" s="615"/>
      <c r="AS56" s="615"/>
    </row>
    <row r="57" spans="12:45">
      <c r="L57" s="615"/>
      <c r="M57" s="615"/>
      <c r="AB57" s="615"/>
      <c r="AC57" s="615"/>
      <c r="AD57" s="615"/>
      <c r="AE57" s="615"/>
      <c r="AF57" s="615"/>
      <c r="AG57" s="615"/>
      <c r="AH57" s="615"/>
      <c r="AI57" s="615"/>
      <c r="AJ57" s="615"/>
      <c r="AK57" s="615"/>
      <c r="AL57" s="615"/>
      <c r="AM57" s="615"/>
      <c r="AN57" s="615"/>
      <c r="AO57" s="615"/>
      <c r="AP57" s="615"/>
      <c r="AQ57" s="615"/>
      <c r="AR57" s="615"/>
      <c r="AS57" s="615"/>
    </row>
    <row r="58" spans="12:45">
      <c r="L58" s="615"/>
      <c r="M58" s="615"/>
      <c r="AB58" s="615"/>
      <c r="AC58" s="615"/>
      <c r="AD58" s="615"/>
      <c r="AE58" s="615"/>
      <c r="AF58" s="615"/>
      <c r="AG58" s="615"/>
      <c r="AH58" s="615"/>
      <c r="AI58" s="615"/>
      <c r="AJ58" s="615"/>
      <c r="AK58" s="615"/>
      <c r="AL58" s="615"/>
      <c r="AM58" s="615"/>
      <c r="AN58" s="615"/>
      <c r="AO58" s="615"/>
      <c r="AP58" s="615"/>
      <c r="AQ58" s="615"/>
      <c r="AR58" s="615"/>
      <c r="AS58" s="615"/>
    </row>
    <row r="59" spans="12:45">
      <c r="L59" s="615"/>
      <c r="M59" s="615"/>
      <c r="AB59" s="615"/>
      <c r="AC59" s="615"/>
      <c r="AD59" s="615"/>
      <c r="AE59" s="615"/>
      <c r="AF59" s="615"/>
      <c r="AG59" s="615"/>
      <c r="AH59" s="615"/>
      <c r="AI59" s="615"/>
      <c r="AJ59" s="615"/>
      <c r="AK59" s="615"/>
      <c r="AL59" s="615"/>
      <c r="AM59" s="615"/>
      <c r="AN59" s="615"/>
      <c r="AO59" s="615"/>
      <c r="AP59" s="615"/>
      <c r="AQ59" s="615"/>
      <c r="AR59" s="615"/>
      <c r="AS59" s="615"/>
    </row>
    <row r="60" spans="12:45">
      <c r="L60" s="615"/>
      <c r="M60" s="615"/>
      <c r="AB60" s="615"/>
      <c r="AC60" s="615"/>
      <c r="AD60" s="615"/>
      <c r="AE60" s="615"/>
      <c r="AF60" s="615"/>
      <c r="AG60" s="615"/>
      <c r="AH60" s="615"/>
      <c r="AI60" s="615"/>
      <c r="AJ60" s="615"/>
      <c r="AK60" s="615"/>
      <c r="AL60" s="615"/>
      <c r="AM60" s="615"/>
      <c r="AN60" s="615"/>
      <c r="AO60" s="615"/>
      <c r="AP60" s="615"/>
      <c r="AQ60" s="615"/>
      <c r="AR60" s="615"/>
      <c r="AS60" s="615"/>
    </row>
    <row r="61" spans="12:45">
      <c r="L61" s="615"/>
      <c r="M61" s="615"/>
      <c r="AB61" s="615"/>
      <c r="AC61" s="615"/>
      <c r="AD61" s="615"/>
      <c r="AE61" s="615"/>
      <c r="AF61" s="615"/>
      <c r="AG61" s="615"/>
      <c r="AH61" s="615"/>
      <c r="AI61" s="615"/>
      <c r="AJ61" s="615"/>
      <c r="AK61" s="615"/>
      <c r="AL61" s="615"/>
      <c r="AM61" s="615"/>
      <c r="AN61" s="615"/>
      <c r="AO61" s="615"/>
      <c r="AP61" s="615"/>
      <c r="AQ61" s="615"/>
      <c r="AR61" s="615"/>
      <c r="AS61" s="615"/>
    </row>
    <row r="62" spans="12:45">
      <c r="L62" s="615"/>
      <c r="M62" s="615"/>
      <c r="AB62" s="615"/>
      <c r="AC62" s="615"/>
      <c r="AD62" s="615"/>
      <c r="AE62" s="615"/>
      <c r="AF62" s="615"/>
      <c r="AG62" s="615"/>
      <c r="AH62" s="615"/>
      <c r="AI62" s="615"/>
      <c r="AJ62" s="615"/>
      <c r="AK62" s="615"/>
      <c r="AL62" s="615"/>
      <c r="AM62" s="615"/>
      <c r="AN62" s="615"/>
      <c r="AO62" s="615"/>
      <c r="AP62" s="615"/>
      <c r="AQ62" s="615"/>
      <c r="AR62" s="615"/>
      <c r="AS62" s="615"/>
    </row>
    <row r="63" spans="12:45">
      <c r="L63" s="615"/>
      <c r="M63" s="615"/>
      <c r="AB63" s="615"/>
      <c r="AC63" s="615"/>
      <c r="AD63" s="615"/>
      <c r="AE63" s="615"/>
      <c r="AF63" s="615"/>
      <c r="AG63" s="615"/>
      <c r="AH63" s="615"/>
      <c r="AI63" s="615"/>
      <c r="AJ63" s="615"/>
      <c r="AK63" s="615"/>
      <c r="AL63" s="615"/>
      <c r="AM63" s="615"/>
      <c r="AN63" s="615"/>
      <c r="AO63" s="615"/>
      <c r="AP63" s="615"/>
      <c r="AQ63" s="615"/>
      <c r="AR63" s="615"/>
      <c r="AS63" s="615"/>
    </row>
    <row r="64" spans="12:45">
      <c r="L64" s="615"/>
      <c r="M64" s="615"/>
      <c r="AB64" s="615"/>
      <c r="AC64" s="615"/>
      <c r="AD64" s="615"/>
      <c r="AE64" s="615"/>
      <c r="AF64" s="615"/>
      <c r="AG64" s="615"/>
      <c r="AH64" s="615"/>
      <c r="AI64" s="615"/>
      <c r="AJ64" s="615"/>
      <c r="AK64" s="615"/>
      <c r="AL64" s="615"/>
      <c r="AM64" s="615"/>
      <c r="AN64" s="615"/>
      <c r="AO64" s="615"/>
      <c r="AP64" s="615"/>
      <c r="AQ64" s="615"/>
      <c r="AR64" s="615"/>
      <c r="AS64" s="615"/>
    </row>
    <row r="65" spans="12:45">
      <c r="L65" s="615"/>
      <c r="M65" s="615"/>
      <c r="AB65" s="615"/>
      <c r="AC65" s="615"/>
      <c r="AD65" s="615"/>
      <c r="AE65" s="615"/>
      <c r="AF65" s="615"/>
      <c r="AG65" s="615"/>
      <c r="AH65" s="615"/>
      <c r="AI65" s="615"/>
      <c r="AJ65" s="615"/>
      <c r="AK65" s="615"/>
      <c r="AL65" s="615"/>
      <c r="AM65" s="615"/>
      <c r="AN65" s="615"/>
      <c r="AO65" s="615"/>
      <c r="AP65" s="615"/>
      <c r="AQ65" s="615"/>
      <c r="AR65" s="615"/>
      <c r="AS65" s="615"/>
    </row>
    <row r="66" spans="12:45">
      <c r="L66" s="615"/>
      <c r="M66" s="615"/>
      <c r="AB66" s="615"/>
      <c r="AC66" s="615"/>
      <c r="AD66" s="615"/>
      <c r="AE66" s="615"/>
      <c r="AF66" s="615"/>
      <c r="AG66" s="615"/>
      <c r="AH66" s="615"/>
      <c r="AI66" s="615"/>
      <c r="AJ66" s="615"/>
      <c r="AK66" s="615"/>
      <c r="AL66" s="615"/>
      <c r="AM66" s="615"/>
      <c r="AN66" s="615"/>
      <c r="AO66" s="615"/>
      <c r="AP66" s="615"/>
      <c r="AQ66" s="615"/>
      <c r="AR66" s="615"/>
      <c r="AS66" s="615"/>
    </row>
    <row r="67" spans="12:45">
      <c r="L67" s="615"/>
      <c r="M67" s="615"/>
      <c r="AB67" s="615"/>
      <c r="AC67" s="615"/>
      <c r="AD67" s="615"/>
      <c r="AE67" s="615"/>
      <c r="AF67" s="615"/>
      <c r="AG67" s="615"/>
      <c r="AH67" s="615"/>
      <c r="AI67" s="615"/>
      <c r="AJ67" s="615"/>
      <c r="AK67" s="615"/>
      <c r="AL67" s="615"/>
      <c r="AM67" s="615"/>
      <c r="AN67" s="615"/>
      <c r="AO67" s="615"/>
      <c r="AP67" s="615"/>
      <c r="AQ67" s="615"/>
      <c r="AR67" s="615"/>
      <c r="AS67" s="615"/>
    </row>
    <row r="68" spans="12:45">
      <c r="L68" s="615"/>
      <c r="M68" s="615"/>
      <c r="AB68" s="615"/>
      <c r="AC68" s="615"/>
      <c r="AD68" s="615"/>
      <c r="AE68" s="615"/>
      <c r="AF68" s="615"/>
      <c r="AG68" s="615"/>
      <c r="AH68" s="615"/>
      <c r="AI68" s="615"/>
      <c r="AJ68" s="615"/>
      <c r="AK68" s="615"/>
      <c r="AL68" s="615"/>
      <c r="AM68" s="615"/>
      <c r="AN68" s="615"/>
      <c r="AO68" s="615"/>
      <c r="AP68" s="615"/>
      <c r="AQ68" s="615"/>
      <c r="AR68" s="615"/>
      <c r="AS68" s="615"/>
    </row>
    <row r="69" spans="12:45">
      <c r="L69" s="615"/>
      <c r="M69" s="615"/>
      <c r="AB69" s="615"/>
      <c r="AC69" s="615"/>
      <c r="AD69" s="615"/>
      <c r="AE69" s="615"/>
      <c r="AF69" s="615"/>
      <c r="AG69" s="615"/>
      <c r="AH69" s="615"/>
      <c r="AI69" s="615"/>
      <c r="AJ69" s="615"/>
      <c r="AK69" s="615"/>
      <c r="AL69" s="615"/>
      <c r="AM69" s="615"/>
      <c r="AN69" s="615"/>
      <c r="AO69" s="615"/>
      <c r="AP69" s="615"/>
      <c r="AQ69" s="615"/>
      <c r="AR69" s="615"/>
      <c r="AS69" s="615"/>
    </row>
    <row r="70" spans="12:45">
      <c r="L70" s="615"/>
      <c r="M70" s="615"/>
      <c r="AB70" s="615"/>
      <c r="AC70" s="615"/>
      <c r="AD70" s="615"/>
      <c r="AE70" s="615"/>
      <c r="AF70" s="615"/>
      <c r="AG70" s="615"/>
      <c r="AH70" s="615"/>
      <c r="AI70" s="615"/>
      <c r="AJ70" s="615"/>
      <c r="AK70" s="615"/>
      <c r="AL70" s="615"/>
      <c r="AM70" s="615"/>
      <c r="AN70" s="615"/>
      <c r="AO70" s="615"/>
      <c r="AP70" s="615"/>
      <c r="AQ70" s="615"/>
      <c r="AR70" s="615"/>
      <c r="AS70" s="615"/>
    </row>
    <row r="71" spans="12:45">
      <c r="L71" s="615"/>
      <c r="M71" s="615"/>
      <c r="AB71" s="615"/>
      <c r="AC71" s="615"/>
      <c r="AD71" s="615"/>
      <c r="AE71" s="615"/>
      <c r="AF71" s="615"/>
      <c r="AG71" s="615"/>
      <c r="AH71" s="615"/>
      <c r="AI71" s="615"/>
      <c r="AJ71" s="615"/>
      <c r="AK71" s="615"/>
      <c r="AL71" s="615"/>
      <c r="AM71" s="615"/>
      <c r="AN71" s="615"/>
      <c r="AO71" s="615"/>
      <c r="AP71" s="615"/>
      <c r="AQ71" s="615"/>
      <c r="AR71" s="615"/>
      <c r="AS71" s="615"/>
    </row>
    <row r="72" spans="12:45">
      <c r="L72" s="615"/>
      <c r="M72" s="615"/>
      <c r="AB72" s="615"/>
      <c r="AC72" s="615"/>
      <c r="AD72" s="615"/>
      <c r="AE72" s="615"/>
      <c r="AF72" s="615"/>
      <c r="AG72" s="615"/>
      <c r="AH72" s="615"/>
      <c r="AI72" s="615"/>
      <c r="AJ72" s="615"/>
      <c r="AK72" s="615"/>
      <c r="AL72" s="615"/>
      <c r="AM72" s="615"/>
      <c r="AN72" s="615"/>
      <c r="AO72" s="615"/>
      <c r="AP72" s="615"/>
      <c r="AQ72" s="615"/>
      <c r="AR72" s="615"/>
      <c r="AS72" s="615"/>
    </row>
    <row r="73" spans="12:45">
      <c r="L73" s="615"/>
      <c r="M73" s="615"/>
      <c r="AB73" s="615"/>
      <c r="AC73" s="615"/>
      <c r="AD73" s="615"/>
      <c r="AE73" s="615"/>
      <c r="AF73" s="615"/>
      <c r="AG73" s="615"/>
      <c r="AH73" s="615"/>
      <c r="AI73" s="615"/>
      <c r="AJ73" s="615"/>
      <c r="AK73" s="615"/>
      <c r="AL73" s="615"/>
      <c r="AM73" s="615"/>
      <c r="AN73" s="615"/>
      <c r="AO73" s="615"/>
      <c r="AP73" s="615"/>
      <c r="AQ73" s="615"/>
      <c r="AR73" s="615"/>
      <c r="AS73" s="615"/>
    </row>
    <row r="74" spans="12:45">
      <c r="L74" s="615"/>
      <c r="M74" s="615"/>
      <c r="AB74" s="615"/>
      <c r="AC74" s="615"/>
      <c r="AD74" s="615"/>
      <c r="AE74" s="615"/>
      <c r="AF74" s="615"/>
      <c r="AG74" s="615"/>
      <c r="AH74" s="615"/>
      <c r="AI74" s="615"/>
      <c r="AJ74" s="615"/>
      <c r="AK74" s="615"/>
      <c r="AL74" s="615"/>
      <c r="AM74" s="615"/>
      <c r="AN74" s="615"/>
      <c r="AO74" s="615"/>
      <c r="AP74" s="615"/>
      <c r="AQ74" s="615"/>
      <c r="AR74" s="615"/>
      <c r="AS74" s="615"/>
    </row>
    <row r="75" spans="12:45">
      <c r="L75" s="615"/>
      <c r="M75" s="615"/>
      <c r="AB75" s="615"/>
      <c r="AC75" s="615"/>
      <c r="AD75" s="615"/>
      <c r="AE75" s="615"/>
      <c r="AF75" s="615"/>
      <c r="AG75" s="615"/>
      <c r="AH75" s="615"/>
      <c r="AI75" s="615"/>
      <c r="AJ75" s="615"/>
      <c r="AK75" s="615"/>
      <c r="AL75" s="615"/>
      <c r="AM75" s="615"/>
      <c r="AN75" s="615"/>
      <c r="AO75" s="615"/>
      <c r="AP75" s="615"/>
      <c r="AQ75" s="615"/>
      <c r="AR75" s="615"/>
      <c r="AS75" s="615"/>
    </row>
    <row r="76" spans="12:45">
      <c r="L76" s="615"/>
      <c r="M76" s="615"/>
      <c r="AB76" s="615"/>
      <c r="AC76" s="615"/>
      <c r="AD76" s="615"/>
      <c r="AE76" s="615"/>
      <c r="AF76" s="615"/>
      <c r="AG76" s="615"/>
      <c r="AH76" s="615"/>
      <c r="AI76" s="615"/>
      <c r="AJ76" s="615"/>
      <c r="AK76" s="615"/>
      <c r="AL76" s="615"/>
      <c r="AM76" s="615"/>
      <c r="AN76" s="615"/>
      <c r="AO76" s="615"/>
      <c r="AP76" s="615"/>
      <c r="AQ76" s="615"/>
      <c r="AR76" s="615"/>
      <c r="AS76" s="615"/>
    </row>
    <row r="77" spans="12:45">
      <c r="L77" s="615"/>
      <c r="M77" s="615"/>
      <c r="AB77" s="615"/>
      <c r="AC77" s="615"/>
      <c r="AD77" s="615"/>
      <c r="AE77" s="615"/>
      <c r="AF77" s="615"/>
      <c r="AG77" s="615"/>
      <c r="AH77" s="615"/>
      <c r="AI77" s="615"/>
      <c r="AJ77" s="615"/>
      <c r="AK77" s="615"/>
      <c r="AL77" s="615"/>
      <c r="AM77" s="615"/>
      <c r="AN77" s="615"/>
      <c r="AO77" s="615"/>
      <c r="AP77" s="615"/>
      <c r="AQ77" s="615"/>
      <c r="AR77" s="615"/>
      <c r="AS77" s="615"/>
    </row>
    <row r="78" spans="12:45">
      <c r="L78" s="615"/>
      <c r="M78" s="615"/>
      <c r="AB78" s="615"/>
      <c r="AC78" s="615"/>
      <c r="AD78" s="615"/>
      <c r="AE78" s="615"/>
      <c r="AF78" s="615"/>
      <c r="AG78" s="615"/>
      <c r="AH78" s="615"/>
      <c r="AI78" s="615"/>
      <c r="AJ78" s="615"/>
      <c r="AK78" s="615"/>
      <c r="AL78" s="615"/>
      <c r="AM78" s="615"/>
      <c r="AN78" s="615"/>
      <c r="AO78" s="615"/>
      <c r="AP78" s="615"/>
      <c r="AQ78" s="615"/>
      <c r="AR78" s="615"/>
      <c r="AS78" s="615"/>
    </row>
    <row r="79" spans="12:45">
      <c r="L79" s="615"/>
      <c r="M79" s="615"/>
      <c r="AB79" s="615"/>
      <c r="AC79" s="615"/>
      <c r="AD79" s="615"/>
      <c r="AE79" s="615"/>
      <c r="AF79" s="615"/>
      <c r="AG79" s="615"/>
      <c r="AH79" s="615"/>
      <c r="AI79" s="615"/>
      <c r="AJ79" s="615"/>
      <c r="AK79" s="615"/>
      <c r="AL79" s="615"/>
      <c r="AM79" s="615"/>
      <c r="AN79" s="615"/>
      <c r="AO79" s="615"/>
      <c r="AP79" s="615"/>
      <c r="AQ79" s="615"/>
      <c r="AR79" s="615"/>
      <c r="AS79" s="615"/>
    </row>
    <row r="80" spans="12:45">
      <c r="L80" s="615"/>
      <c r="M80" s="615"/>
      <c r="AB80" s="615"/>
      <c r="AC80" s="615"/>
      <c r="AD80" s="615"/>
      <c r="AE80" s="615"/>
      <c r="AF80" s="615"/>
      <c r="AG80" s="615"/>
      <c r="AH80" s="615"/>
      <c r="AI80" s="615"/>
      <c r="AJ80" s="615"/>
      <c r="AK80" s="615"/>
      <c r="AL80" s="615"/>
      <c r="AM80" s="615"/>
      <c r="AN80" s="615"/>
      <c r="AO80" s="615"/>
      <c r="AP80" s="615"/>
      <c r="AQ80" s="615"/>
      <c r="AR80" s="615"/>
      <c r="AS80" s="615"/>
    </row>
    <row r="81" spans="12:45">
      <c r="L81" s="615"/>
      <c r="M81" s="615"/>
      <c r="AB81" s="615"/>
      <c r="AC81" s="615"/>
      <c r="AD81" s="615"/>
      <c r="AE81" s="615"/>
      <c r="AF81" s="615"/>
      <c r="AG81" s="615"/>
      <c r="AH81" s="615"/>
      <c r="AI81" s="615"/>
      <c r="AJ81" s="615"/>
      <c r="AK81" s="615"/>
      <c r="AL81" s="615"/>
      <c r="AM81" s="615"/>
      <c r="AN81" s="615"/>
      <c r="AO81" s="615"/>
      <c r="AP81" s="615"/>
      <c r="AQ81" s="615"/>
      <c r="AR81" s="615"/>
      <c r="AS81" s="615"/>
    </row>
    <row r="82" spans="12:45">
      <c r="L82" s="615"/>
      <c r="M82" s="615"/>
      <c r="AB82" s="615"/>
      <c r="AC82" s="615"/>
      <c r="AD82" s="615"/>
      <c r="AE82" s="615"/>
      <c r="AF82" s="615"/>
      <c r="AG82" s="615"/>
      <c r="AH82" s="615"/>
      <c r="AI82" s="615"/>
      <c r="AJ82" s="615"/>
      <c r="AK82" s="615"/>
      <c r="AL82" s="615"/>
      <c r="AM82" s="615"/>
      <c r="AN82" s="615"/>
      <c r="AO82" s="615"/>
      <c r="AP82" s="615"/>
      <c r="AQ82" s="615"/>
      <c r="AR82" s="615"/>
      <c r="AS82" s="615"/>
    </row>
    <row r="83" spans="12:45">
      <c r="L83" s="615"/>
      <c r="M83" s="615"/>
      <c r="AB83" s="615"/>
      <c r="AC83" s="615"/>
      <c r="AD83" s="615"/>
      <c r="AE83" s="615"/>
      <c r="AF83" s="615"/>
      <c r="AG83" s="615"/>
      <c r="AH83" s="615"/>
      <c r="AI83" s="615"/>
      <c r="AJ83" s="615"/>
      <c r="AK83" s="615"/>
      <c r="AL83" s="615"/>
      <c r="AM83" s="615"/>
      <c r="AN83" s="615"/>
      <c r="AO83" s="615"/>
      <c r="AP83" s="615"/>
      <c r="AQ83" s="615"/>
      <c r="AR83" s="615"/>
      <c r="AS83" s="615"/>
    </row>
    <row r="84" spans="12:45">
      <c r="L84" s="615"/>
      <c r="M84" s="615"/>
      <c r="AB84" s="615"/>
      <c r="AC84" s="615"/>
      <c r="AD84" s="615"/>
      <c r="AE84" s="615"/>
      <c r="AF84" s="615"/>
      <c r="AG84" s="615"/>
      <c r="AH84" s="615"/>
      <c r="AI84" s="615"/>
      <c r="AJ84" s="615"/>
      <c r="AK84" s="615"/>
      <c r="AL84" s="615"/>
      <c r="AM84" s="615"/>
      <c r="AN84" s="615"/>
      <c r="AO84" s="615"/>
      <c r="AP84" s="615"/>
      <c r="AQ84" s="615"/>
      <c r="AR84" s="615"/>
      <c r="AS84" s="615"/>
    </row>
    <row r="85" spans="12:45">
      <c r="L85" s="615"/>
      <c r="M85" s="615"/>
      <c r="AB85" s="615"/>
      <c r="AC85" s="615"/>
      <c r="AD85" s="615"/>
      <c r="AE85" s="615"/>
      <c r="AF85" s="615"/>
      <c r="AG85" s="615"/>
      <c r="AH85" s="615"/>
      <c r="AI85" s="615"/>
      <c r="AJ85" s="615"/>
      <c r="AK85" s="615"/>
      <c r="AL85" s="615"/>
      <c r="AM85" s="615"/>
      <c r="AN85" s="615"/>
      <c r="AO85" s="615"/>
      <c r="AP85" s="615"/>
      <c r="AQ85" s="615"/>
      <c r="AR85" s="615"/>
      <c r="AS85" s="615"/>
    </row>
    <row r="86" spans="12:45">
      <c r="L86" s="615"/>
      <c r="M86" s="615"/>
      <c r="AB86" s="615"/>
      <c r="AC86" s="615"/>
      <c r="AD86" s="615"/>
      <c r="AE86" s="615"/>
      <c r="AF86" s="615"/>
      <c r="AG86" s="615"/>
      <c r="AH86" s="615"/>
      <c r="AI86" s="615"/>
      <c r="AJ86" s="615"/>
      <c r="AK86" s="615"/>
      <c r="AL86" s="615"/>
      <c r="AM86" s="615"/>
      <c r="AN86" s="615"/>
      <c r="AO86" s="615"/>
      <c r="AP86" s="615"/>
      <c r="AQ86" s="615"/>
      <c r="AR86" s="615"/>
      <c r="AS86" s="615"/>
    </row>
    <row r="87" spans="12:45">
      <c r="L87" s="615"/>
      <c r="M87" s="615"/>
      <c r="AB87" s="615"/>
      <c r="AC87" s="615"/>
      <c r="AD87" s="615"/>
      <c r="AE87" s="615"/>
      <c r="AF87" s="615"/>
      <c r="AG87" s="615"/>
      <c r="AH87" s="615"/>
      <c r="AI87" s="615"/>
      <c r="AJ87" s="615"/>
      <c r="AK87" s="615"/>
      <c r="AL87" s="615"/>
      <c r="AM87" s="615"/>
      <c r="AN87" s="615"/>
      <c r="AO87" s="615"/>
      <c r="AP87" s="615"/>
      <c r="AQ87" s="615"/>
      <c r="AR87" s="615"/>
      <c r="AS87" s="615"/>
    </row>
    <row r="88" spans="12:45">
      <c r="L88" s="615"/>
      <c r="M88" s="615"/>
      <c r="AB88" s="615"/>
      <c r="AC88" s="615"/>
      <c r="AD88" s="615"/>
      <c r="AE88" s="615"/>
      <c r="AF88" s="615"/>
      <c r="AG88" s="615"/>
      <c r="AH88" s="615"/>
      <c r="AI88" s="615"/>
      <c r="AJ88" s="615"/>
      <c r="AK88" s="615"/>
      <c r="AL88" s="615"/>
      <c r="AM88" s="615"/>
      <c r="AN88" s="615"/>
      <c r="AO88" s="615"/>
      <c r="AP88" s="615"/>
      <c r="AQ88" s="615"/>
      <c r="AR88" s="615"/>
      <c r="AS88" s="615"/>
    </row>
    <row r="89" spans="12:45">
      <c r="L89" s="615"/>
      <c r="M89" s="615"/>
      <c r="AB89" s="615"/>
      <c r="AC89" s="615"/>
      <c r="AD89" s="615"/>
      <c r="AE89" s="615"/>
      <c r="AF89" s="615"/>
      <c r="AG89" s="615"/>
      <c r="AH89" s="615"/>
      <c r="AI89" s="615"/>
      <c r="AJ89" s="615"/>
      <c r="AK89" s="615"/>
      <c r="AL89" s="615"/>
      <c r="AM89" s="615"/>
      <c r="AN89" s="615"/>
      <c r="AO89" s="615"/>
      <c r="AP89" s="615"/>
      <c r="AQ89" s="615"/>
      <c r="AR89" s="615"/>
      <c r="AS89" s="615"/>
    </row>
    <row r="90" spans="12:45">
      <c r="L90" s="615"/>
      <c r="M90" s="615"/>
      <c r="AB90" s="615"/>
      <c r="AC90" s="615"/>
      <c r="AD90" s="615"/>
      <c r="AE90" s="615"/>
      <c r="AF90" s="615"/>
      <c r="AG90" s="615"/>
      <c r="AH90" s="615"/>
      <c r="AI90" s="615"/>
      <c r="AJ90" s="615"/>
      <c r="AK90" s="615"/>
      <c r="AL90" s="615"/>
      <c r="AM90" s="615"/>
      <c r="AN90" s="615"/>
      <c r="AO90" s="615"/>
      <c r="AP90" s="615"/>
      <c r="AQ90" s="615"/>
      <c r="AR90" s="615"/>
      <c r="AS90" s="615"/>
    </row>
    <row r="91" spans="12:45">
      <c r="L91" s="615"/>
      <c r="M91" s="615"/>
      <c r="AB91" s="615"/>
      <c r="AC91" s="615"/>
      <c r="AD91" s="615"/>
      <c r="AE91" s="615"/>
      <c r="AF91" s="615"/>
      <c r="AG91" s="615"/>
      <c r="AH91" s="615"/>
      <c r="AI91" s="615"/>
      <c r="AJ91" s="615"/>
      <c r="AK91" s="615"/>
      <c r="AL91" s="615"/>
      <c r="AM91" s="615"/>
      <c r="AN91" s="615"/>
      <c r="AO91" s="615"/>
      <c r="AP91" s="615"/>
      <c r="AQ91" s="615"/>
      <c r="AR91" s="615"/>
      <c r="AS91" s="615"/>
    </row>
    <row r="92" spans="12:45">
      <c r="L92" s="615"/>
      <c r="M92" s="615"/>
      <c r="AB92" s="615"/>
      <c r="AC92" s="615"/>
      <c r="AD92" s="615"/>
      <c r="AE92" s="615"/>
      <c r="AF92" s="615"/>
      <c r="AG92" s="615"/>
      <c r="AH92" s="615"/>
      <c r="AI92" s="615"/>
      <c r="AJ92" s="615"/>
      <c r="AK92" s="615"/>
      <c r="AL92" s="615"/>
      <c r="AM92" s="615"/>
      <c r="AN92" s="615"/>
      <c r="AO92" s="615"/>
      <c r="AP92" s="615"/>
      <c r="AQ92" s="615"/>
      <c r="AR92" s="615"/>
      <c r="AS92" s="615"/>
    </row>
    <row r="93" spans="12:45">
      <c r="L93" s="615"/>
      <c r="M93" s="615"/>
      <c r="AB93" s="615"/>
      <c r="AC93" s="615"/>
      <c r="AD93" s="615"/>
      <c r="AE93" s="615"/>
      <c r="AF93" s="615"/>
      <c r="AG93" s="615"/>
      <c r="AH93" s="615"/>
      <c r="AI93" s="615"/>
      <c r="AJ93" s="615"/>
      <c r="AK93" s="615"/>
      <c r="AL93" s="615"/>
      <c r="AM93" s="615"/>
      <c r="AN93" s="615"/>
      <c r="AO93" s="615"/>
      <c r="AP93" s="615"/>
      <c r="AQ93" s="615"/>
      <c r="AR93" s="615"/>
      <c r="AS93" s="615"/>
    </row>
    <row r="94" spans="12:45">
      <c r="L94" s="615"/>
      <c r="M94" s="615"/>
      <c r="AB94" s="615"/>
      <c r="AC94" s="615"/>
      <c r="AD94" s="615"/>
      <c r="AE94" s="615"/>
      <c r="AF94" s="615"/>
      <c r="AG94" s="615"/>
      <c r="AH94" s="615"/>
      <c r="AI94" s="615"/>
      <c r="AJ94" s="615"/>
      <c r="AK94" s="615"/>
      <c r="AL94" s="615"/>
      <c r="AM94" s="615"/>
      <c r="AN94" s="615"/>
      <c r="AO94" s="615"/>
      <c r="AP94" s="615"/>
      <c r="AQ94" s="615"/>
      <c r="AR94" s="615"/>
      <c r="AS94" s="615"/>
    </row>
    <row r="95" spans="12:45">
      <c r="L95" s="615"/>
      <c r="M95" s="615"/>
      <c r="AB95" s="615"/>
      <c r="AC95" s="615"/>
      <c r="AD95" s="615"/>
      <c r="AE95" s="615"/>
      <c r="AF95" s="615"/>
      <c r="AG95" s="615"/>
      <c r="AH95" s="615"/>
      <c r="AI95" s="615"/>
      <c r="AJ95" s="615"/>
      <c r="AK95" s="615"/>
      <c r="AL95" s="615"/>
      <c r="AM95" s="615"/>
      <c r="AN95" s="615"/>
      <c r="AO95" s="615"/>
      <c r="AP95" s="615"/>
      <c r="AQ95" s="615"/>
      <c r="AR95" s="615"/>
      <c r="AS95" s="615"/>
    </row>
    <row r="96" spans="12:45">
      <c r="L96" s="615"/>
      <c r="M96" s="615"/>
      <c r="AB96" s="615"/>
      <c r="AC96" s="615"/>
      <c r="AD96" s="615"/>
      <c r="AE96" s="615"/>
      <c r="AF96" s="615"/>
      <c r="AG96" s="615"/>
      <c r="AH96" s="615"/>
      <c r="AI96" s="615"/>
      <c r="AJ96" s="615"/>
      <c r="AK96" s="615"/>
      <c r="AL96" s="615"/>
      <c r="AM96" s="615"/>
      <c r="AN96" s="615"/>
      <c r="AO96" s="615"/>
      <c r="AP96" s="615"/>
      <c r="AQ96" s="615"/>
      <c r="AR96" s="615"/>
      <c r="AS96" s="615"/>
    </row>
    <row r="97" spans="12:45">
      <c r="L97" s="615"/>
      <c r="M97" s="615"/>
      <c r="AB97" s="615"/>
      <c r="AC97" s="615"/>
      <c r="AD97" s="615"/>
      <c r="AE97" s="615"/>
      <c r="AF97" s="615"/>
      <c r="AG97" s="615"/>
      <c r="AH97" s="615"/>
      <c r="AI97" s="615"/>
      <c r="AJ97" s="615"/>
      <c r="AK97" s="615"/>
      <c r="AL97" s="615"/>
      <c r="AM97" s="615"/>
      <c r="AN97" s="615"/>
      <c r="AO97" s="615"/>
      <c r="AP97" s="615"/>
      <c r="AQ97" s="615"/>
      <c r="AR97" s="615"/>
      <c r="AS97" s="615"/>
    </row>
    <row r="98" spans="12:45">
      <c r="L98" s="615"/>
      <c r="M98" s="615"/>
      <c r="AB98" s="615"/>
      <c r="AC98" s="615"/>
      <c r="AD98" s="615"/>
      <c r="AE98" s="615"/>
      <c r="AF98" s="615"/>
      <c r="AG98" s="615"/>
      <c r="AH98" s="615"/>
      <c r="AI98" s="615"/>
      <c r="AJ98" s="615"/>
      <c r="AK98" s="615"/>
      <c r="AL98" s="615"/>
      <c r="AM98" s="615"/>
      <c r="AN98" s="615"/>
      <c r="AO98" s="615"/>
      <c r="AP98" s="615"/>
      <c r="AQ98" s="615"/>
      <c r="AR98" s="615"/>
      <c r="AS98" s="615"/>
    </row>
    <row r="99" spans="12:45">
      <c r="L99" s="615"/>
      <c r="M99" s="615"/>
      <c r="AB99" s="615"/>
      <c r="AC99" s="615"/>
      <c r="AD99" s="615"/>
      <c r="AE99" s="615"/>
      <c r="AF99" s="615"/>
      <c r="AG99" s="615"/>
      <c r="AH99" s="615"/>
      <c r="AI99" s="615"/>
      <c r="AJ99" s="615"/>
      <c r="AK99" s="615"/>
      <c r="AL99" s="615"/>
      <c r="AM99" s="615"/>
      <c r="AN99" s="615"/>
      <c r="AO99" s="615"/>
      <c r="AP99" s="615"/>
      <c r="AQ99" s="615"/>
      <c r="AR99" s="615"/>
      <c r="AS99" s="615"/>
    </row>
    <row r="100" spans="12:45">
      <c r="L100" s="615"/>
      <c r="M100" s="615"/>
      <c r="AB100" s="615"/>
      <c r="AC100" s="615"/>
      <c r="AD100" s="615"/>
      <c r="AE100" s="615"/>
      <c r="AF100" s="615"/>
      <c r="AG100" s="615"/>
      <c r="AH100" s="615"/>
      <c r="AI100" s="615"/>
      <c r="AJ100" s="615"/>
      <c r="AK100" s="615"/>
      <c r="AL100" s="615"/>
      <c r="AM100" s="615"/>
      <c r="AN100" s="615"/>
      <c r="AO100" s="615"/>
      <c r="AP100" s="615"/>
      <c r="AQ100" s="615"/>
      <c r="AR100" s="615"/>
      <c r="AS100" s="615"/>
    </row>
    <row r="101" spans="12:45">
      <c r="L101" s="615"/>
      <c r="M101" s="615"/>
      <c r="AB101" s="615"/>
      <c r="AC101" s="615"/>
      <c r="AD101" s="615"/>
      <c r="AE101" s="615"/>
      <c r="AF101" s="615"/>
      <c r="AG101" s="615"/>
      <c r="AH101" s="615"/>
      <c r="AI101" s="615"/>
      <c r="AJ101" s="615"/>
      <c r="AK101" s="615"/>
      <c r="AL101" s="615"/>
      <c r="AM101" s="615"/>
      <c r="AN101" s="615"/>
      <c r="AO101" s="615"/>
      <c r="AP101" s="615"/>
      <c r="AQ101" s="615"/>
      <c r="AR101" s="615"/>
      <c r="AS101" s="615"/>
    </row>
    <row r="102" spans="12:45">
      <c r="L102" s="615"/>
      <c r="M102" s="615"/>
      <c r="AB102" s="615"/>
      <c r="AC102" s="615"/>
      <c r="AD102" s="615"/>
      <c r="AE102" s="615"/>
      <c r="AF102" s="615"/>
      <c r="AG102" s="615"/>
      <c r="AH102" s="615"/>
      <c r="AI102" s="615"/>
      <c r="AJ102" s="615"/>
      <c r="AK102" s="615"/>
      <c r="AL102" s="615"/>
      <c r="AM102" s="615"/>
      <c r="AN102" s="615"/>
      <c r="AO102" s="615"/>
      <c r="AP102" s="615"/>
      <c r="AQ102" s="615"/>
      <c r="AR102" s="615"/>
      <c r="AS102" s="615"/>
    </row>
    <row r="103" spans="12:45">
      <c r="L103" s="615"/>
      <c r="M103" s="615"/>
      <c r="AB103" s="615"/>
      <c r="AC103" s="615"/>
      <c r="AD103" s="615"/>
      <c r="AE103" s="615"/>
      <c r="AF103" s="615"/>
      <c r="AG103" s="615"/>
      <c r="AH103" s="615"/>
      <c r="AI103" s="615"/>
      <c r="AJ103" s="615"/>
      <c r="AK103" s="615"/>
      <c r="AL103" s="615"/>
      <c r="AM103" s="615"/>
      <c r="AN103" s="615"/>
      <c r="AO103" s="615"/>
      <c r="AP103" s="615"/>
      <c r="AQ103" s="615"/>
      <c r="AR103" s="615"/>
      <c r="AS103" s="615"/>
    </row>
    <row r="104" spans="12:45">
      <c r="L104" s="615"/>
      <c r="M104" s="615"/>
      <c r="AB104" s="615"/>
      <c r="AC104" s="615"/>
      <c r="AD104" s="615"/>
      <c r="AE104" s="615"/>
      <c r="AF104" s="615"/>
      <c r="AG104" s="615"/>
      <c r="AH104" s="615"/>
      <c r="AI104" s="615"/>
      <c r="AJ104" s="615"/>
      <c r="AK104" s="615"/>
      <c r="AL104" s="615"/>
      <c r="AM104" s="615"/>
      <c r="AN104" s="615"/>
      <c r="AO104" s="615"/>
      <c r="AP104" s="615"/>
      <c r="AQ104" s="615"/>
      <c r="AR104" s="615"/>
      <c r="AS104" s="615"/>
    </row>
    <row r="105" spans="12:45">
      <c r="L105" s="615"/>
      <c r="M105" s="615"/>
      <c r="AB105" s="615"/>
      <c r="AC105" s="615"/>
      <c r="AD105" s="615"/>
      <c r="AE105" s="615"/>
      <c r="AF105" s="615"/>
      <c r="AG105" s="615"/>
      <c r="AH105" s="615"/>
      <c r="AI105" s="615"/>
      <c r="AJ105" s="615"/>
      <c r="AK105" s="615"/>
      <c r="AL105" s="615"/>
      <c r="AM105" s="615"/>
      <c r="AN105" s="615"/>
      <c r="AO105" s="615"/>
      <c r="AP105" s="615"/>
      <c r="AQ105" s="615"/>
      <c r="AR105" s="615"/>
      <c r="AS105" s="615"/>
    </row>
    <row r="106" spans="12:45">
      <c r="L106" s="615"/>
      <c r="M106" s="615"/>
      <c r="AB106" s="615"/>
      <c r="AC106" s="615"/>
      <c r="AD106" s="615"/>
      <c r="AE106" s="615"/>
      <c r="AF106" s="615"/>
      <c r="AG106" s="615"/>
      <c r="AH106" s="615"/>
      <c r="AI106" s="615"/>
      <c r="AJ106" s="615"/>
      <c r="AK106" s="615"/>
      <c r="AL106" s="615"/>
      <c r="AM106" s="615"/>
      <c r="AN106" s="615"/>
      <c r="AO106" s="615"/>
      <c r="AP106" s="615"/>
      <c r="AQ106" s="615"/>
      <c r="AR106" s="615"/>
      <c r="AS106" s="615"/>
    </row>
    <row r="107" spans="12:45">
      <c r="L107" s="615"/>
      <c r="M107" s="615"/>
      <c r="AB107" s="615"/>
      <c r="AC107" s="615"/>
      <c r="AD107" s="615"/>
      <c r="AE107" s="615"/>
      <c r="AF107" s="615"/>
      <c r="AG107" s="615"/>
      <c r="AH107" s="615"/>
      <c r="AI107" s="615"/>
      <c r="AJ107" s="615"/>
      <c r="AK107" s="615"/>
      <c r="AL107" s="615"/>
      <c r="AM107" s="615"/>
      <c r="AN107" s="615"/>
      <c r="AO107" s="615"/>
      <c r="AP107" s="615"/>
      <c r="AQ107" s="615"/>
      <c r="AR107" s="615"/>
      <c r="AS107" s="615"/>
    </row>
    <row r="108" spans="12:45">
      <c r="L108" s="615"/>
      <c r="M108" s="615"/>
      <c r="AB108" s="615"/>
      <c r="AC108" s="615"/>
      <c r="AD108" s="615"/>
      <c r="AE108" s="615"/>
      <c r="AF108" s="615"/>
      <c r="AG108" s="615"/>
      <c r="AH108" s="615"/>
      <c r="AI108" s="615"/>
      <c r="AJ108" s="615"/>
      <c r="AK108" s="615"/>
      <c r="AL108" s="615"/>
      <c r="AM108" s="615"/>
      <c r="AN108" s="615"/>
      <c r="AO108" s="615"/>
      <c r="AP108" s="615"/>
      <c r="AQ108" s="615"/>
      <c r="AR108" s="615"/>
      <c r="AS108" s="615"/>
    </row>
    <row r="109" spans="12:45">
      <c r="L109" s="615"/>
      <c r="M109" s="615"/>
      <c r="AB109" s="615"/>
      <c r="AC109" s="615"/>
      <c r="AD109" s="615"/>
      <c r="AE109" s="615"/>
      <c r="AF109" s="615"/>
      <c r="AG109" s="615"/>
      <c r="AH109" s="615"/>
      <c r="AI109" s="615"/>
      <c r="AJ109" s="615"/>
      <c r="AK109" s="615"/>
      <c r="AL109" s="615"/>
      <c r="AM109" s="615"/>
      <c r="AN109" s="615"/>
      <c r="AO109" s="615"/>
      <c r="AP109" s="615"/>
      <c r="AQ109" s="615"/>
      <c r="AR109" s="615"/>
      <c r="AS109" s="615"/>
    </row>
    <row r="110" spans="12:45">
      <c r="L110" s="615"/>
      <c r="M110" s="615"/>
      <c r="AB110" s="615"/>
      <c r="AC110" s="615"/>
      <c r="AD110" s="615"/>
      <c r="AE110" s="615"/>
      <c r="AF110" s="615"/>
      <c r="AG110" s="615"/>
      <c r="AH110" s="615"/>
      <c r="AI110" s="615"/>
      <c r="AJ110" s="615"/>
      <c r="AK110" s="615"/>
      <c r="AL110" s="615"/>
      <c r="AM110" s="615"/>
      <c r="AN110" s="615"/>
      <c r="AO110" s="615"/>
      <c r="AP110" s="615"/>
      <c r="AQ110" s="615"/>
      <c r="AR110" s="615"/>
      <c r="AS110" s="615"/>
    </row>
    <row r="111" spans="12:45">
      <c r="L111" s="615"/>
      <c r="M111" s="615"/>
      <c r="AB111" s="615"/>
      <c r="AC111" s="615"/>
      <c r="AD111" s="615"/>
      <c r="AE111" s="615"/>
      <c r="AF111" s="615"/>
      <c r="AG111" s="615"/>
      <c r="AH111" s="615"/>
      <c r="AI111" s="615"/>
      <c r="AJ111" s="615"/>
      <c r="AK111" s="615"/>
      <c r="AL111" s="615"/>
      <c r="AM111" s="615"/>
      <c r="AN111" s="615"/>
      <c r="AO111" s="615"/>
      <c r="AP111" s="615"/>
      <c r="AQ111" s="615"/>
      <c r="AR111" s="615"/>
      <c r="AS111" s="615"/>
    </row>
    <row r="112" spans="12:45">
      <c r="L112" s="615"/>
      <c r="M112" s="615"/>
      <c r="AB112" s="615"/>
      <c r="AC112" s="615"/>
      <c r="AD112" s="615"/>
      <c r="AE112" s="615"/>
      <c r="AF112" s="615"/>
      <c r="AG112" s="615"/>
      <c r="AH112" s="615"/>
      <c r="AI112" s="615"/>
      <c r="AJ112" s="615"/>
      <c r="AK112" s="615"/>
      <c r="AL112" s="615"/>
      <c r="AM112" s="615"/>
      <c r="AN112" s="615"/>
      <c r="AO112" s="615"/>
      <c r="AP112" s="615"/>
      <c r="AQ112" s="615"/>
      <c r="AR112" s="615"/>
      <c r="AS112" s="615"/>
    </row>
    <row r="113" spans="12:45">
      <c r="L113" s="615"/>
      <c r="M113" s="615"/>
      <c r="AB113" s="615"/>
      <c r="AC113" s="615"/>
      <c r="AD113" s="615"/>
      <c r="AE113" s="615"/>
      <c r="AF113" s="615"/>
      <c r="AG113" s="615"/>
      <c r="AH113" s="615"/>
      <c r="AI113" s="615"/>
      <c r="AJ113" s="615"/>
      <c r="AK113" s="615"/>
      <c r="AL113" s="615"/>
      <c r="AM113" s="615"/>
      <c r="AN113" s="615"/>
      <c r="AO113" s="615"/>
      <c r="AP113" s="615"/>
      <c r="AQ113" s="615"/>
      <c r="AR113" s="615"/>
      <c r="AS113" s="615"/>
    </row>
    <row r="114" spans="12:45">
      <c r="L114" s="615"/>
      <c r="M114" s="615"/>
      <c r="AB114" s="615"/>
      <c r="AC114" s="615"/>
      <c r="AD114" s="615"/>
      <c r="AE114" s="615"/>
      <c r="AF114" s="615"/>
      <c r="AG114" s="615"/>
      <c r="AH114" s="615"/>
      <c r="AI114" s="615"/>
      <c r="AJ114" s="615"/>
      <c r="AK114" s="615"/>
      <c r="AL114" s="615"/>
      <c r="AM114" s="615"/>
      <c r="AN114" s="615"/>
      <c r="AO114" s="615"/>
      <c r="AP114" s="615"/>
      <c r="AQ114" s="615"/>
      <c r="AR114" s="615"/>
      <c r="AS114" s="615"/>
    </row>
    <row r="115" spans="12:45">
      <c r="L115" s="615"/>
      <c r="M115" s="615"/>
      <c r="AB115" s="615"/>
      <c r="AC115" s="615"/>
      <c r="AD115" s="615"/>
      <c r="AE115" s="615"/>
      <c r="AF115" s="615"/>
      <c r="AG115" s="615"/>
      <c r="AH115" s="615"/>
      <c r="AI115" s="615"/>
      <c r="AJ115" s="615"/>
      <c r="AK115" s="615"/>
      <c r="AL115" s="615"/>
      <c r="AM115" s="615"/>
      <c r="AN115" s="615"/>
      <c r="AO115" s="615"/>
      <c r="AP115" s="615"/>
      <c r="AQ115" s="615"/>
      <c r="AR115" s="615"/>
      <c r="AS115" s="615"/>
    </row>
    <row r="116" spans="12:45">
      <c r="L116" s="615"/>
      <c r="M116" s="615"/>
      <c r="AB116" s="615"/>
      <c r="AC116" s="615"/>
      <c r="AD116" s="615"/>
      <c r="AE116" s="615"/>
      <c r="AF116" s="615"/>
      <c r="AG116" s="615"/>
      <c r="AH116" s="615"/>
      <c r="AI116" s="615"/>
      <c r="AJ116" s="615"/>
      <c r="AK116" s="615"/>
      <c r="AL116" s="615"/>
      <c r="AM116" s="615"/>
      <c r="AN116" s="615"/>
      <c r="AO116" s="615"/>
      <c r="AP116" s="615"/>
      <c r="AQ116" s="615"/>
      <c r="AR116" s="615"/>
      <c r="AS116" s="615"/>
    </row>
    <row r="117" spans="12:45">
      <c r="L117" s="615"/>
      <c r="M117" s="615"/>
      <c r="AB117" s="615"/>
      <c r="AC117" s="615"/>
      <c r="AD117" s="615"/>
      <c r="AE117" s="615"/>
      <c r="AF117" s="615"/>
      <c r="AG117" s="615"/>
      <c r="AH117" s="615"/>
      <c r="AI117" s="615"/>
      <c r="AJ117" s="615"/>
      <c r="AK117" s="615"/>
      <c r="AL117" s="615"/>
      <c r="AM117" s="615"/>
      <c r="AN117" s="615"/>
      <c r="AO117" s="615"/>
      <c r="AP117" s="615"/>
      <c r="AQ117" s="615"/>
      <c r="AR117" s="615"/>
      <c r="AS117" s="615"/>
    </row>
    <row r="118" spans="12:45">
      <c r="L118" s="615"/>
      <c r="M118" s="615"/>
      <c r="AB118" s="615"/>
      <c r="AC118" s="615"/>
      <c r="AD118" s="615"/>
      <c r="AE118" s="615"/>
      <c r="AF118" s="615"/>
      <c r="AG118" s="615"/>
      <c r="AH118" s="615"/>
      <c r="AI118" s="615"/>
      <c r="AJ118" s="615"/>
      <c r="AK118" s="615"/>
      <c r="AL118" s="615"/>
      <c r="AM118" s="615"/>
      <c r="AN118" s="615"/>
      <c r="AO118" s="615"/>
      <c r="AP118" s="615"/>
      <c r="AQ118" s="615"/>
      <c r="AR118" s="615"/>
      <c r="AS118" s="615"/>
    </row>
    <row r="119" spans="12:45">
      <c r="L119" s="615"/>
      <c r="M119" s="615"/>
      <c r="AB119" s="615"/>
      <c r="AC119" s="615"/>
      <c r="AD119" s="615"/>
      <c r="AE119" s="615"/>
      <c r="AF119" s="615"/>
      <c r="AG119" s="615"/>
      <c r="AH119" s="615"/>
      <c r="AI119" s="615"/>
      <c r="AJ119" s="615"/>
      <c r="AK119" s="615"/>
      <c r="AL119" s="615"/>
      <c r="AM119" s="615"/>
      <c r="AN119" s="615"/>
      <c r="AO119" s="615"/>
      <c r="AP119" s="615"/>
      <c r="AQ119" s="615"/>
      <c r="AR119" s="615"/>
      <c r="AS119" s="615"/>
    </row>
    <row r="120" spans="12:45">
      <c r="L120" s="615"/>
      <c r="M120" s="615"/>
      <c r="AB120" s="615"/>
      <c r="AC120" s="615"/>
      <c r="AD120" s="615"/>
      <c r="AE120" s="615"/>
      <c r="AF120" s="615"/>
      <c r="AG120" s="615"/>
      <c r="AH120" s="615"/>
      <c r="AI120" s="615"/>
      <c r="AJ120" s="615"/>
      <c r="AK120" s="615"/>
      <c r="AL120" s="615"/>
      <c r="AM120" s="615"/>
      <c r="AN120" s="615"/>
      <c r="AO120" s="615"/>
      <c r="AP120" s="615"/>
      <c r="AQ120" s="615"/>
      <c r="AR120" s="615"/>
      <c r="AS120" s="615"/>
    </row>
    <row r="121" spans="12:45">
      <c r="L121" s="615"/>
      <c r="M121" s="615"/>
      <c r="AB121" s="615"/>
      <c r="AC121" s="615"/>
      <c r="AD121" s="615"/>
      <c r="AE121" s="615"/>
      <c r="AF121" s="615"/>
      <c r="AG121" s="615"/>
      <c r="AH121" s="615"/>
      <c r="AI121" s="615"/>
      <c r="AJ121" s="615"/>
      <c r="AK121" s="615"/>
      <c r="AL121" s="615"/>
      <c r="AM121" s="615"/>
      <c r="AN121" s="615"/>
      <c r="AO121" s="615"/>
      <c r="AP121" s="615"/>
      <c r="AQ121" s="615"/>
      <c r="AR121" s="615"/>
      <c r="AS121" s="615"/>
    </row>
    <row r="122" spans="12:45">
      <c r="L122" s="615"/>
      <c r="M122" s="615"/>
      <c r="AB122" s="615"/>
      <c r="AC122" s="615"/>
      <c r="AD122" s="615"/>
      <c r="AE122" s="615"/>
      <c r="AF122" s="615"/>
      <c r="AG122" s="615"/>
      <c r="AH122" s="615"/>
      <c r="AI122" s="615"/>
      <c r="AJ122" s="615"/>
      <c r="AK122" s="615"/>
      <c r="AL122" s="615"/>
      <c r="AM122" s="615"/>
      <c r="AN122" s="615"/>
      <c r="AO122" s="615"/>
      <c r="AP122" s="615"/>
      <c r="AQ122" s="615"/>
      <c r="AR122" s="615"/>
      <c r="AS122" s="615"/>
    </row>
    <row r="123" spans="12:45">
      <c r="L123" s="615"/>
      <c r="M123" s="615"/>
      <c r="AB123" s="615"/>
      <c r="AC123" s="615"/>
      <c r="AD123" s="615"/>
      <c r="AE123" s="615"/>
      <c r="AF123" s="615"/>
      <c r="AG123" s="615"/>
      <c r="AH123" s="615"/>
      <c r="AI123" s="615"/>
      <c r="AJ123" s="615"/>
      <c r="AK123" s="615"/>
      <c r="AL123" s="615"/>
      <c r="AM123" s="615"/>
      <c r="AN123" s="615"/>
      <c r="AO123" s="615"/>
      <c r="AP123" s="615"/>
      <c r="AQ123" s="615"/>
      <c r="AR123" s="615"/>
      <c r="AS123" s="615"/>
    </row>
    <row r="124" spans="12:45">
      <c r="L124" s="615"/>
      <c r="M124" s="615"/>
      <c r="AB124" s="615"/>
      <c r="AC124" s="615"/>
      <c r="AD124" s="615"/>
      <c r="AE124" s="615"/>
      <c r="AF124" s="615"/>
      <c r="AG124" s="615"/>
      <c r="AH124" s="615"/>
      <c r="AI124" s="615"/>
      <c r="AJ124" s="615"/>
      <c r="AK124" s="615"/>
      <c r="AL124" s="615"/>
      <c r="AM124" s="615"/>
      <c r="AN124" s="615"/>
      <c r="AO124" s="615"/>
      <c r="AP124" s="615"/>
      <c r="AQ124" s="615"/>
      <c r="AR124" s="615"/>
      <c r="AS124" s="615"/>
    </row>
    <row r="125" spans="12:45">
      <c r="L125" s="615"/>
      <c r="M125" s="615"/>
      <c r="AB125" s="615"/>
      <c r="AC125" s="615"/>
      <c r="AD125" s="615"/>
      <c r="AE125" s="615"/>
      <c r="AF125" s="615"/>
      <c r="AG125" s="615"/>
      <c r="AH125" s="615"/>
      <c r="AI125" s="615"/>
      <c r="AJ125" s="615"/>
      <c r="AK125" s="615"/>
      <c r="AL125" s="615"/>
      <c r="AM125" s="615"/>
      <c r="AN125" s="615"/>
      <c r="AO125" s="615"/>
      <c r="AP125" s="615"/>
      <c r="AQ125" s="615"/>
      <c r="AR125" s="615"/>
      <c r="AS125" s="615"/>
    </row>
    <row r="126" spans="12:45">
      <c r="L126" s="615"/>
      <c r="M126" s="615"/>
      <c r="AB126" s="615"/>
      <c r="AC126" s="615"/>
      <c r="AD126" s="615"/>
      <c r="AE126" s="615"/>
      <c r="AF126" s="615"/>
      <c r="AG126" s="615"/>
      <c r="AH126" s="615"/>
      <c r="AI126" s="615"/>
      <c r="AJ126" s="615"/>
      <c r="AK126" s="615"/>
      <c r="AL126" s="615"/>
      <c r="AM126" s="615"/>
      <c r="AN126" s="615"/>
      <c r="AO126" s="615"/>
      <c r="AP126" s="615"/>
      <c r="AQ126" s="615"/>
      <c r="AR126" s="615"/>
      <c r="AS126" s="615"/>
    </row>
    <row r="127" spans="12:45">
      <c r="L127" s="615"/>
      <c r="M127" s="615"/>
      <c r="AB127" s="615"/>
      <c r="AC127" s="615"/>
      <c r="AD127" s="615"/>
      <c r="AE127" s="615"/>
      <c r="AF127" s="615"/>
      <c r="AG127" s="615"/>
      <c r="AH127" s="615"/>
      <c r="AI127" s="615"/>
      <c r="AJ127" s="615"/>
      <c r="AK127" s="615"/>
      <c r="AL127" s="615"/>
      <c r="AM127" s="615"/>
      <c r="AN127" s="615"/>
      <c r="AO127" s="615"/>
      <c r="AP127" s="615"/>
      <c r="AQ127" s="615"/>
      <c r="AR127" s="615"/>
      <c r="AS127" s="615"/>
    </row>
    <row r="128" spans="12:45">
      <c r="L128" s="615"/>
      <c r="M128" s="615"/>
      <c r="AB128" s="615"/>
      <c r="AC128" s="615"/>
      <c r="AD128" s="615"/>
      <c r="AE128" s="615"/>
      <c r="AF128" s="615"/>
      <c r="AG128" s="615"/>
      <c r="AH128" s="615"/>
      <c r="AI128" s="615"/>
      <c r="AJ128" s="615"/>
      <c r="AK128" s="615"/>
      <c r="AL128" s="615"/>
      <c r="AM128" s="615"/>
      <c r="AN128" s="615"/>
      <c r="AO128" s="615"/>
      <c r="AP128" s="615"/>
      <c r="AQ128" s="615"/>
      <c r="AR128" s="615"/>
      <c r="AS128" s="615"/>
    </row>
    <row r="129" spans="12:45">
      <c r="L129" s="615"/>
      <c r="M129" s="615"/>
      <c r="AB129" s="615"/>
      <c r="AC129" s="615"/>
      <c r="AD129" s="615"/>
      <c r="AE129" s="615"/>
      <c r="AF129" s="615"/>
      <c r="AG129" s="615"/>
      <c r="AH129" s="615"/>
      <c r="AI129" s="615"/>
      <c r="AJ129" s="615"/>
      <c r="AK129" s="615"/>
      <c r="AL129" s="615"/>
      <c r="AM129" s="615"/>
      <c r="AN129" s="615"/>
      <c r="AO129" s="615"/>
      <c r="AP129" s="615"/>
      <c r="AQ129" s="615"/>
      <c r="AR129" s="615"/>
      <c r="AS129" s="615"/>
    </row>
    <row r="130" spans="12:45">
      <c r="L130" s="615"/>
      <c r="M130" s="615"/>
      <c r="AB130" s="615"/>
      <c r="AC130" s="615"/>
      <c r="AD130" s="615"/>
      <c r="AE130" s="615"/>
      <c r="AF130" s="615"/>
      <c r="AG130" s="615"/>
      <c r="AH130" s="615"/>
      <c r="AI130" s="615"/>
      <c r="AJ130" s="615"/>
      <c r="AK130" s="615"/>
      <c r="AL130" s="615"/>
      <c r="AM130" s="615"/>
      <c r="AN130" s="615"/>
      <c r="AO130" s="615"/>
      <c r="AP130" s="615"/>
      <c r="AQ130" s="615"/>
      <c r="AR130" s="615"/>
      <c r="AS130" s="615"/>
    </row>
    <row r="131" spans="12:45">
      <c r="L131" s="615"/>
      <c r="M131" s="615"/>
      <c r="AB131" s="615"/>
      <c r="AC131" s="615"/>
      <c r="AD131" s="615"/>
      <c r="AE131" s="615"/>
      <c r="AF131" s="615"/>
      <c r="AG131" s="615"/>
      <c r="AH131" s="615"/>
      <c r="AI131" s="615"/>
      <c r="AJ131" s="615"/>
      <c r="AK131" s="615"/>
      <c r="AL131" s="615"/>
      <c r="AM131" s="615"/>
      <c r="AN131" s="615"/>
      <c r="AO131" s="615"/>
      <c r="AP131" s="615"/>
      <c r="AQ131" s="615"/>
      <c r="AR131" s="615"/>
      <c r="AS131" s="615"/>
    </row>
    <row r="132" spans="12:45">
      <c r="L132" s="615"/>
      <c r="M132" s="615"/>
      <c r="AB132" s="615"/>
      <c r="AC132" s="615"/>
      <c r="AD132" s="615"/>
      <c r="AE132" s="615"/>
      <c r="AF132" s="615"/>
      <c r="AG132" s="615"/>
      <c r="AH132" s="615"/>
      <c r="AI132" s="615"/>
      <c r="AJ132" s="615"/>
      <c r="AK132" s="615"/>
      <c r="AL132" s="615"/>
      <c r="AM132" s="615"/>
      <c r="AN132" s="615"/>
      <c r="AO132" s="615"/>
      <c r="AP132" s="615"/>
      <c r="AQ132" s="615"/>
      <c r="AR132" s="615"/>
      <c r="AS132" s="615"/>
    </row>
    <row r="133" spans="12:45">
      <c r="L133" s="615"/>
      <c r="M133" s="615"/>
      <c r="AB133" s="615"/>
      <c r="AC133" s="615"/>
      <c r="AD133" s="615"/>
      <c r="AE133" s="615"/>
      <c r="AF133" s="615"/>
      <c r="AG133" s="615"/>
      <c r="AH133" s="615"/>
      <c r="AI133" s="615"/>
      <c r="AJ133" s="615"/>
      <c r="AK133" s="615"/>
      <c r="AL133" s="615"/>
      <c r="AM133" s="615"/>
      <c r="AN133" s="615"/>
      <c r="AO133" s="615"/>
      <c r="AP133" s="615"/>
      <c r="AQ133" s="615"/>
      <c r="AR133" s="615"/>
      <c r="AS133" s="615"/>
    </row>
    <row r="134" spans="12:45">
      <c r="L134" s="615"/>
      <c r="M134" s="615"/>
      <c r="AB134" s="615"/>
      <c r="AC134" s="615"/>
      <c r="AD134" s="615"/>
      <c r="AE134" s="615"/>
      <c r="AF134" s="615"/>
      <c r="AG134" s="615"/>
      <c r="AH134" s="615"/>
      <c r="AI134" s="615"/>
      <c r="AJ134" s="615"/>
      <c r="AK134" s="615"/>
      <c r="AL134" s="615"/>
      <c r="AM134" s="615"/>
      <c r="AN134" s="615"/>
      <c r="AO134" s="615"/>
      <c r="AP134" s="615"/>
      <c r="AQ134" s="615"/>
      <c r="AR134" s="615"/>
      <c r="AS134" s="615"/>
    </row>
    <row r="135" spans="12:45">
      <c r="L135" s="615"/>
      <c r="M135" s="615"/>
      <c r="AB135" s="615"/>
      <c r="AC135" s="615"/>
      <c r="AD135" s="615"/>
      <c r="AE135" s="615"/>
      <c r="AF135" s="615"/>
      <c r="AG135" s="615"/>
      <c r="AH135" s="615"/>
      <c r="AI135" s="615"/>
      <c r="AJ135" s="615"/>
      <c r="AK135" s="615"/>
      <c r="AL135" s="615"/>
      <c r="AM135" s="615"/>
      <c r="AN135" s="615"/>
      <c r="AO135" s="615"/>
      <c r="AP135" s="615"/>
      <c r="AQ135" s="615"/>
      <c r="AR135" s="615"/>
      <c r="AS135" s="615"/>
    </row>
    <row r="136" spans="12:45">
      <c r="L136" s="615"/>
      <c r="M136" s="615"/>
      <c r="AB136" s="615"/>
      <c r="AC136" s="615"/>
      <c r="AD136" s="615"/>
      <c r="AE136" s="615"/>
      <c r="AF136" s="615"/>
      <c r="AG136" s="615"/>
      <c r="AH136" s="615"/>
      <c r="AI136" s="615"/>
      <c r="AJ136" s="615"/>
      <c r="AK136" s="615"/>
      <c r="AL136" s="615"/>
      <c r="AM136" s="615"/>
      <c r="AN136" s="615"/>
      <c r="AO136" s="615"/>
      <c r="AP136" s="615"/>
      <c r="AQ136" s="615"/>
      <c r="AR136" s="615"/>
      <c r="AS136" s="615"/>
    </row>
    <row r="137" spans="12:45">
      <c r="L137" s="615"/>
      <c r="M137" s="615"/>
      <c r="AB137" s="615"/>
      <c r="AC137" s="615"/>
      <c r="AD137" s="615"/>
      <c r="AE137" s="615"/>
      <c r="AF137" s="615"/>
      <c r="AG137" s="615"/>
      <c r="AH137" s="615"/>
      <c r="AI137" s="615"/>
      <c r="AJ137" s="615"/>
      <c r="AK137" s="615"/>
      <c r="AL137" s="615"/>
      <c r="AM137" s="615"/>
      <c r="AN137" s="615"/>
      <c r="AO137" s="615"/>
      <c r="AP137" s="615"/>
      <c r="AQ137" s="615"/>
      <c r="AR137" s="615"/>
      <c r="AS137" s="615"/>
    </row>
    <row r="138" spans="12:45">
      <c r="L138" s="615"/>
      <c r="M138" s="615"/>
      <c r="AB138" s="615"/>
      <c r="AC138" s="615"/>
      <c r="AD138" s="615"/>
      <c r="AE138" s="615"/>
      <c r="AF138" s="615"/>
      <c r="AG138" s="615"/>
      <c r="AH138" s="615"/>
      <c r="AI138" s="615"/>
      <c r="AJ138" s="615"/>
      <c r="AK138" s="615"/>
      <c r="AL138" s="615"/>
      <c r="AM138" s="615"/>
      <c r="AN138" s="615"/>
      <c r="AO138" s="615"/>
      <c r="AP138" s="615"/>
      <c r="AQ138" s="615"/>
      <c r="AR138" s="615"/>
      <c r="AS138" s="615"/>
    </row>
    <row r="139" spans="12:45">
      <c r="L139" s="615"/>
      <c r="M139" s="615"/>
      <c r="AB139" s="615"/>
      <c r="AC139" s="615"/>
      <c r="AD139" s="615"/>
      <c r="AE139" s="615"/>
      <c r="AF139" s="615"/>
      <c r="AG139" s="615"/>
      <c r="AH139" s="615"/>
      <c r="AI139" s="615"/>
      <c r="AJ139" s="615"/>
      <c r="AK139" s="615"/>
      <c r="AL139" s="615"/>
      <c r="AM139" s="615"/>
      <c r="AN139" s="615"/>
      <c r="AO139" s="615"/>
      <c r="AP139" s="615"/>
      <c r="AQ139" s="615"/>
      <c r="AR139" s="615"/>
      <c r="AS139" s="615"/>
    </row>
    <row r="140" spans="12:45">
      <c r="L140" s="615"/>
      <c r="M140" s="615"/>
      <c r="AB140" s="615"/>
      <c r="AC140" s="615"/>
      <c r="AD140" s="615"/>
      <c r="AE140" s="615"/>
      <c r="AF140" s="615"/>
      <c r="AG140" s="615"/>
      <c r="AH140" s="615"/>
      <c r="AI140" s="615"/>
      <c r="AJ140" s="615"/>
      <c r="AK140" s="615"/>
      <c r="AL140" s="615"/>
      <c r="AM140" s="615"/>
      <c r="AN140" s="615"/>
      <c r="AO140" s="615"/>
      <c r="AP140" s="615"/>
      <c r="AQ140" s="615"/>
      <c r="AR140" s="615"/>
      <c r="AS140" s="615"/>
    </row>
    <row r="141" spans="12:45">
      <c r="L141" s="615"/>
      <c r="M141" s="615"/>
      <c r="AB141" s="615"/>
      <c r="AC141" s="615"/>
      <c r="AD141" s="615"/>
      <c r="AE141" s="615"/>
      <c r="AF141" s="615"/>
      <c r="AG141" s="615"/>
      <c r="AH141" s="615"/>
      <c r="AI141" s="615"/>
      <c r="AJ141" s="615"/>
      <c r="AK141" s="615"/>
      <c r="AL141" s="615"/>
      <c r="AM141" s="615"/>
      <c r="AN141" s="615"/>
      <c r="AO141" s="615"/>
      <c r="AP141" s="615"/>
      <c r="AQ141" s="615"/>
      <c r="AR141" s="615"/>
      <c r="AS141" s="615"/>
    </row>
    <row r="142" spans="12:45">
      <c r="L142" s="615"/>
      <c r="M142" s="615"/>
      <c r="AB142" s="615"/>
      <c r="AC142" s="615"/>
      <c r="AD142" s="615"/>
      <c r="AE142" s="615"/>
      <c r="AF142" s="615"/>
      <c r="AG142" s="615"/>
      <c r="AH142" s="615"/>
      <c r="AI142" s="615"/>
      <c r="AJ142" s="615"/>
      <c r="AK142" s="615"/>
      <c r="AL142" s="615"/>
      <c r="AM142" s="615"/>
      <c r="AN142" s="615"/>
      <c r="AO142" s="615"/>
      <c r="AP142" s="615"/>
      <c r="AQ142" s="615"/>
      <c r="AR142" s="615"/>
      <c r="AS142" s="615"/>
    </row>
    <row r="143" spans="12:45">
      <c r="L143" s="615"/>
      <c r="M143" s="615"/>
      <c r="AB143" s="615"/>
      <c r="AC143" s="615"/>
      <c r="AD143" s="615"/>
      <c r="AE143" s="615"/>
      <c r="AF143" s="615"/>
      <c r="AG143" s="615"/>
      <c r="AH143" s="615"/>
      <c r="AI143" s="615"/>
      <c r="AJ143" s="615"/>
      <c r="AK143" s="615"/>
      <c r="AL143" s="615"/>
      <c r="AM143" s="615"/>
      <c r="AN143" s="615"/>
      <c r="AO143" s="615"/>
      <c r="AP143" s="615"/>
      <c r="AQ143" s="615"/>
      <c r="AR143" s="615"/>
      <c r="AS143" s="615"/>
    </row>
    <row r="144" spans="12:45">
      <c r="L144" s="615"/>
      <c r="M144" s="615"/>
      <c r="AB144" s="615"/>
      <c r="AC144" s="615"/>
      <c r="AD144" s="615"/>
      <c r="AE144" s="615"/>
      <c r="AF144" s="615"/>
      <c r="AG144" s="615"/>
      <c r="AH144" s="615"/>
      <c r="AI144" s="615"/>
      <c r="AJ144" s="615"/>
      <c r="AK144" s="615"/>
      <c r="AL144" s="615"/>
      <c r="AM144" s="615"/>
      <c r="AN144" s="615"/>
      <c r="AO144" s="615"/>
      <c r="AP144" s="615"/>
      <c r="AQ144" s="615"/>
      <c r="AR144" s="615"/>
      <c r="AS144" s="615"/>
    </row>
    <row r="145" spans="12:45">
      <c r="L145" s="615"/>
      <c r="M145" s="615"/>
      <c r="AB145" s="615"/>
      <c r="AC145" s="615"/>
      <c r="AD145" s="615"/>
      <c r="AE145" s="615"/>
      <c r="AF145" s="615"/>
      <c r="AG145" s="615"/>
      <c r="AH145" s="615"/>
      <c r="AI145" s="615"/>
      <c r="AJ145" s="615"/>
      <c r="AK145" s="615"/>
      <c r="AL145" s="615"/>
      <c r="AM145" s="615"/>
      <c r="AN145" s="615"/>
      <c r="AO145" s="615"/>
      <c r="AP145" s="615"/>
      <c r="AQ145" s="615"/>
      <c r="AR145" s="615"/>
      <c r="AS145" s="615"/>
    </row>
    <row r="146" spans="12:45">
      <c r="L146" s="615"/>
      <c r="M146" s="615"/>
      <c r="AB146" s="615"/>
      <c r="AC146" s="615"/>
      <c r="AD146" s="615"/>
      <c r="AE146" s="615"/>
      <c r="AF146" s="615"/>
      <c r="AG146" s="615"/>
      <c r="AH146" s="615"/>
      <c r="AI146" s="615"/>
      <c r="AJ146" s="615"/>
      <c r="AK146" s="615"/>
      <c r="AL146" s="615"/>
      <c r="AM146" s="615"/>
      <c r="AN146" s="615"/>
      <c r="AO146" s="615"/>
      <c r="AP146" s="615"/>
      <c r="AQ146" s="615"/>
      <c r="AR146" s="615"/>
      <c r="AS146" s="615"/>
    </row>
    <row r="147" spans="12:45">
      <c r="L147" s="615"/>
      <c r="M147" s="615"/>
      <c r="AB147" s="615"/>
      <c r="AC147" s="615"/>
      <c r="AD147" s="615"/>
      <c r="AE147" s="615"/>
      <c r="AF147" s="615"/>
      <c r="AG147" s="615"/>
      <c r="AH147" s="615"/>
      <c r="AI147" s="615"/>
      <c r="AJ147" s="615"/>
      <c r="AK147" s="615"/>
      <c r="AL147" s="615"/>
      <c r="AM147" s="615"/>
      <c r="AN147" s="615"/>
      <c r="AO147" s="615"/>
      <c r="AP147" s="615"/>
      <c r="AQ147" s="615"/>
      <c r="AR147" s="615"/>
      <c r="AS147" s="615"/>
    </row>
    <row r="148" spans="12:45">
      <c r="L148" s="615"/>
      <c r="M148" s="615"/>
      <c r="AB148" s="615"/>
      <c r="AC148" s="615"/>
      <c r="AD148" s="615"/>
      <c r="AE148" s="615"/>
      <c r="AF148" s="615"/>
      <c r="AG148" s="615"/>
      <c r="AH148" s="615"/>
      <c r="AI148" s="615"/>
      <c r="AJ148" s="615"/>
      <c r="AK148" s="615"/>
      <c r="AL148" s="615"/>
      <c r="AM148" s="615"/>
      <c r="AN148" s="615"/>
      <c r="AO148" s="615"/>
      <c r="AP148" s="615"/>
      <c r="AQ148" s="615"/>
      <c r="AR148" s="615"/>
      <c r="AS148" s="615"/>
    </row>
    <row r="149" spans="12:45">
      <c r="L149" s="615"/>
      <c r="M149" s="615"/>
      <c r="AB149" s="615"/>
      <c r="AC149" s="615"/>
      <c r="AD149" s="615"/>
      <c r="AE149" s="615"/>
      <c r="AF149" s="615"/>
      <c r="AG149" s="615"/>
      <c r="AH149" s="615"/>
      <c r="AI149" s="615"/>
      <c r="AJ149" s="615"/>
      <c r="AK149" s="615"/>
      <c r="AL149" s="615"/>
      <c r="AM149" s="615"/>
      <c r="AN149" s="615"/>
      <c r="AO149" s="615"/>
      <c r="AP149" s="615"/>
      <c r="AQ149" s="615"/>
      <c r="AR149" s="615"/>
      <c r="AS149" s="615"/>
    </row>
    <row r="150" spans="12:45">
      <c r="L150" s="615"/>
      <c r="M150" s="615"/>
      <c r="AB150" s="615"/>
      <c r="AC150" s="615"/>
      <c r="AD150" s="615"/>
      <c r="AE150" s="615"/>
      <c r="AF150" s="615"/>
      <c r="AG150" s="615"/>
      <c r="AH150" s="615"/>
      <c r="AI150" s="615"/>
      <c r="AJ150" s="615"/>
      <c r="AK150" s="615"/>
      <c r="AL150" s="615"/>
      <c r="AM150" s="615"/>
      <c r="AN150" s="615"/>
      <c r="AO150" s="615"/>
      <c r="AP150" s="615"/>
      <c r="AQ150" s="615"/>
      <c r="AR150" s="615"/>
      <c r="AS150" s="615"/>
    </row>
    <row r="151" spans="12:45">
      <c r="L151" s="615"/>
      <c r="M151" s="615"/>
      <c r="AB151" s="615"/>
      <c r="AC151" s="615"/>
      <c r="AD151" s="615"/>
      <c r="AE151" s="615"/>
      <c r="AF151" s="615"/>
      <c r="AG151" s="615"/>
      <c r="AH151" s="615"/>
      <c r="AI151" s="615"/>
      <c r="AJ151" s="615"/>
      <c r="AK151" s="615"/>
      <c r="AL151" s="615"/>
      <c r="AM151" s="615"/>
      <c r="AN151" s="615"/>
      <c r="AO151" s="615"/>
      <c r="AP151" s="615"/>
      <c r="AQ151" s="615"/>
      <c r="AR151" s="615"/>
      <c r="AS151" s="615"/>
    </row>
    <row r="152" spans="12:45">
      <c r="L152" s="615"/>
      <c r="M152" s="615"/>
      <c r="AB152" s="615"/>
      <c r="AC152" s="615"/>
      <c r="AD152" s="615"/>
      <c r="AE152" s="615"/>
      <c r="AF152" s="615"/>
      <c r="AG152" s="615"/>
      <c r="AH152" s="615"/>
      <c r="AI152" s="615"/>
      <c r="AJ152" s="615"/>
      <c r="AK152" s="615"/>
      <c r="AL152" s="615"/>
      <c r="AM152" s="615"/>
      <c r="AN152" s="615"/>
      <c r="AO152" s="615"/>
      <c r="AP152" s="615"/>
      <c r="AQ152" s="615"/>
      <c r="AR152" s="615"/>
      <c r="AS152" s="615"/>
    </row>
    <row r="153" spans="12:45">
      <c r="L153" s="615"/>
      <c r="M153" s="615"/>
      <c r="AB153" s="615"/>
      <c r="AC153" s="615"/>
      <c r="AD153" s="615"/>
      <c r="AE153" s="615"/>
      <c r="AF153" s="615"/>
      <c r="AG153" s="615"/>
      <c r="AH153" s="615"/>
      <c r="AI153" s="615"/>
      <c r="AJ153" s="615"/>
      <c r="AK153" s="615"/>
      <c r="AL153" s="615"/>
      <c r="AM153" s="615"/>
      <c r="AN153" s="615"/>
      <c r="AO153" s="615"/>
      <c r="AP153" s="615"/>
      <c r="AQ153" s="615"/>
      <c r="AR153" s="615"/>
      <c r="AS153" s="615"/>
    </row>
    <row r="154" spans="12:45">
      <c r="L154" s="615"/>
      <c r="M154" s="615"/>
      <c r="AB154" s="615"/>
      <c r="AC154" s="615"/>
      <c r="AD154" s="615"/>
      <c r="AE154" s="615"/>
      <c r="AF154" s="615"/>
      <c r="AG154" s="615"/>
      <c r="AH154" s="615"/>
      <c r="AI154" s="615"/>
      <c r="AJ154" s="615"/>
      <c r="AK154" s="615"/>
      <c r="AL154" s="615"/>
      <c r="AM154" s="615"/>
      <c r="AN154" s="615"/>
      <c r="AO154" s="615"/>
      <c r="AP154" s="615"/>
      <c r="AQ154" s="615"/>
      <c r="AR154" s="615"/>
      <c r="AS154" s="615"/>
    </row>
    <row r="155" spans="12:45">
      <c r="L155" s="615"/>
      <c r="M155" s="615"/>
      <c r="AB155" s="615"/>
      <c r="AC155" s="615"/>
      <c r="AD155" s="615"/>
      <c r="AE155" s="615"/>
      <c r="AF155" s="615"/>
      <c r="AG155" s="615"/>
      <c r="AH155" s="615"/>
      <c r="AI155" s="615"/>
      <c r="AJ155" s="615"/>
      <c r="AK155" s="615"/>
      <c r="AL155" s="615"/>
      <c r="AM155" s="615"/>
      <c r="AN155" s="615"/>
      <c r="AO155" s="615"/>
      <c r="AP155" s="615"/>
      <c r="AQ155" s="615"/>
      <c r="AR155" s="615"/>
      <c r="AS155" s="615"/>
    </row>
    <row r="156" spans="12:45">
      <c r="L156" s="615"/>
      <c r="M156" s="615"/>
      <c r="AB156" s="615"/>
      <c r="AC156" s="615"/>
      <c r="AD156" s="615"/>
      <c r="AE156" s="615"/>
      <c r="AF156" s="615"/>
      <c r="AG156" s="615"/>
      <c r="AH156" s="615"/>
      <c r="AI156" s="615"/>
      <c r="AJ156" s="615"/>
      <c r="AK156" s="615"/>
      <c r="AL156" s="615"/>
      <c r="AM156" s="615"/>
      <c r="AN156" s="615"/>
      <c r="AO156" s="615"/>
      <c r="AP156" s="615"/>
      <c r="AQ156" s="615"/>
      <c r="AR156" s="615"/>
      <c r="AS156" s="615"/>
    </row>
    <row r="157" spans="12:45">
      <c r="L157" s="615"/>
      <c r="M157" s="615"/>
      <c r="AB157" s="615"/>
      <c r="AC157" s="615"/>
      <c r="AD157" s="615"/>
      <c r="AE157" s="615"/>
      <c r="AF157" s="615"/>
      <c r="AG157" s="615"/>
      <c r="AH157" s="615"/>
      <c r="AI157" s="615"/>
      <c r="AJ157" s="615"/>
      <c r="AK157" s="615"/>
      <c r="AL157" s="615"/>
      <c r="AM157" s="615"/>
      <c r="AN157" s="615"/>
      <c r="AO157" s="615"/>
      <c r="AP157" s="615"/>
      <c r="AQ157" s="615"/>
      <c r="AR157" s="615"/>
      <c r="AS157" s="615"/>
    </row>
    <row r="158" spans="12:45">
      <c r="L158" s="615"/>
      <c r="M158" s="615"/>
      <c r="AB158" s="615"/>
      <c r="AC158" s="615"/>
      <c r="AD158" s="615"/>
      <c r="AE158" s="615"/>
      <c r="AF158" s="615"/>
      <c r="AG158" s="615"/>
      <c r="AH158" s="615"/>
      <c r="AI158" s="615"/>
      <c r="AJ158" s="615"/>
      <c r="AK158" s="615"/>
      <c r="AL158" s="615"/>
      <c r="AM158" s="615"/>
      <c r="AN158" s="615"/>
      <c r="AO158" s="615"/>
      <c r="AP158" s="615"/>
      <c r="AQ158" s="615"/>
      <c r="AR158" s="615"/>
      <c r="AS158" s="615"/>
    </row>
    <row r="159" spans="12:45">
      <c r="L159" s="615"/>
      <c r="M159" s="615"/>
      <c r="AB159" s="615"/>
      <c r="AC159" s="615"/>
      <c r="AD159" s="615"/>
      <c r="AE159" s="615"/>
      <c r="AF159" s="615"/>
      <c r="AG159" s="615"/>
      <c r="AH159" s="615"/>
      <c r="AI159" s="615"/>
      <c r="AJ159" s="615"/>
      <c r="AK159" s="615"/>
      <c r="AL159" s="615"/>
      <c r="AM159" s="615"/>
      <c r="AN159" s="615"/>
      <c r="AO159" s="615"/>
      <c r="AP159" s="615"/>
      <c r="AQ159" s="615"/>
      <c r="AR159" s="615"/>
      <c r="AS159" s="615"/>
    </row>
    <row r="160" spans="12:45">
      <c r="L160" s="615"/>
      <c r="M160" s="615"/>
      <c r="AB160" s="615"/>
      <c r="AC160" s="615"/>
      <c r="AD160" s="615"/>
      <c r="AE160" s="615"/>
      <c r="AF160" s="615"/>
      <c r="AG160" s="615"/>
      <c r="AH160" s="615"/>
      <c r="AI160" s="615"/>
      <c r="AJ160" s="615"/>
      <c r="AK160" s="615"/>
      <c r="AL160" s="615"/>
      <c r="AM160" s="615"/>
      <c r="AN160" s="615"/>
      <c r="AO160" s="615"/>
      <c r="AP160" s="615"/>
      <c r="AQ160" s="615"/>
      <c r="AR160" s="615"/>
      <c r="AS160" s="615"/>
    </row>
    <row r="161" spans="12:45">
      <c r="L161" s="615"/>
      <c r="M161" s="615"/>
      <c r="AB161" s="615"/>
      <c r="AC161" s="615"/>
      <c r="AD161" s="615"/>
      <c r="AE161" s="615"/>
      <c r="AF161" s="615"/>
      <c r="AG161" s="615"/>
      <c r="AH161" s="615"/>
      <c r="AI161" s="615"/>
      <c r="AJ161" s="615"/>
      <c r="AK161" s="615"/>
      <c r="AL161" s="615"/>
      <c r="AM161" s="615"/>
      <c r="AN161" s="615"/>
      <c r="AO161" s="615"/>
      <c r="AP161" s="615"/>
      <c r="AQ161" s="615"/>
      <c r="AR161" s="615"/>
      <c r="AS161" s="615"/>
    </row>
    <row r="162" spans="12:45">
      <c r="L162" s="615"/>
      <c r="M162" s="615"/>
      <c r="AB162" s="615"/>
      <c r="AC162" s="615"/>
      <c r="AD162" s="615"/>
      <c r="AE162" s="615"/>
      <c r="AF162" s="615"/>
      <c r="AG162" s="615"/>
      <c r="AH162" s="615"/>
      <c r="AI162" s="615"/>
      <c r="AJ162" s="615"/>
      <c r="AK162" s="615"/>
      <c r="AL162" s="615"/>
      <c r="AM162" s="615"/>
      <c r="AN162" s="615"/>
      <c r="AO162" s="615"/>
      <c r="AP162" s="615"/>
      <c r="AQ162" s="615"/>
      <c r="AR162" s="615"/>
      <c r="AS162" s="615"/>
    </row>
    <row r="163" spans="12:45">
      <c r="L163" s="615"/>
      <c r="M163" s="615"/>
      <c r="AB163" s="615"/>
      <c r="AC163" s="615"/>
      <c r="AD163" s="615"/>
      <c r="AE163" s="615"/>
      <c r="AF163" s="615"/>
      <c r="AG163" s="615"/>
      <c r="AH163" s="615"/>
      <c r="AI163" s="615"/>
      <c r="AJ163" s="615"/>
      <c r="AK163" s="615"/>
      <c r="AL163" s="615"/>
      <c r="AM163" s="615"/>
      <c r="AN163" s="615"/>
      <c r="AO163" s="615"/>
      <c r="AP163" s="615"/>
      <c r="AQ163" s="615"/>
      <c r="AR163" s="615"/>
      <c r="AS163" s="615"/>
    </row>
    <row r="164" spans="12:45">
      <c r="L164" s="615"/>
      <c r="M164" s="615"/>
      <c r="AB164" s="615"/>
      <c r="AC164" s="615"/>
      <c r="AD164" s="615"/>
      <c r="AE164" s="615"/>
      <c r="AF164" s="615"/>
      <c r="AG164" s="615"/>
      <c r="AH164" s="615"/>
      <c r="AI164" s="615"/>
      <c r="AJ164" s="615"/>
      <c r="AK164" s="615"/>
      <c r="AL164" s="615"/>
      <c r="AM164" s="615"/>
      <c r="AN164" s="615"/>
      <c r="AO164" s="615"/>
      <c r="AP164" s="615"/>
      <c r="AQ164" s="615"/>
      <c r="AR164" s="615"/>
      <c r="AS164" s="615"/>
    </row>
    <row r="165" spans="12:45">
      <c r="L165" s="615"/>
      <c r="M165" s="615"/>
      <c r="AB165" s="615"/>
      <c r="AC165" s="615"/>
      <c r="AD165" s="615"/>
      <c r="AE165" s="615"/>
      <c r="AF165" s="615"/>
      <c r="AG165" s="615"/>
      <c r="AH165" s="615"/>
      <c r="AI165" s="615"/>
      <c r="AJ165" s="615"/>
      <c r="AK165" s="615"/>
      <c r="AL165" s="615"/>
      <c r="AM165" s="615"/>
      <c r="AN165" s="615"/>
      <c r="AO165" s="615"/>
      <c r="AP165" s="615"/>
      <c r="AQ165" s="615"/>
      <c r="AR165" s="615"/>
      <c r="AS165" s="615"/>
    </row>
    <row r="166" spans="12:45">
      <c r="L166" s="615"/>
      <c r="M166" s="615"/>
      <c r="AB166" s="615"/>
      <c r="AC166" s="615"/>
      <c r="AD166" s="615"/>
      <c r="AE166" s="615"/>
      <c r="AF166" s="615"/>
      <c r="AG166" s="615"/>
      <c r="AH166" s="615"/>
      <c r="AI166" s="615"/>
      <c r="AJ166" s="615"/>
      <c r="AK166" s="615"/>
      <c r="AL166" s="615"/>
      <c r="AM166" s="615"/>
      <c r="AN166" s="615"/>
      <c r="AO166" s="615"/>
      <c r="AP166" s="615"/>
      <c r="AQ166" s="615"/>
      <c r="AR166" s="615"/>
      <c r="AS166" s="615"/>
    </row>
    <row r="167" spans="12:45">
      <c r="L167" s="615"/>
      <c r="M167" s="615"/>
      <c r="AB167" s="615"/>
      <c r="AC167" s="615"/>
      <c r="AD167" s="615"/>
      <c r="AE167" s="615"/>
      <c r="AF167" s="615"/>
      <c r="AG167" s="615"/>
      <c r="AH167" s="615"/>
      <c r="AI167" s="615"/>
      <c r="AJ167" s="615"/>
      <c r="AK167" s="615"/>
      <c r="AL167" s="615"/>
      <c r="AM167" s="615"/>
      <c r="AN167" s="615"/>
      <c r="AO167" s="615"/>
      <c r="AP167" s="615"/>
      <c r="AQ167" s="615"/>
      <c r="AR167" s="615"/>
      <c r="AS167" s="615"/>
    </row>
    <row r="168" spans="12:45">
      <c r="L168" s="615"/>
      <c r="M168" s="615"/>
      <c r="AB168" s="615"/>
      <c r="AC168" s="615"/>
      <c r="AD168" s="615"/>
      <c r="AE168" s="615"/>
      <c r="AF168" s="615"/>
      <c r="AG168" s="615"/>
      <c r="AH168" s="615"/>
      <c r="AI168" s="615"/>
      <c r="AJ168" s="615"/>
      <c r="AK168" s="615"/>
      <c r="AL168" s="615"/>
      <c r="AM168" s="615"/>
      <c r="AN168" s="615"/>
      <c r="AO168" s="615"/>
      <c r="AP168" s="615"/>
      <c r="AQ168" s="615"/>
      <c r="AR168" s="615"/>
      <c r="AS168" s="615"/>
    </row>
    <row r="169" spans="12:45">
      <c r="L169" s="615"/>
      <c r="M169" s="615"/>
      <c r="AB169" s="615"/>
      <c r="AC169" s="615"/>
      <c r="AD169" s="615"/>
      <c r="AE169" s="615"/>
      <c r="AF169" s="615"/>
      <c r="AG169" s="615"/>
      <c r="AH169" s="615"/>
      <c r="AI169" s="615"/>
      <c r="AJ169" s="615"/>
      <c r="AK169" s="615"/>
      <c r="AL169" s="615"/>
      <c r="AM169" s="615"/>
      <c r="AN169" s="615"/>
      <c r="AO169" s="615"/>
      <c r="AP169" s="615"/>
      <c r="AQ169" s="615"/>
      <c r="AR169" s="615"/>
      <c r="AS169" s="615"/>
    </row>
    <row r="170" spans="12:45">
      <c r="L170" s="615"/>
      <c r="M170" s="615"/>
      <c r="AB170" s="615"/>
      <c r="AC170" s="615"/>
      <c r="AD170" s="615"/>
      <c r="AE170" s="615"/>
      <c r="AF170" s="615"/>
      <c r="AG170" s="615"/>
      <c r="AH170" s="615"/>
      <c r="AI170" s="615"/>
      <c r="AJ170" s="615"/>
      <c r="AK170" s="615"/>
      <c r="AL170" s="615"/>
      <c r="AM170" s="615"/>
      <c r="AN170" s="615"/>
      <c r="AO170" s="615"/>
      <c r="AP170" s="615"/>
      <c r="AQ170" s="615"/>
      <c r="AR170" s="615"/>
      <c r="AS170" s="615"/>
    </row>
    <row r="171" spans="12:45">
      <c r="L171" s="615"/>
      <c r="M171" s="615"/>
      <c r="AB171" s="615"/>
      <c r="AC171" s="615"/>
      <c r="AD171" s="615"/>
      <c r="AE171" s="615"/>
      <c r="AF171" s="615"/>
      <c r="AG171" s="615"/>
      <c r="AH171" s="615"/>
      <c r="AI171" s="615"/>
      <c r="AJ171" s="615"/>
      <c r="AK171" s="615"/>
      <c r="AL171" s="615"/>
      <c r="AM171" s="615"/>
      <c r="AN171" s="615"/>
      <c r="AO171" s="615"/>
      <c r="AP171" s="615"/>
      <c r="AQ171" s="615"/>
      <c r="AR171" s="615"/>
      <c r="AS171" s="615"/>
    </row>
    <row r="172" spans="12:45">
      <c r="L172" s="615"/>
      <c r="M172" s="615"/>
      <c r="AB172" s="615"/>
      <c r="AC172" s="615"/>
      <c r="AD172" s="615"/>
      <c r="AE172" s="615"/>
      <c r="AF172" s="615"/>
      <c r="AG172" s="615"/>
      <c r="AH172" s="615"/>
      <c r="AI172" s="615"/>
      <c r="AJ172" s="615"/>
      <c r="AK172" s="615"/>
      <c r="AL172" s="615"/>
      <c r="AM172" s="615"/>
      <c r="AN172" s="615"/>
      <c r="AO172" s="615"/>
      <c r="AP172" s="615"/>
      <c r="AQ172" s="615"/>
      <c r="AR172" s="615"/>
      <c r="AS172" s="615"/>
    </row>
    <row r="173" spans="12:45">
      <c r="L173" s="615"/>
      <c r="M173" s="615"/>
      <c r="AB173" s="615"/>
      <c r="AC173" s="615"/>
      <c r="AD173" s="615"/>
      <c r="AE173" s="615"/>
      <c r="AF173" s="615"/>
      <c r="AG173" s="615"/>
      <c r="AH173" s="615"/>
      <c r="AI173" s="615"/>
      <c r="AJ173" s="615"/>
      <c r="AK173" s="615"/>
      <c r="AL173" s="615"/>
      <c r="AM173" s="615"/>
      <c r="AN173" s="615"/>
      <c r="AO173" s="615"/>
      <c r="AP173" s="615"/>
      <c r="AQ173" s="615"/>
      <c r="AR173" s="615"/>
      <c r="AS173" s="615"/>
    </row>
    <row r="174" spans="12:45">
      <c r="L174" s="615"/>
      <c r="M174" s="615"/>
      <c r="AB174" s="615"/>
      <c r="AC174" s="615"/>
      <c r="AD174" s="615"/>
      <c r="AE174" s="615"/>
      <c r="AF174" s="615"/>
      <c r="AG174" s="615"/>
      <c r="AH174" s="615"/>
      <c r="AI174" s="615"/>
      <c r="AJ174" s="615"/>
      <c r="AK174" s="615"/>
      <c r="AL174" s="615"/>
      <c r="AM174" s="615"/>
      <c r="AN174" s="615"/>
      <c r="AO174" s="615"/>
      <c r="AP174" s="615"/>
      <c r="AQ174" s="615"/>
      <c r="AR174" s="615"/>
      <c r="AS174" s="615"/>
    </row>
    <row r="175" spans="12:45">
      <c r="L175" s="615"/>
      <c r="M175" s="615"/>
      <c r="AB175" s="615"/>
      <c r="AC175" s="615"/>
      <c r="AD175" s="615"/>
      <c r="AE175" s="615"/>
      <c r="AF175" s="615"/>
      <c r="AG175" s="615"/>
      <c r="AH175" s="615"/>
      <c r="AI175" s="615"/>
      <c r="AJ175" s="615"/>
      <c r="AK175" s="615"/>
      <c r="AL175" s="615"/>
      <c r="AM175" s="615"/>
      <c r="AN175" s="615"/>
      <c r="AO175" s="615"/>
      <c r="AP175" s="615"/>
      <c r="AQ175" s="615"/>
      <c r="AR175" s="615"/>
      <c r="AS175" s="615"/>
    </row>
    <row r="176" spans="12:45">
      <c r="L176" s="615"/>
      <c r="M176" s="615"/>
      <c r="AB176" s="615"/>
      <c r="AC176" s="615"/>
      <c r="AD176" s="615"/>
      <c r="AE176" s="615"/>
      <c r="AF176" s="615"/>
      <c r="AG176" s="615"/>
      <c r="AH176" s="615"/>
      <c r="AI176" s="615"/>
      <c r="AJ176" s="615"/>
      <c r="AK176" s="615"/>
      <c r="AL176" s="615"/>
      <c r="AM176" s="615"/>
      <c r="AN176" s="615"/>
      <c r="AO176" s="615"/>
      <c r="AP176" s="615"/>
      <c r="AQ176" s="615"/>
      <c r="AR176" s="615"/>
      <c r="AS176" s="615"/>
    </row>
    <row r="177" spans="12:45">
      <c r="L177" s="615"/>
      <c r="M177" s="615"/>
      <c r="AB177" s="615"/>
      <c r="AC177" s="615"/>
      <c r="AD177" s="615"/>
      <c r="AE177" s="615"/>
      <c r="AF177" s="615"/>
      <c r="AG177" s="615"/>
      <c r="AH177" s="615"/>
      <c r="AI177" s="615"/>
      <c r="AJ177" s="615"/>
      <c r="AK177" s="615"/>
      <c r="AL177" s="615"/>
      <c r="AM177" s="615"/>
      <c r="AN177" s="615"/>
      <c r="AO177" s="615"/>
      <c r="AP177" s="615"/>
      <c r="AQ177" s="615"/>
      <c r="AR177" s="615"/>
      <c r="AS177" s="615"/>
    </row>
    <row r="178" spans="12:45">
      <c r="L178" s="615"/>
      <c r="M178" s="615"/>
      <c r="AB178" s="615"/>
      <c r="AC178" s="615"/>
      <c r="AD178" s="615"/>
      <c r="AE178" s="615"/>
      <c r="AF178" s="615"/>
      <c r="AG178" s="615"/>
      <c r="AH178" s="615"/>
      <c r="AI178" s="615"/>
      <c r="AJ178" s="615"/>
      <c r="AK178" s="615"/>
      <c r="AL178" s="615"/>
      <c r="AM178" s="615"/>
      <c r="AN178" s="615"/>
      <c r="AO178" s="615"/>
      <c r="AP178" s="615"/>
      <c r="AQ178" s="615"/>
      <c r="AR178" s="615"/>
      <c r="AS178" s="615"/>
    </row>
    <row r="179" spans="12:45">
      <c r="L179" s="615"/>
      <c r="M179" s="615"/>
      <c r="AB179" s="615"/>
      <c r="AC179" s="615"/>
      <c r="AD179" s="615"/>
      <c r="AE179" s="615"/>
      <c r="AF179" s="615"/>
      <c r="AG179" s="615"/>
      <c r="AH179" s="615"/>
      <c r="AI179" s="615"/>
      <c r="AJ179" s="615"/>
      <c r="AK179" s="615"/>
      <c r="AL179" s="615"/>
      <c r="AM179" s="615"/>
      <c r="AN179" s="615"/>
      <c r="AO179" s="615"/>
      <c r="AP179" s="615"/>
      <c r="AQ179" s="615"/>
      <c r="AR179" s="615"/>
      <c r="AS179" s="615"/>
    </row>
    <row r="180" spans="12:45">
      <c r="L180" s="615"/>
      <c r="M180" s="615"/>
      <c r="AB180" s="615"/>
      <c r="AC180" s="615"/>
      <c r="AD180" s="615"/>
      <c r="AE180" s="615"/>
      <c r="AF180" s="615"/>
      <c r="AG180" s="615"/>
      <c r="AH180" s="615"/>
      <c r="AI180" s="615"/>
      <c r="AJ180" s="615"/>
      <c r="AK180" s="615"/>
      <c r="AL180" s="615"/>
      <c r="AM180" s="615"/>
      <c r="AN180" s="615"/>
      <c r="AO180" s="615"/>
      <c r="AP180" s="615"/>
      <c r="AQ180" s="615"/>
      <c r="AR180" s="615"/>
      <c r="AS180" s="615"/>
    </row>
    <row r="181" spans="12:45">
      <c r="L181" s="615"/>
      <c r="M181" s="615"/>
      <c r="AB181" s="615"/>
      <c r="AC181" s="615"/>
      <c r="AD181" s="615"/>
      <c r="AE181" s="615"/>
      <c r="AF181" s="615"/>
      <c r="AG181" s="615"/>
      <c r="AH181" s="615"/>
      <c r="AI181" s="615"/>
      <c r="AJ181" s="615"/>
      <c r="AK181" s="615"/>
      <c r="AL181" s="615"/>
      <c r="AM181" s="615"/>
      <c r="AN181" s="615"/>
      <c r="AO181" s="615"/>
      <c r="AP181" s="615"/>
      <c r="AQ181" s="615"/>
      <c r="AR181" s="615"/>
      <c r="AS181" s="615"/>
    </row>
    <row r="182" spans="12:45">
      <c r="L182" s="615"/>
      <c r="M182" s="615"/>
      <c r="AB182" s="615"/>
      <c r="AC182" s="615"/>
      <c r="AD182" s="615"/>
      <c r="AE182" s="615"/>
      <c r="AF182" s="615"/>
      <c r="AG182" s="615"/>
      <c r="AH182" s="615"/>
      <c r="AI182" s="615"/>
      <c r="AJ182" s="615"/>
      <c r="AK182" s="615"/>
      <c r="AL182" s="615"/>
      <c r="AM182" s="615"/>
      <c r="AN182" s="615"/>
      <c r="AO182" s="615"/>
      <c r="AP182" s="615"/>
      <c r="AQ182" s="615"/>
      <c r="AR182" s="615"/>
      <c r="AS182" s="615"/>
    </row>
    <row r="183" spans="12:45">
      <c r="L183" s="615"/>
      <c r="M183" s="615"/>
      <c r="AB183" s="615"/>
      <c r="AC183" s="615"/>
      <c r="AD183" s="615"/>
      <c r="AE183" s="615"/>
      <c r="AF183" s="615"/>
      <c r="AG183" s="615"/>
      <c r="AH183" s="615"/>
      <c r="AI183" s="615"/>
      <c r="AJ183" s="615"/>
      <c r="AK183" s="615"/>
      <c r="AL183" s="615"/>
      <c r="AM183" s="615"/>
      <c r="AN183" s="615"/>
      <c r="AO183" s="615"/>
      <c r="AP183" s="615"/>
      <c r="AQ183" s="615"/>
      <c r="AR183" s="615"/>
      <c r="AS183" s="615"/>
    </row>
    <row r="184" spans="12:45">
      <c r="L184" s="615"/>
      <c r="M184" s="615"/>
      <c r="AB184" s="615"/>
      <c r="AC184" s="615"/>
      <c r="AD184" s="615"/>
      <c r="AE184" s="615"/>
      <c r="AF184" s="615"/>
      <c r="AG184" s="615"/>
      <c r="AH184" s="615"/>
      <c r="AI184" s="615"/>
      <c r="AJ184" s="615"/>
      <c r="AK184" s="615"/>
      <c r="AL184" s="615"/>
      <c r="AM184" s="615"/>
      <c r="AN184" s="615"/>
      <c r="AO184" s="615"/>
      <c r="AP184" s="615"/>
      <c r="AQ184" s="615"/>
      <c r="AR184" s="615"/>
      <c r="AS184" s="615"/>
    </row>
    <row r="185" spans="12:45">
      <c r="L185" s="615"/>
      <c r="M185" s="615"/>
      <c r="AB185" s="615"/>
      <c r="AC185" s="615"/>
      <c r="AD185" s="615"/>
      <c r="AE185" s="615"/>
      <c r="AF185" s="615"/>
      <c r="AG185" s="615"/>
      <c r="AH185" s="615"/>
      <c r="AI185" s="615"/>
      <c r="AJ185" s="615"/>
      <c r="AK185" s="615"/>
      <c r="AL185" s="615"/>
      <c r="AM185" s="615"/>
      <c r="AN185" s="615"/>
      <c r="AO185" s="615"/>
      <c r="AP185" s="615"/>
      <c r="AQ185" s="615"/>
      <c r="AR185" s="615"/>
      <c r="AS185" s="615"/>
    </row>
    <row r="186" spans="12:45">
      <c r="L186" s="615"/>
      <c r="M186" s="615"/>
      <c r="AB186" s="615"/>
      <c r="AC186" s="615"/>
      <c r="AD186" s="615"/>
      <c r="AE186" s="615"/>
      <c r="AF186" s="615"/>
      <c r="AG186" s="615"/>
      <c r="AH186" s="615"/>
      <c r="AI186" s="615"/>
      <c r="AJ186" s="615"/>
      <c r="AK186" s="615"/>
      <c r="AL186" s="615"/>
      <c r="AM186" s="615"/>
      <c r="AN186" s="615"/>
      <c r="AO186" s="615"/>
      <c r="AP186" s="615"/>
      <c r="AQ186" s="615"/>
      <c r="AR186" s="615"/>
      <c r="AS186" s="615"/>
    </row>
    <row r="187" spans="12:45">
      <c r="L187" s="615"/>
      <c r="M187" s="615"/>
      <c r="AB187" s="615"/>
      <c r="AC187" s="615"/>
      <c r="AD187" s="615"/>
      <c r="AE187" s="615"/>
      <c r="AF187" s="615"/>
      <c r="AG187" s="615"/>
      <c r="AH187" s="615"/>
      <c r="AI187" s="615"/>
      <c r="AJ187" s="615"/>
      <c r="AK187" s="615"/>
      <c r="AL187" s="615"/>
      <c r="AM187" s="615"/>
      <c r="AN187" s="615"/>
      <c r="AO187" s="615"/>
      <c r="AP187" s="615"/>
      <c r="AQ187" s="615"/>
      <c r="AR187" s="615"/>
      <c r="AS187" s="615"/>
    </row>
    <row r="188" spans="12:45">
      <c r="L188" s="615"/>
      <c r="M188" s="615"/>
      <c r="AB188" s="615"/>
      <c r="AC188" s="615"/>
      <c r="AD188" s="615"/>
      <c r="AE188" s="615"/>
      <c r="AF188" s="615"/>
      <c r="AG188" s="615"/>
      <c r="AH188" s="615"/>
      <c r="AI188" s="615"/>
      <c r="AJ188" s="615"/>
      <c r="AK188" s="615"/>
      <c r="AL188" s="615"/>
      <c r="AM188" s="615"/>
      <c r="AN188" s="615"/>
      <c r="AO188" s="615"/>
      <c r="AP188" s="615"/>
      <c r="AQ188" s="615"/>
      <c r="AR188" s="615"/>
      <c r="AS188" s="615"/>
    </row>
    <row r="189" spans="12:45">
      <c r="L189" s="615"/>
      <c r="M189" s="615"/>
      <c r="AB189" s="615"/>
      <c r="AC189" s="615"/>
      <c r="AD189" s="615"/>
      <c r="AE189" s="615"/>
      <c r="AF189" s="615"/>
      <c r="AG189" s="615"/>
      <c r="AH189" s="615"/>
      <c r="AI189" s="615"/>
      <c r="AJ189" s="615"/>
      <c r="AK189" s="615"/>
      <c r="AL189" s="615"/>
      <c r="AM189" s="615"/>
      <c r="AN189" s="615"/>
      <c r="AO189" s="615"/>
      <c r="AP189" s="615"/>
      <c r="AQ189" s="615"/>
      <c r="AR189" s="615"/>
      <c r="AS189" s="615"/>
    </row>
    <row r="190" spans="12:45">
      <c r="L190" s="615"/>
      <c r="M190" s="615"/>
      <c r="AB190" s="615"/>
      <c r="AC190" s="615"/>
      <c r="AD190" s="615"/>
      <c r="AE190" s="615"/>
      <c r="AF190" s="615"/>
      <c r="AG190" s="615"/>
      <c r="AH190" s="615"/>
      <c r="AI190" s="615"/>
      <c r="AJ190" s="615"/>
      <c r="AK190" s="615"/>
      <c r="AL190" s="615"/>
      <c r="AM190" s="615"/>
      <c r="AN190" s="615"/>
      <c r="AO190" s="615"/>
      <c r="AP190" s="615"/>
      <c r="AQ190" s="615"/>
      <c r="AR190" s="615"/>
      <c r="AS190" s="615"/>
    </row>
    <row r="191" spans="12:45">
      <c r="L191" s="615"/>
      <c r="M191" s="615"/>
      <c r="AB191" s="615"/>
      <c r="AC191" s="615"/>
      <c r="AD191" s="615"/>
      <c r="AE191" s="615"/>
      <c r="AF191" s="615"/>
      <c r="AG191" s="615"/>
      <c r="AH191" s="615"/>
      <c r="AI191" s="615"/>
      <c r="AJ191" s="615"/>
      <c r="AK191" s="615"/>
      <c r="AL191" s="615"/>
      <c r="AM191" s="615"/>
      <c r="AN191" s="615"/>
      <c r="AO191" s="615"/>
      <c r="AP191" s="615"/>
      <c r="AQ191" s="615"/>
      <c r="AR191" s="615"/>
      <c r="AS191" s="615"/>
    </row>
    <row r="192" spans="12:45">
      <c r="L192" s="615"/>
      <c r="M192" s="615"/>
      <c r="AB192" s="615"/>
      <c r="AC192" s="615"/>
      <c r="AD192" s="615"/>
      <c r="AE192" s="615"/>
      <c r="AF192" s="615"/>
      <c r="AG192" s="615"/>
      <c r="AH192" s="615"/>
      <c r="AI192" s="615"/>
      <c r="AJ192" s="615"/>
      <c r="AK192" s="615"/>
      <c r="AL192" s="615"/>
      <c r="AM192" s="615"/>
      <c r="AN192" s="615"/>
      <c r="AO192" s="615"/>
      <c r="AP192" s="615"/>
      <c r="AQ192" s="615"/>
      <c r="AR192" s="615"/>
      <c r="AS192" s="615"/>
    </row>
    <row r="193" spans="12:45">
      <c r="L193" s="615"/>
      <c r="M193" s="615"/>
      <c r="AB193" s="615"/>
      <c r="AC193" s="615"/>
      <c r="AD193" s="615"/>
      <c r="AE193" s="615"/>
      <c r="AF193" s="615"/>
      <c r="AG193" s="615"/>
      <c r="AH193" s="615"/>
      <c r="AI193" s="615"/>
      <c r="AJ193" s="615"/>
      <c r="AK193" s="615"/>
      <c r="AL193" s="615"/>
      <c r="AM193" s="615"/>
      <c r="AN193" s="615"/>
      <c r="AO193" s="615"/>
      <c r="AP193" s="615"/>
      <c r="AQ193" s="615"/>
      <c r="AR193" s="615"/>
      <c r="AS193" s="615"/>
    </row>
    <row r="194" spans="12:45">
      <c r="L194" s="615"/>
      <c r="M194" s="615"/>
      <c r="AB194" s="615"/>
      <c r="AC194" s="615"/>
      <c r="AD194" s="615"/>
      <c r="AE194" s="615"/>
      <c r="AF194" s="615"/>
      <c r="AG194" s="615"/>
      <c r="AH194" s="615"/>
      <c r="AI194" s="615"/>
      <c r="AJ194" s="615"/>
      <c r="AK194" s="615"/>
      <c r="AL194" s="615"/>
      <c r="AM194" s="615"/>
      <c r="AN194" s="615"/>
      <c r="AO194" s="615"/>
      <c r="AP194" s="615"/>
      <c r="AQ194" s="615"/>
      <c r="AR194" s="615"/>
      <c r="AS194" s="615"/>
    </row>
    <row r="195" spans="12:45">
      <c r="L195" s="615"/>
      <c r="M195" s="615"/>
      <c r="AB195" s="615"/>
      <c r="AC195" s="615"/>
      <c r="AD195" s="615"/>
      <c r="AE195" s="615"/>
      <c r="AF195" s="615"/>
      <c r="AG195" s="615"/>
      <c r="AH195" s="615"/>
      <c r="AI195" s="615"/>
      <c r="AJ195" s="615"/>
      <c r="AK195" s="615"/>
      <c r="AL195" s="615"/>
      <c r="AM195" s="615"/>
      <c r="AN195" s="615"/>
      <c r="AO195" s="615"/>
      <c r="AP195" s="615"/>
      <c r="AQ195" s="615"/>
      <c r="AR195" s="615"/>
      <c r="AS195" s="615"/>
    </row>
    <row r="196" spans="12:45">
      <c r="L196" s="615"/>
      <c r="M196" s="615"/>
      <c r="AB196" s="615"/>
      <c r="AC196" s="615"/>
      <c r="AD196" s="615"/>
      <c r="AE196" s="615"/>
      <c r="AF196" s="615"/>
      <c r="AG196" s="615"/>
      <c r="AH196" s="615"/>
      <c r="AI196" s="615"/>
      <c r="AJ196" s="615"/>
      <c r="AK196" s="615"/>
      <c r="AL196" s="615"/>
      <c r="AM196" s="615"/>
      <c r="AN196" s="615"/>
      <c r="AO196" s="615"/>
      <c r="AP196" s="615"/>
      <c r="AQ196" s="615"/>
      <c r="AR196" s="615"/>
      <c r="AS196" s="615"/>
    </row>
    <row r="197" spans="12:45">
      <c r="L197" s="615"/>
      <c r="M197" s="615"/>
      <c r="AB197" s="615"/>
      <c r="AC197" s="615"/>
      <c r="AD197" s="615"/>
      <c r="AE197" s="615"/>
      <c r="AF197" s="615"/>
      <c r="AG197" s="615"/>
      <c r="AH197" s="615"/>
      <c r="AI197" s="615"/>
      <c r="AJ197" s="615"/>
      <c r="AK197" s="615"/>
      <c r="AL197" s="615"/>
      <c r="AM197" s="615"/>
      <c r="AN197" s="615"/>
      <c r="AO197" s="615"/>
      <c r="AP197" s="615"/>
      <c r="AQ197" s="615"/>
      <c r="AR197" s="615"/>
      <c r="AS197" s="615"/>
    </row>
    <row r="198" spans="12:45">
      <c r="L198" s="615"/>
      <c r="M198" s="615"/>
      <c r="AB198" s="615"/>
      <c r="AC198" s="615"/>
      <c r="AD198" s="615"/>
      <c r="AE198" s="615"/>
      <c r="AF198" s="615"/>
      <c r="AG198" s="615"/>
      <c r="AH198" s="615"/>
      <c r="AI198" s="615"/>
      <c r="AJ198" s="615"/>
      <c r="AK198" s="615"/>
      <c r="AL198" s="615"/>
      <c r="AM198" s="615"/>
      <c r="AN198" s="615"/>
      <c r="AO198" s="615"/>
      <c r="AP198" s="615"/>
      <c r="AQ198" s="615"/>
      <c r="AR198" s="615"/>
      <c r="AS198" s="615"/>
    </row>
    <row r="199" spans="12:45">
      <c r="L199" s="615"/>
      <c r="M199" s="615"/>
      <c r="AB199" s="615"/>
      <c r="AC199" s="615"/>
      <c r="AD199" s="615"/>
      <c r="AE199" s="615"/>
      <c r="AF199" s="615"/>
      <c r="AG199" s="615"/>
      <c r="AH199" s="615"/>
      <c r="AI199" s="615"/>
      <c r="AJ199" s="615"/>
      <c r="AK199" s="615"/>
      <c r="AL199" s="615"/>
      <c r="AM199" s="615"/>
      <c r="AN199" s="615"/>
      <c r="AO199" s="615"/>
      <c r="AP199" s="615"/>
      <c r="AQ199" s="615"/>
      <c r="AR199" s="615"/>
      <c r="AS199" s="615"/>
    </row>
    <row r="200" spans="12:45">
      <c r="L200" s="615"/>
      <c r="M200" s="615"/>
      <c r="AB200" s="615"/>
      <c r="AC200" s="615"/>
      <c r="AD200" s="615"/>
      <c r="AE200" s="615"/>
      <c r="AF200" s="615"/>
      <c r="AG200" s="615"/>
      <c r="AH200" s="615"/>
      <c r="AI200" s="615"/>
      <c r="AJ200" s="615"/>
      <c r="AK200" s="615"/>
      <c r="AL200" s="615"/>
      <c r="AM200" s="615"/>
      <c r="AN200" s="615"/>
      <c r="AO200" s="615"/>
      <c r="AP200" s="615"/>
      <c r="AQ200" s="615"/>
      <c r="AR200" s="615"/>
      <c r="AS200" s="615"/>
    </row>
    <row r="201" spans="12:45">
      <c r="L201" s="615"/>
      <c r="M201" s="615"/>
      <c r="AB201" s="615"/>
      <c r="AC201" s="615"/>
      <c r="AD201" s="615"/>
      <c r="AE201" s="615"/>
      <c r="AF201" s="615"/>
      <c r="AG201" s="615"/>
      <c r="AH201" s="615"/>
      <c r="AI201" s="615"/>
      <c r="AJ201" s="615"/>
      <c r="AK201" s="615"/>
      <c r="AL201" s="615"/>
      <c r="AM201" s="615"/>
      <c r="AN201" s="615"/>
      <c r="AO201" s="615"/>
      <c r="AP201" s="615"/>
      <c r="AQ201" s="615"/>
      <c r="AR201" s="615"/>
      <c r="AS201" s="615"/>
    </row>
    <row r="202" spans="12:45">
      <c r="L202" s="615"/>
      <c r="M202" s="615"/>
      <c r="AB202" s="615"/>
      <c r="AC202" s="615"/>
      <c r="AD202" s="615"/>
      <c r="AE202" s="615"/>
      <c r="AF202" s="615"/>
      <c r="AG202" s="615"/>
      <c r="AH202" s="615"/>
      <c r="AI202" s="615"/>
      <c r="AJ202" s="615"/>
      <c r="AK202" s="615"/>
      <c r="AL202" s="615"/>
      <c r="AM202" s="615"/>
      <c r="AN202" s="615"/>
      <c r="AO202" s="615"/>
      <c r="AP202" s="615"/>
      <c r="AQ202" s="615"/>
      <c r="AR202" s="615"/>
      <c r="AS202" s="615"/>
    </row>
    <row r="203" spans="12:45">
      <c r="L203" s="615"/>
      <c r="M203" s="615"/>
      <c r="AB203" s="615"/>
      <c r="AC203" s="615"/>
      <c r="AD203" s="615"/>
      <c r="AE203" s="615"/>
      <c r="AF203" s="615"/>
      <c r="AG203" s="615"/>
      <c r="AH203" s="615"/>
      <c r="AI203" s="615"/>
      <c r="AJ203" s="615"/>
      <c r="AK203" s="615"/>
      <c r="AL203" s="615"/>
      <c r="AM203" s="615"/>
      <c r="AN203" s="615"/>
      <c r="AO203" s="615"/>
      <c r="AP203" s="615"/>
      <c r="AQ203" s="615"/>
      <c r="AR203" s="615"/>
      <c r="AS203" s="615"/>
    </row>
    <row r="204" spans="12:45">
      <c r="L204" s="615"/>
      <c r="M204" s="615"/>
      <c r="AB204" s="615"/>
      <c r="AC204" s="615"/>
      <c r="AD204" s="615"/>
      <c r="AE204" s="615"/>
      <c r="AF204" s="615"/>
      <c r="AG204" s="615"/>
      <c r="AH204" s="615"/>
      <c r="AI204" s="615"/>
      <c r="AJ204" s="615"/>
      <c r="AK204" s="615"/>
      <c r="AL204" s="615"/>
      <c r="AM204" s="615"/>
      <c r="AN204" s="615"/>
      <c r="AO204" s="615"/>
      <c r="AP204" s="615"/>
      <c r="AQ204" s="615"/>
      <c r="AR204" s="615"/>
      <c r="AS204" s="615"/>
    </row>
    <row r="205" spans="12:45">
      <c r="L205" s="615"/>
      <c r="M205" s="615"/>
      <c r="AB205" s="615"/>
      <c r="AC205" s="615"/>
      <c r="AD205" s="615"/>
      <c r="AE205" s="615"/>
      <c r="AF205" s="615"/>
      <c r="AG205" s="615"/>
      <c r="AH205" s="615"/>
      <c r="AI205" s="615"/>
      <c r="AJ205" s="615"/>
      <c r="AK205" s="615"/>
      <c r="AL205" s="615"/>
      <c r="AM205" s="615"/>
      <c r="AN205" s="615"/>
      <c r="AO205" s="615"/>
      <c r="AP205" s="615"/>
      <c r="AQ205" s="615"/>
      <c r="AR205" s="615"/>
      <c r="AS205" s="615"/>
    </row>
    <row r="206" spans="12:45">
      <c r="L206" s="615"/>
      <c r="M206" s="615"/>
      <c r="AB206" s="615"/>
      <c r="AC206" s="615"/>
      <c r="AD206" s="615"/>
      <c r="AE206" s="615"/>
      <c r="AF206" s="615"/>
      <c r="AG206" s="615"/>
      <c r="AH206" s="615"/>
      <c r="AI206" s="615"/>
      <c r="AJ206" s="615"/>
      <c r="AK206" s="615"/>
      <c r="AL206" s="615"/>
      <c r="AM206" s="615"/>
      <c r="AN206" s="615"/>
      <c r="AO206" s="615"/>
      <c r="AP206" s="615"/>
      <c r="AQ206" s="615"/>
      <c r="AR206" s="615"/>
      <c r="AS206" s="615"/>
    </row>
    <row r="207" spans="12:45">
      <c r="L207" s="615"/>
      <c r="M207" s="615"/>
      <c r="AB207" s="615"/>
      <c r="AC207" s="615"/>
      <c r="AD207" s="615"/>
      <c r="AE207" s="615"/>
      <c r="AF207" s="615"/>
      <c r="AG207" s="615"/>
      <c r="AH207" s="615"/>
      <c r="AI207" s="615"/>
      <c r="AJ207" s="615"/>
      <c r="AK207" s="615"/>
      <c r="AL207" s="615"/>
      <c r="AM207" s="615"/>
      <c r="AN207" s="615"/>
      <c r="AO207" s="615"/>
      <c r="AP207" s="615"/>
      <c r="AQ207" s="615"/>
      <c r="AR207" s="615"/>
      <c r="AS207" s="615"/>
    </row>
    <row r="208" spans="12:45">
      <c r="L208" s="615"/>
      <c r="M208" s="615"/>
      <c r="AB208" s="615"/>
      <c r="AC208" s="615"/>
      <c r="AD208" s="615"/>
      <c r="AE208" s="615"/>
      <c r="AF208" s="615"/>
      <c r="AG208" s="615"/>
      <c r="AH208" s="615"/>
      <c r="AI208" s="615"/>
      <c r="AJ208" s="615"/>
      <c r="AK208" s="615"/>
      <c r="AL208" s="615"/>
      <c r="AM208" s="615"/>
      <c r="AN208" s="615"/>
      <c r="AO208" s="615"/>
      <c r="AP208" s="615"/>
      <c r="AQ208" s="615"/>
      <c r="AR208" s="615"/>
      <c r="AS208" s="615"/>
    </row>
    <row r="209" spans="12:45">
      <c r="L209" s="615"/>
      <c r="M209" s="615"/>
      <c r="AB209" s="615"/>
      <c r="AC209" s="615"/>
      <c r="AD209" s="615"/>
      <c r="AE209" s="615"/>
      <c r="AF209" s="615"/>
      <c r="AG209" s="615"/>
      <c r="AH209" s="615"/>
      <c r="AI209" s="615"/>
      <c r="AJ209" s="615"/>
      <c r="AK209" s="615"/>
      <c r="AL209" s="615"/>
      <c r="AM209" s="615"/>
      <c r="AN209" s="615"/>
      <c r="AO209" s="615"/>
      <c r="AP209" s="615"/>
      <c r="AQ209" s="615"/>
      <c r="AR209" s="615"/>
      <c r="AS209" s="615"/>
    </row>
    <row r="210" spans="12:45">
      <c r="L210" s="615"/>
      <c r="M210" s="615"/>
      <c r="AB210" s="615"/>
      <c r="AC210" s="615"/>
      <c r="AD210" s="615"/>
      <c r="AE210" s="615"/>
      <c r="AF210" s="615"/>
      <c r="AG210" s="615"/>
      <c r="AH210" s="615"/>
      <c r="AI210" s="615"/>
      <c r="AJ210" s="615"/>
      <c r="AK210" s="615"/>
      <c r="AL210" s="615"/>
      <c r="AM210" s="615"/>
      <c r="AN210" s="615"/>
      <c r="AO210" s="615"/>
      <c r="AP210" s="615"/>
      <c r="AQ210" s="615"/>
      <c r="AR210" s="615"/>
      <c r="AS210" s="615"/>
    </row>
    <row r="211" spans="12:45">
      <c r="L211" s="615"/>
      <c r="M211" s="615"/>
      <c r="AB211" s="615"/>
      <c r="AC211" s="615"/>
      <c r="AD211" s="615"/>
      <c r="AE211" s="615"/>
      <c r="AF211" s="615"/>
      <c r="AG211" s="615"/>
      <c r="AH211" s="615"/>
      <c r="AI211" s="615"/>
      <c r="AJ211" s="615"/>
      <c r="AK211" s="615"/>
      <c r="AL211" s="615"/>
      <c r="AM211" s="615"/>
      <c r="AN211" s="615"/>
      <c r="AO211" s="615"/>
      <c r="AP211" s="615"/>
      <c r="AQ211" s="615"/>
      <c r="AR211" s="615"/>
      <c r="AS211" s="615"/>
    </row>
    <row r="212" spans="12:45">
      <c r="L212" s="615"/>
      <c r="M212" s="615"/>
      <c r="AB212" s="615"/>
      <c r="AC212" s="615"/>
      <c r="AD212" s="615"/>
      <c r="AE212" s="615"/>
      <c r="AF212" s="615"/>
      <c r="AG212" s="615"/>
      <c r="AH212" s="615"/>
      <c r="AI212" s="615"/>
      <c r="AJ212" s="615"/>
      <c r="AK212" s="615"/>
      <c r="AL212" s="615"/>
      <c r="AM212" s="615"/>
      <c r="AN212" s="615"/>
      <c r="AO212" s="615"/>
      <c r="AP212" s="615"/>
      <c r="AQ212" s="615"/>
      <c r="AR212" s="615"/>
      <c r="AS212" s="615"/>
    </row>
    <row r="213" spans="12:45">
      <c r="L213" s="615"/>
      <c r="M213" s="615"/>
      <c r="AB213" s="615"/>
      <c r="AC213" s="615"/>
      <c r="AD213" s="615"/>
      <c r="AE213" s="615"/>
      <c r="AF213" s="615"/>
      <c r="AG213" s="615"/>
      <c r="AH213" s="615"/>
      <c r="AI213" s="615"/>
      <c r="AJ213" s="615"/>
      <c r="AK213" s="615"/>
      <c r="AL213" s="615"/>
      <c r="AM213" s="615"/>
      <c r="AN213" s="615"/>
      <c r="AO213" s="615"/>
      <c r="AP213" s="615"/>
      <c r="AQ213" s="615"/>
      <c r="AR213" s="615"/>
      <c r="AS213" s="615"/>
    </row>
    <row r="214" spans="12:45">
      <c r="L214" s="615"/>
      <c r="M214" s="615"/>
      <c r="AB214" s="615"/>
      <c r="AC214" s="615"/>
      <c r="AD214" s="615"/>
      <c r="AE214" s="615"/>
      <c r="AF214" s="615"/>
      <c r="AG214" s="615"/>
      <c r="AH214" s="615"/>
      <c r="AI214" s="615"/>
      <c r="AJ214" s="615"/>
      <c r="AK214" s="615"/>
      <c r="AL214" s="615"/>
      <c r="AM214" s="615"/>
      <c r="AN214" s="615"/>
      <c r="AO214" s="615"/>
      <c r="AP214" s="615"/>
      <c r="AQ214" s="615"/>
      <c r="AR214" s="615"/>
      <c r="AS214" s="615"/>
    </row>
    <row r="215" spans="12:45">
      <c r="L215" s="615"/>
      <c r="M215" s="615"/>
      <c r="AB215" s="615"/>
      <c r="AC215" s="615"/>
      <c r="AD215" s="615"/>
      <c r="AE215" s="615"/>
      <c r="AF215" s="615"/>
      <c r="AG215" s="615"/>
      <c r="AH215" s="615"/>
      <c r="AI215" s="615"/>
      <c r="AJ215" s="615"/>
      <c r="AK215" s="615"/>
      <c r="AL215" s="615"/>
      <c r="AM215" s="615"/>
      <c r="AN215" s="615"/>
      <c r="AO215" s="615"/>
      <c r="AP215" s="615"/>
      <c r="AQ215" s="615"/>
      <c r="AR215" s="615"/>
      <c r="AS215" s="615"/>
    </row>
    <row r="216" spans="12:45">
      <c r="L216" s="615"/>
      <c r="M216" s="615"/>
      <c r="AB216" s="615"/>
      <c r="AC216" s="615"/>
      <c r="AD216" s="615"/>
      <c r="AE216" s="615"/>
      <c r="AF216" s="615"/>
      <c r="AG216" s="615"/>
      <c r="AH216" s="615"/>
      <c r="AI216" s="615"/>
      <c r="AJ216" s="615"/>
      <c r="AK216" s="615"/>
      <c r="AL216" s="615"/>
      <c r="AM216" s="615"/>
      <c r="AN216" s="615"/>
      <c r="AO216" s="615"/>
      <c r="AP216" s="615"/>
      <c r="AQ216" s="615"/>
      <c r="AR216" s="615"/>
      <c r="AS216" s="615"/>
    </row>
    <row r="217" spans="12:45">
      <c r="L217" s="615"/>
      <c r="M217" s="615"/>
      <c r="AB217" s="615"/>
      <c r="AC217" s="615"/>
      <c r="AD217" s="615"/>
      <c r="AE217" s="615"/>
      <c r="AF217" s="615"/>
      <c r="AG217" s="615"/>
      <c r="AH217" s="615"/>
      <c r="AI217" s="615"/>
      <c r="AJ217" s="615"/>
      <c r="AK217" s="615"/>
      <c r="AL217" s="615"/>
      <c r="AM217" s="615"/>
      <c r="AN217" s="615"/>
      <c r="AO217" s="615"/>
      <c r="AP217" s="615"/>
      <c r="AQ217" s="615"/>
      <c r="AR217" s="615"/>
      <c r="AS217" s="615"/>
    </row>
    <row r="218" spans="12:45">
      <c r="L218" s="615"/>
      <c r="M218" s="615"/>
      <c r="AB218" s="615"/>
      <c r="AC218" s="615"/>
      <c r="AD218" s="615"/>
      <c r="AE218" s="615"/>
      <c r="AF218" s="615"/>
      <c r="AG218" s="615"/>
      <c r="AH218" s="615"/>
      <c r="AI218" s="615"/>
      <c r="AJ218" s="615"/>
      <c r="AK218" s="615"/>
      <c r="AL218" s="615"/>
      <c r="AM218" s="615"/>
      <c r="AN218" s="615"/>
      <c r="AO218" s="615"/>
      <c r="AP218" s="615"/>
      <c r="AQ218" s="615"/>
      <c r="AR218" s="615"/>
      <c r="AS218" s="615"/>
    </row>
    <row r="219" spans="12:45">
      <c r="L219" s="615"/>
      <c r="M219" s="615"/>
      <c r="AB219" s="615"/>
      <c r="AC219" s="615"/>
      <c r="AD219" s="615"/>
      <c r="AE219" s="615"/>
      <c r="AF219" s="615"/>
      <c r="AG219" s="615"/>
      <c r="AH219" s="615"/>
      <c r="AI219" s="615"/>
      <c r="AJ219" s="615"/>
      <c r="AK219" s="615"/>
      <c r="AL219" s="615"/>
      <c r="AM219" s="615"/>
      <c r="AN219" s="615"/>
      <c r="AO219" s="615"/>
      <c r="AP219" s="615"/>
      <c r="AQ219" s="615"/>
      <c r="AR219" s="615"/>
      <c r="AS219" s="615"/>
    </row>
    <row r="220" spans="12:45">
      <c r="L220" s="615"/>
      <c r="M220" s="615"/>
      <c r="AB220" s="615"/>
      <c r="AC220" s="615"/>
      <c r="AD220" s="615"/>
      <c r="AE220" s="615"/>
      <c r="AF220" s="615"/>
      <c r="AG220" s="615"/>
      <c r="AH220" s="615"/>
      <c r="AI220" s="615"/>
      <c r="AJ220" s="615"/>
      <c r="AK220" s="615"/>
      <c r="AL220" s="615"/>
      <c r="AM220" s="615"/>
      <c r="AN220" s="615"/>
      <c r="AO220" s="615"/>
      <c r="AP220" s="615"/>
      <c r="AQ220" s="615"/>
      <c r="AR220" s="615"/>
      <c r="AS220" s="615"/>
    </row>
    <row r="221" spans="12:45">
      <c r="L221" s="615"/>
      <c r="M221" s="615"/>
      <c r="AB221" s="615"/>
      <c r="AC221" s="615"/>
      <c r="AD221" s="615"/>
      <c r="AE221" s="615"/>
      <c r="AF221" s="615"/>
      <c r="AG221" s="615"/>
      <c r="AH221" s="615"/>
      <c r="AI221" s="615"/>
      <c r="AJ221" s="615"/>
      <c r="AK221" s="615"/>
      <c r="AL221" s="615"/>
      <c r="AM221" s="615"/>
      <c r="AN221" s="615"/>
      <c r="AO221" s="615"/>
      <c r="AP221" s="615"/>
      <c r="AQ221" s="615"/>
      <c r="AR221" s="615"/>
      <c r="AS221" s="615"/>
    </row>
    <row r="222" spans="12:45">
      <c r="L222" s="615"/>
      <c r="M222" s="615"/>
      <c r="AB222" s="615"/>
      <c r="AC222" s="615"/>
      <c r="AD222" s="615"/>
      <c r="AE222" s="615"/>
      <c r="AF222" s="615"/>
      <c r="AG222" s="615"/>
      <c r="AH222" s="615"/>
      <c r="AI222" s="615"/>
      <c r="AJ222" s="615"/>
      <c r="AK222" s="615"/>
      <c r="AL222" s="615"/>
      <c r="AM222" s="615"/>
      <c r="AN222" s="615"/>
      <c r="AO222" s="615"/>
      <c r="AP222" s="615"/>
      <c r="AQ222" s="615"/>
      <c r="AR222" s="615"/>
      <c r="AS222" s="615"/>
    </row>
    <row r="223" spans="12:45">
      <c r="L223" s="615"/>
      <c r="M223" s="615"/>
      <c r="AB223" s="615"/>
      <c r="AC223" s="615"/>
      <c r="AD223" s="615"/>
      <c r="AE223" s="615"/>
      <c r="AF223" s="615"/>
      <c r="AG223" s="615"/>
      <c r="AH223" s="615"/>
      <c r="AI223" s="615"/>
      <c r="AJ223" s="615"/>
      <c r="AK223" s="615"/>
      <c r="AL223" s="615"/>
      <c r="AM223" s="615"/>
      <c r="AN223" s="615"/>
      <c r="AO223" s="615"/>
      <c r="AP223" s="615"/>
      <c r="AQ223" s="615"/>
      <c r="AR223" s="615"/>
      <c r="AS223" s="615"/>
    </row>
    <row r="224" spans="12:45">
      <c r="L224" s="615"/>
      <c r="M224" s="615"/>
      <c r="AB224" s="615"/>
      <c r="AC224" s="615"/>
      <c r="AD224" s="615"/>
      <c r="AE224" s="615"/>
      <c r="AF224" s="615"/>
      <c r="AG224" s="615"/>
      <c r="AH224" s="615"/>
      <c r="AI224" s="615"/>
      <c r="AJ224" s="615"/>
      <c r="AK224" s="615"/>
      <c r="AL224" s="615"/>
      <c r="AM224" s="615"/>
      <c r="AN224" s="615"/>
      <c r="AO224" s="615"/>
      <c r="AP224" s="615"/>
      <c r="AQ224" s="615"/>
      <c r="AR224" s="615"/>
      <c r="AS224" s="615"/>
    </row>
    <row r="225" spans="12:45">
      <c r="L225" s="615"/>
      <c r="M225" s="615"/>
      <c r="AB225" s="615"/>
      <c r="AC225" s="615"/>
      <c r="AD225" s="615"/>
      <c r="AE225" s="615"/>
      <c r="AF225" s="615"/>
      <c r="AG225" s="615"/>
      <c r="AH225" s="615"/>
      <c r="AI225" s="615"/>
      <c r="AJ225" s="615"/>
      <c r="AK225" s="615"/>
      <c r="AL225" s="615"/>
      <c r="AM225" s="615"/>
      <c r="AN225" s="615"/>
      <c r="AO225" s="615"/>
      <c r="AP225" s="615"/>
      <c r="AQ225" s="615"/>
      <c r="AR225" s="615"/>
      <c r="AS225" s="615"/>
    </row>
    <row r="226" spans="12:45">
      <c r="L226" s="615"/>
      <c r="M226" s="615"/>
      <c r="AB226" s="615"/>
      <c r="AC226" s="615"/>
      <c r="AD226" s="615"/>
      <c r="AE226" s="615"/>
      <c r="AF226" s="615"/>
      <c r="AG226" s="615"/>
      <c r="AH226" s="615"/>
      <c r="AI226" s="615"/>
      <c r="AJ226" s="615"/>
      <c r="AK226" s="615"/>
      <c r="AL226" s="615"/>
      <c r="AM226" s="615"/>
      <c r="AN226" s="615"/>
      <c r="AO226" s="615"/>
      <c r="AP226" s="615"/>
      <c r="AQ226" s="615"/>
      <c r="AR226" s="615"/>
      <c r="AS226" s="615"/>
    </row>
    <row r="227" spans="12:45">
      <c r="L227" s="615"/>
      <c r="M227" s="615"/>
      <c r="AB227" s="615"/>
      <c r="AC227" s="615"/>
      <c r="AD227" s="615"/>
      <c r="AE227" s="615"/>
      <c r="AF227" s="615"/>
      <c r="AG227" s="615"/>
      <c r="AH227" s="615"/>
      <c r="AI227" s="615"/>
      <c r="AJ227" s="615"/>
      <c r="AK227" s="615"/>
      <c r="AL227" s="615"/>
      <c r="AM227" s="615"/>
      <c r="AN227" s="615"/>
      <c r="AO227" s="615"/>
      <c r="AP227" s="615"/>
      <c r="AQ227" s="615"/>
      <c r="AR227" s="615"/>
      <c r="AS227" s="615"/>
    </row>
    <row r="228" spans="12:45">
      <c r="L228" s="615"/>
      <c r="M228" s="615"/>
      <c r="AB228" s="615"/>
      <c r="AC228" s="615"/>
      <c r="AD228" s="615"/>
      <c r="AE228" s="615"/>
      <c r="AF228" s="615"/>
      <c r="AG228" s="615"/>
      <c r="AH228" s="615"/>
      <c r="AI228" s="615"/>
      <c r="AJ228" s="615"/>
      <c r="AK228" s="615"/>
      <c r="AL228" s="615"/>
      <c r="AM228" s="615"/>
      <c r="AN228" s="615"/>
      <c r="AO228" s="615"/>
      <c r="AP228" s="615"/>
      <c r="AQ228" s="615"/>
      <c r="AR228" s="615"/>
      <c r="AS228" s="615"/>
    </row>
    <row r="229" spans="12:45">
      <c r="L229" s="615"/>
      <c r="M229" s="615"/>
      <c r="AB229" s="615"/>
      <c r="AC229" s="615"/>
      <c r="AD229" s="615"/>
      <c r="AE229" s="615"/>
      <c r="AF229" s="615"/>
      <c r="AG229" s="615"/>
      <c r="AH229" s="615"/>
      <c r="AI229" s="615"/>
      <c r="AJ229" s="615"/>
      <c r="AK229" s="615"/>
      <c r="AL229" s="615"/>
      <c r="AM229" s="615"/>
      <c r="AN229" s="615"/>
      <c r="AO229" s="615"/>
      <c r="AP229" s="615"/>
      <c r="AQ229" s="615"/>
      <c r="AR229" s="615"/>
      <c r="AS229" s="615"/>
    </row>
    <row r="230" spans="12:45">
      <c r="L230" s="615"/>
      <c r="M230" s="615"/>
      <c r="AB230" s="615"/>
      <c r="AC230" s="615"/>
      <c r="AD230" s="615"/>
      <c r="AE230" s="615"/>
      <c r="AF230" s="615"/>
      <c r="AG230" s="615"/>
      <c r="AH230" s="615"/>
      <c r="AI230" s="615"/>
      <c r="AJ230" s="615"/>
      <c r="AK230" s="615"/>
      <c r="AL230" s="615"/>
      <c r="AM230" s="615"/>
      <c r="AN230" s="615"/>
      <c r="AO230" s="615"/>
      <c r="AP230" s="615"/>
      <c r="AQ230" s="615"/>
      <c r="AR230" s="615"/>
      <c r="AS230" s="615"/>
    </row>
    <row r="231" spans="12:45">
      <c r="L231" s="615"/>
      <c r="M231" s="615"/>
      <c r="AB231" s="615"/>
      <c r="AC231" s="615"/>
      <c r="AD231" s="615"/>
      <c r="AE231" s="615"/>
      <c r="AF231" s="615"/>
      <c r="AG231" s="615"/>
      <c r="AH231" s="615"/>
      <c r="AI231" s="615"/>
      <c r="AJ231" s="615"/>
      <c r="AK231" s="615"/>
      <c r="AL231" s="615"/>
      <c r="AM231" s="615"/>
      <c r="AN231" s="615"/>
      <c r="AO231" s="615"/>
      <c r="AP231" s="615"/>
      <c r="AQ231" s="615"/>
      <c r="AR231" s="615"/>
      <c r="AS231" s="615"/>
    </row>
    <row r="232" spans="12:45">
      <c r="L232" s="615"/>
      <c r="M232" s="615"/>
      <c r="AB232" s="615"/>
      <c r="AC232" s="615"/>
      <c r="AD232" s="615"/>
      <c r="AE232" s="615"/>
      <c r="AF232" s="615"/>
      <c r="AG232" s="615"/>
      <c r="AH232" s="615"/>
      <c r="AI232" s="615"/>
      <c r="AJ232" s="615"/>
      <c r="AK232" s="615"/>
      <c r="AL232" s="615"/>
      <c r="AM232" s="615"/>
      <c r="AN232" s="615"/>
      <c r="AO232" s="615"/>
      <c r="AP232" s="615"/>
      <c r="AQ232" s="615"/>
      <c r="AR232" s="615"/>
      <c r="AS232" s="615"/>
    </row>
    <row r="233" spans="12:45">
      <c r="L233" s="615"/>
      <c r="M233" s="615"/>
      <c r="AB233" s="615"/>
      <c r="AC233" s="615"/>
      <c r="AD233" s="615"/>
      <c r="AE233" s="615"/>
      <c r="AF233" s="615"/>
      <c r="AG233" s="615"/>
      <c r="AH233" s="615"/>
      <c r="AI233" s="615"/>
      <c r="AJ233" s="615"/>
      <c r="AK233" s="615"/>
      <c r="AL233" s="615"/>
      <c r="AM233" s="615"/>
      <c r="AN233" s="615"/>
      <c r="AO233" s="615"/>
      <c r="AP233" s="615"/>
      <c r="AQ233" s="615"/>
      <c r="AR233" s="615"/>
      <c r="AS233" s="615"/>
    </row>
    <row r="234" spans="12:45">
      <c r="L234" s="615"/>
      <c r="M234" s="615"/>
      <c r="AB234" s="615"/>
      <c r="AC234" s="615"/>
      <c r="AD234" s="615"/>
      <c r="AE234" s="615"/>
      <c r="AF234" s="615"/>
      <c r="AG234" s="615"/>
      <c r="AH234" s="615"/>
      <c r="AI234" s="615"/>
      <c r="AJ234" s="615"/>
      <c r="AK234" s="615"/>
      <c r="AL234" s="615"/>
      <c r="AM234" s="615"/>
      <c r="AN234" s="615"/>
      <c r="AO234" s="615"/>
      <c r="AP234" s="615"/>
      <c r="AQ234" s="615"/>
      <c r="AR234" s="615"/>
      <c r="AS234" s="615"/>
    </row>
    <row r="235" spans="12:45">
      <c r="L235" s="615"/>
      <c r="M235" s="615"/>
      <c r="AB235" s="615"/>
      <c r="AC235" s="615"/>
      <c r="AD235" s="615"/>
      <c r="AE235" s="615"/>
      <c r="AF235" s="615"/>
      <c r="AG235" s="615"/>
      <c r="AH235" s="615"/>
      <c r="AI235" s="615"/>
      <c r="AJ235" s="615"/>
      <c r="AK235" s="615"/>
      <c r="AL235" s="615"/>
      <c r="AM235" s="615"/>
      <c r="AN235" s="615"/>
      <c r="AO235" s="615"/>
      <c r="AP235" s="615"/>
      <c r="AQ235" s="615"/>
      <c r="AR235" s="615"/>
      <c r="AS235" s="615"/>
    </row>
    <row r="236" spans="12:45">
      <c r="L236" s="615"/>
      <c r="M236" s="615"/>
      <c r="AB236" s="615"/>
      <c r="AC236" s="615"/>
      <c r="AD236" s="615"/>
      <c r="AE236" s="615"/>
      <c r="AF236" s="615"/>
      <c r="AG236" s="615"/>
      <c r="AH236" s="615"/>
      <c r="AI236" s="615"/>
      <c r="AJ236" s="615"/>
      <c r="AK236" s="615"/>
      <c r="AL236" s="615"/>
      <c r="AM236" s="615"/>
      <c r="AN236" s="615"/>
      <c r="AO236" s="615"/>
      <c r="AP236" s="615"/>
      <c r="AQ236" s="615"/>
      <c r="AR236" s="615"/>
      <c r="AS236" s="615"/>
    </row>
    <row r="237" spans="12:45">
      <c r="L237" s="615"/>
      <c r="M237" s="615"/>
      <c r="AB237" s="615"/>
      <c r="AC237" s="615"/>
      <c r="AD237" s="615"/>
      <c r="AE237" s="615"/>
      <c r="AF237" s="615"/>
      <c r="AG237" s="615"/>
      <c r="AH237" s="615"/>
      <c r="AI237" s="615"/>
      <c r="AJ237" s="615"/>
      <c r="AK237" s="615"/>
      <c r="AL237" s="615"/>
      <c r="AM237" s="615"/>
      <c r="AN237" s="615"/>
      <c r="AO237" s="615"/>
      <c r="AP237" s="615"/>
      <c r="AQ237" s="615"/>
      <c r="AR237" s="615"/>
      <c r="AS237" s="615"/>
    </row>
    <row r="238" spans="12:45">
      <c r="L238" s="615"/>
      <c r="M238" s="615"/>
      <c r="AB238" s="615"/>
      <c r="AC238" s="615"/>
      <c r="AD238" s="615"/>
      <c r="AE238" s="615"/>
      <c r="AF238" s="615"/>
      <c r="AG238" s="615"/>
      <c r="AH238" s="615"/>
      <c r="AI238" s="615"/>
      <c r="AJ238" s="615"/>
      <c r="AK238" s="615"/>
      <c r="AL238" s="615"/>
      <c r="AM238" s="615"/>
      <c r="AN238" s="615"/>
      <c r="AO238" s="615"/>
      <c r="AP238" s="615"/>
      <c r="AQ238" s="615"/>
      <c r="AR238" s="615"/>
      <c r="AS238" s="615"/>
    </row>
    <row r="239" spans="12:45">
      <c r="L239" s="615"/>
      <c r="M239" s="615"/>
      <c r="AB239" s="615"/>
      <c r="AC239" s="615"/>
      <c r="AD239" s="615"/>
      <c r="AE239" s="615"/>
      <c r="AF239" s="615"/>
      <c r="AG239" s="615"/>
      <c r="AH239" s="615"/>
      <c r="AI239" s="615"/>
      <c r="AJ239" s="615"/>
      <c r="AK239" s="615"/>
      <c r="AL239" s="615"/>
      <c r="AM239" s="615"/>
      <c r="AN239" s="615"/>
      <c r="AO239" s="615"/>
      <c r="AP239" s="615"/>
      <c r="AQ239" s="615"/>
      <c r="AR239" s="615"/>
      <c r="AS239" s="615"/>
    </row>
    <row r="240" spans="12:45">
      <c r="L240" s="615"/>
      <c r="M240" s="615"/>
      <c r="AB240" s="615"/>
      <c r="AC240" s="615"/>
      <c r="AD240" s="615"/>
      <c r="AE240" s="615"/>
      <c r="AF240" s="615"/>
      <c r="AG240" s="615"/>
      <c r="AH240" s="615"/>
      <c r="AI240" s="615"/>
      <c r="AJ240" s="615"/>
      <c r="AK240" s="615"/>
      <c r="AL240" s="615"/>
      <c r="AM240" s="615"/>
      <c r="AN240" s="615"/>
      <c r="AO240" s="615"/>
      <c r="AP240" s="615"/>
      <c r="AQ240" s="615"/>
      <c r="AR240" s="615"/>
      <c r="AS240" s="615"/>
    </row>
    <row r="241" spans="12:45">
      <c r="L241" s="615"/>
      <c r="M241" s="615"/>
      <c r="AB241" s="615"/>
      <c r="AC241" s="615"/>
      <c r="AD241" s="615"/>
      <c r="AE241" s="615"/>
      <c r="AF241" s="615"/>
      <c r="AG241" s="615"/>
      <c r="AH241" s="615"/>
      <c r="AI241" s="615"/>
      <c r="AJ241" s="615"/>
      <c r="AK241" s="615"/>
      <c r="AL241" s="615"/>
      <c r="AM241" s="615"/>
      <c r="AN241" s="615"/>
      <c r="AO241" s="615"/>
      <c r="AP241" s="615"/>
      <c r="AQ241" s="615"/>
      <c r="AR241" s="615"/>
      <c r="AS241" s="615"/>
    </row>
    <row r="242" spans="12:45">
      <c r="L242" s="615"/>
      <c r="M242" s="615"/>
      <c r="AB242" s="615"/>
      <c r="AC242" s="615"/>
      <c r="AD242" s="615"/>
      <c r="AE242" s="615"/>
      <c r="AF242" s="615"/>
      <c r="AG242" s="615"/>
      <c r="AH242" s="615"/>
      <c r="AI242" s="615"/>
      <c r="AJ242" s="615"/>
      <c r="AK242" s="615"/>
      <c r="AL242" s="615"/>
      <c r="AM242" s="615"/>
      <c r="AN242" s="615"/>
      <c r="AO242" s="615"/>
      <c r="AP242" s="615"/>
      <c r="AQ242" s="615"/>
      <c r="AR242" s="615"/>
      <c r="AS242" s="615"/>
    </row>
    <row r="243" spans="12:45">
      <c r="L243" s="615"/>
      <c r="M243" s="615"/>
      <c r="AB243" s="615"/>
      <c r="AC243" s="615"/>
      <c r="AD243" s="615"/>
      <c r="AE243" s="615"/>
      <c r="AF243" s="615"/>
      <c r="AG243" s="615"/>
      <c r="AH243" s="615"/>
      <c r="AI243" s="615"/>
      <c r="AJ243" s="615"/>
      <c r="AK243" s="615"/>
      <c r="AL243" s="615"/>
      <c r="AM243" s="615"/>
      <c r="AN243" s="615"/>
      <c r="AO243" s="615"/>
      <c r="AP243" s="615"/>
      <c r="AQ243" s="615"/>
      <c r="AR243" s="615"/>
      <c r="AS243" s="615"/>
    </row>
    <row r="244" spans="12:45">
      <c r="L244" s="615"/>
      <c r="M244" s="615"/>
      <c r="AB244" s="615"/>
      <c r="AC244" s="615"/>
      <c r="AD244" s="615"/>
      <c r="AE244" s="615"/>
      <c r="AF244" s="615"/>
      <c r="AG244" s="615"/>
      <c r="AH244" s="615"/>
      <c r="AI244" s="615"/>
      <c r="AJ244" s="615"/>
      <c r="AK244" s="615"/>
      <c r="AL244" s="615"/>
      <c r="AM244" s="615"/>
      <c r="AN244" s="615"/>
      <c r="AO244" s="615"/>
      <c r="AP244" s="615"/>
      <c r="AQ244" s="615"/>
      <c r="AR244" s="615"/>
      <c r="AS244" s="615"/>
    </row>
    <row r="245" spans="12:45">
      <c r="L245" s="615"/>
      <c r="M245" s="615"/>
      <c r="AB245" s="615"/>
      <c r="AC245" s="615"/>
      <c r="AD245" s="615"/>
      <c r="AE245" s="615"/>
      <c r="AF245" s="615"/>
      <c r="AG245" s="615"/>
      <c r="AH245" s="615"/>
      <c r="AI245" s="615"/>
      <c r="AJ245" s="615"/>
      <c r="AK245" s="615"/>
      <c r="AL245" s="615"/>
      <c r="AM245" s="615"/>
      <c r="AN245" s="615"/>
      <c r="AO245" s="615"/>
      <c r="AP245" s="615"/>
      <c r="AQ245" s="615"/>
      <c r="AR245" s="615"/>
      <c r="AS245" s="615"/>
    </row>
    <row r="246" spans="12:45">
      <c r="L246" s="615"/>
      <c r="M246" s="615"/>
      <c r="AB246" s="615"/>
      <c r="AC246" s="615"/>
      <c r="AD246" s="615"/>
      <c r="AE246" s="615"/>
      <c r="AF246" s="615"/>
      <c r="AG246" s="615"/>
      <c r="AH246" s="615"/>
      <c r="AI246" s="615"/>
      <c r="AJ246" s="615"/>
      <c r="AK246" s="615"/>
      <c r="AL246" s="615"/>
      <c r="AM246" s="615"/>
      <c r="AN246" s="615"/>
      <c r="AO246" s="615"/>
      <c r="AP246" s="615"/>
      <c r="AQ246" s="615"/>
      <c r="AR246" s="615"/>
      <c r="AS246" s="615"/>
    </row>
    <row r="247" spans="12:45">
      <c r="L247" s="615"/>
      <c r="M247" s="615"/>
      <c r="AB247" s="615"/>
      <c r="AC247" s="615"/>
      <c r="AD247" s="615"/>
      <c r="AE247" s="615"/>
      <c r="AF247" s="615"/>
      <c r="AG247" s="615"/>
      <c r="AH247" s="615"/>
      <c r="AI247" s="615"/>
      <c r="AJ247" s="615"/>
      <c r="AK247" s="615"/>
      <c r="AL247" s="615"/>
      <c r="AM247" s="615"/>
      <c r="AN247" s="615"/>
      <c r="AO247" s="615"/>
      <c r="AP247" s="615"/>
      <c r="AQ247" s="615"/>
      <c r="AR247" s="615"/>
      <c r="AS247" s="615"/>
    </row>
    <row r="248" spans="12:45">
      <c r="L248" s="615"/>
      <c r="M248" s="615"/>
      <c r="AB248" s="615"/>
      <c r="AC248" s="615"/>
      <c r="AD248" s="615"/>
      <c r="AE248" s="615"/>
      <c r="AF248" s="615"/>
      <c r="AG248" s="615"/>
      <c r="AH248" s="615"/>
      <c r="AI248" s="615"/>
      <c r="AJ248" s="615"/>
      <c r="AK248" s="615"/>
      <c r="AL248" s="615"/>
      <c r="AM248" s="615"/>
      <c r="AN248" s="615"/>
      <c r="AO248" s="615"/>
      <c r="AP248" s="615"/>
      <c r="AQ248" s="615"/>
      <c r="AR248" s="615"/>
      <c r="AS248" s="615"/>
    </row>
    <row r="249" spans="12:45">
      <c r="L249" s="615"/>
      <c r="M249" s="615"/>
      <c r="AB249" s="615"/>
      <c r="AC249" s="615"/>
      <c r="AD249" s="615"/>
      <c r="AE249" s="615"/>
      <c r="AF249" s="615"/>
      <c r="AG249" s="615"/>
      <c r="AH249" s="615"/>
      <c r="AI249" s="615"/>
      <c r="AJ249" s="615"/>
      <c r="AK249" s="615"/>
      <c r="AL249" s="615"/>
      <c r="AM249" s="615"/>
      <c r="AN249" s="615"/>
      <c r="AO249" s="615"/>
      <c r="AP249" s="615"/>
      <c r="AQ249" s="615"/>
      <c r="AR249" s="615"/>
      <c r="AS249" s="615"/>
    </row>
    <row r="250" spans="12:45">
      <c r="L250" s="615"/>
      <c r="M250" s="615"/>
      <c r="AB250" s="615"/>
      <c r="AC250" s="615"/>
      <c r="AD250" s="615"/>
      <c r="AE250" s="615"/>
      <c r="AF250" s="615"/>
      <c r="AG250" s="615"/>
      <c r="AH250" s="615"/>
      <c r="AI250" s="615"/>
      <c r="AJ250" s="615"/>
      <c r="AK250" s="615"/>
      <c r="AL250" s="615"/>
      <c r="AM250" s="615"/>
      <c r="AN250" s="615"/>
      <c r="AO250" s="615"/>
      <c r="AP250" s="615"/>
      <c r="AQ250" s="615"/>
      <c r="AR250" s="615"/>
      <c r="AS250" s="615"/>
    </row>
    <row r="251" spans="12:45">
      <c r="L251" s="615"/>
      <c r="M251" s="615"/>
      <c r="AB251" s="615"/>
      <c r="AC251" s="615"/>
      <c r="AD251" s="615"/>
      <c r="AE251" s="615"/>
      <c r="AF251" s="615"/>
      <c r="AG251" s="615"/>
      <c r="AH251" s="615"/>
      <c r="AI251" s="615"/>
      <c r="AJ251" s="615"/>
      <c r="AK251" s="615"/>
      <c r="AL251" s="615"/>
      <c r="AM251" s="615"/>
      <c r="AN251" s="615"/>
      <c r="AO251" s="615"/>
      <c r="AP251" s="615"/>
      <c r="AQ251" s="615"/>
      <c r="AR251" s="615"/>
      <c r="AS251" s="615"/>
    </row>
    <row r="252" spans="12:45">
      <c r="L252" s="615"/>
      <c r="M252" s="615"/>
      <c r="AB252" s="615"/>
      <c r="AC252" s="615"/>
      <c r="AD252" s="615"/>
      <c r="AE252" s="615"/>
      <c r="AF252" s="615"/>
      <c r="AG252" s="615"/>
      <c r="AH252" s="615"/>
      <c r="AI252" s="615"/>
      <c r="AJ252" s="615"/>
      <c r="AK252" s="615"/>
      <c r="AL252" s="615"/>
      <c r="AM252" s="615"/>
      <c r="AN252" s="615"/>
      <c r="AO252" s="615"/>
      <c r="AP252" s="615"/>
      <c r="AQ252" s="615"/>
      <c r="AR252" s="615"/>
      <c r="AS252" s="615"/>
    </row>
    <row r="253" spans="12:45">
      <c r="L253" s="615"/>
      <c r="M253" s="615"/>
      <c r="AB253" s="615"/>
      <c r="AC253" s="615"/>
      <c r="AD253" s="615"/>
      <c r="AE253" s="615"/>
      <c r="AF253" s="615"/>
      <c r="AG253" s="615"/>
      <c r="AH253" s="615"/>
      <c r="AI253" s="615"/>
      <c r="AJ253" s="615"/>
      <c r="AK253" s="615"/>
      <c r="AL253" s="615"/>
      <c r="AM253" s="615"/>
      <c r="AN253" s="615"/>
      <c r="AO253" s="615"/>
      <c r="AP253" s="615"/>
      <c r="AQ253" s="615"/>
      <c r="AR253" s="615"/>
      <c r="AS253" s="615"/>
    </row>
    <row r="254" spans="12:45">
      <c r="L254" s="615"/>
      <c r="M254" s="615"/>
      <c r="AB254" s="615"/>
      <c r="AC254" s="615"/>
      <c r="AD254" s="615"/>
      <c r="AE254" s="615"/>
      <c r="AF254" s="615"/>
      <c r="AG254" s="615"/>
      <c r="AH254" s="615"/>
      <c r="AI254" s="615"/>
      <c r="AJ254" s="615"/>
      <c r="AK254" s="615"/>
      <c r="AL254" s="615"/>
      <c r="AM254" s="615"/>
      <c r="AN254" s="615"/>
      <c r="AO254" s="615"/>
      <c r="AP254" s="615"/>
      <c r="AQ254" s="615"/>
      <c r="AR254" s="615"/>
      <c r="AS254" s="615"/>
    </row>
    <row r="255" spans="12:45">
      <c r="L255" s="615"/>
      <c r="M255" s="615"/>
      <c r="AB255" s="615"/>
      <c r="AC255" s="615"/>
      <c r="AD255" s="615"/>
      <c r="AE255" s="615"/>
      <c r="AF255" s="615"/>
      <c r="AG255" s="615"/>
      <c r="AH255" s="615"/>
      <c r="AI255" s="615"/>
      <c r="AJ255" s="615"/>
      <c r="AK255" s="615"/>
      <c r="AL255" s="615"/>
      <c r="AM255" s="615"/>
      <c r="AN255" s="615"/>
      <c r="AO255" s="615"/>
      <c r="AP255" s="615"/>
      <c r="AQ255" s="615"/>
      <c r="AR255" s="615"/>
      <c r="AS255" s="615"/>
    </row>
    <row r="256" spans="12:45">
      <c r="L256" s="615"/>
      <c r="M256" s="615"/>
      <c r="AB256" s="615"/>
      <c r="AC256" s="615"/>
      <c r="AD256" s="615"/>
      <c r="AE256" s="615"/>
      <c r="AF256" s="615"/>
      <c r="AG256" s="615"/>
      <c r="AH256" s="615"/>
      <c r="AI256" s="615"/>
      <c r="AJ256" s="615"/>
      <c r="AK256" s="615"/>
      <c r="AL256" s="615"/>
      <c r="AM256" s="615"/>
      <c r="AN256" s="615"/>
      <c r="AO256" s="615"/>
      <c r="AP256" s="615"/>
      <c r="AQ256" s="615"/>
      <c r="AR256" s="615"/>
      <c r="AS256" s="615"/>
    </row>
    <row r="257" spans="12:45">
      <c r="L257" s="615"/>
      <c r="M257" s="615"/>
      <c r="AB257" s="615"/>
      <c r="AC257" s="615"/>
      <c r="AD257" s="615"/>
      <c r="AE257" s="615"/>
      <c r="AF257" s="615"/>
      <c r="AG257" s="615"/>
      <c r="AH257" s="615"/>
      <c r="AI257" s="615"/>
      <c r="AJ257" s="615"/>
      <c r="AK257" s="615"/>
      <c r="AL257" s="615"/>
      <c r="AM257" s="615"/>
      <c r="AN257" s="615"/>
      <c r="AO257" s="615"/>
      <c r="AP257" s="615"/>
      <c r="AQ257" s="615"/>
      <c r="AR257" s="615"/>
      <c r="AS257" s="615"/>
    </row>
    <row r="258" spans="12:45">
      <c r="L258" s="615"/>
      <c r="M258" s="615"/>
      <c r="AB258" s="615"/>
      <c r="AC258" s="615"/>
      <c r="AD258" s="615"/>
      <c r="AE258" s="615"/>
      <c r="AF258" s="615"/>
      <c r="AG258" s="615"/>
      <c r="AH258" s="615"/>
      <c r="AI258" s="615"/>
      <c r="AJ258" s="615"/>
      <c r="AK258" s="615"/>
      <c r="AL258" s="615"/>
      <c r="AM258" s="615"/>
      <c r="AN258" s="615"/>
      <c r="AO258" s="615"/>
      <c r="AP258" s="615"/>
      <c r="AQ258" s="615"/>
      <c r="AR258" s="615"/>
      <c r="AS258" s="615"/>
    </row>
    <row r="259" spans="12:45">
      <c r="L259" s="615"/>
      <c r="M259" s="615"/>
      <c r="AB259" s="615"/>
      <c r="AC259" s="615"/>
      <c r="AD259" s="615"/>
      <c r="AE259" s="615"/>
      <c r="AF259" s="615"/>
      <c r="AG259" s="615"/>
      <c r="AH259" s="615"/>
      <c r="AI259" s="615"/>
      <c r="AJ259" s="615"/>
      <c r="AK259" s="615"/>
      <c r="AL259" s="615"/>
      <c r="AM259" s="615"/>
      <c r="AN259" s="615"/>
      <c r="AO259" s="615"/>
      <c r="AP259" s="615"/>
      <c r="AQ259" s="615"/>
      <c r="AR259" s="615"/>
      <c r="AS259" s="615"/>
    </row>
    <row r="260" spans="12:45">
      <c r="L260" s="615"/>
      <c r="M260" s="615"/>
      <c r="AB260" s="615"/>
      <c r="AC260" s="615"/>
      <c r="AD260" s="615"/>
      <c r="AE260" s="615"/>
      <c r="AF260" s="615"/>
      <c r="AG260" s="615"/>
      <c r="AH260" s="615"/>
      <c r="AI260" s="615"/>
      <c r="AJ260" s="615"/>
      <c r="AK260" s="615"/>
      <c r="AL260" s="615"/>
      <c r="AM260" s="615"/>
      <c r="AN260" s="615"/>
      <c r="AO260" s="615"/>
      <c r="AP260" s="615"/>
      <c r="AQ260" s="615"/>
      <c r="AR260" s="615"/>
      <c r="AS260" s="615"/>
    </row>
    <row r="261" spans="12:45">
      <c r="L261" s="615"/>
      <c r="M261" s="615"/>
      <c r="AB261" s="615"/>
      <c r="AC261" s="615"/>
      <c r="AD261" s="615"/>
      <c r="AE261" s="615"/>
      <c r="AF261" s="615"/>
      <c r="AG261" s="615"/>
      <c r="AH261" s="615"/>
      <c r="AI261" s="615"/>
      <c r="AJ261" s="615"/>
      <c r="AK261" s="615"/>
      <c r="AL261" s="615"/>
      <c r="AM261" s="615"/>
      <c r="AN261" s="615"/>
      <c r="AO261" s="615"/>
      <c r="AP261" s="615"/>
      <c r="AQ261" s="615"/>
      <c r="AR261" s="615"/>
      <c r="AS261" s="615"/>
    </row>
    <row r="262" spans="12:45">
      <c r="L262" s="615"/>
      <c r="M262" s="615"/>
      <c r="AB262" s="615"/>
      <c r="AC262" s="615"/>
      <c r="AD262" s="615"/>
      <c r="AE262" s="615"/>
      <c r="AF262" s="615"/>
      <c r="AG262" s="615"/>
      <c r="AH262" s="615"/>
      <c r="AI262" s="615"/>
      <c r="AJ262" s="615"/>
      <c r="AK262" s="615"/>
      <c r="AL262" s="615"/>
      <c r="AM262" s="615"/>
      <c r="AN262" s="615"/>
      <c r="AO262" s="615"/>
      <c r="AP262" s="615"/>
      <c r="AQ262" s="615"/>
      <c r="AR262" s="615"/>
      <c r="AS262" s="615"/>
    </row>
    <row r="263" spans="12:45">
      <c r="L263" s="615"/>
      <c r="M263" s="615"/>
      <c r="AB263" s="615"/>
      <c r="AC263" s="615"/>
      <c r="AD263" s="615"/>
      <c r="AE263" s="615"/>
      <c r="AF263" s="615"/>
      <c r="AG263" s="615"/>
      <c r="AH263" s="615"/>
      <c r="AI263" s="615"/>
      <c r="AJ263" s="615"/>
      <c r="AK263" s="615"/>
      <c r="AL263" s="615"/>
      <c r="AM263" s="615"/>
      <c r="AN263" s="615"/>
      <c r="AO263" s="615"/>
      <c r="AP263" s="615"/>
      <c r="AQ263" s="615"/>
      <c r="AR263" s="615"/>
      <c r="AS263" s="615"/>
    </row>
    <row r="264" spans="12:45">
      <c r="L264" s="615"/>
      <c r="M264" s="615"/>
      <c r="AB264" s="615"/>
      <c r="AC264" s="615"/>
      <c r="AD264" s="615"/>
      <c r="AE264" s="615"/>
      <c r="AF264" s="615"/>
      <c r="AG264" s="615"/>
      <c r="AH264" s="615"/>
      <c r="AI264" s="615"/>
      <c r="AJ264" s="615"/>
      <c r="AK264" s="615"/>
      <c r="AL264" s="615"/>
      <c r="AM264" s="615"/>
      <c r="AN264" s="615"/>
      <c r="AO264" s="615"/>
      <c r="AP264" s="615"/>
      <c r="AQ264" s="615"/>
      <c r="AR264" s="615"/>
      <c r="AS264" s="615"/>
    </row>
    <row r="265" spans="12:45">
      <c r="L265" s="615"/>
      <c r="M265" s="615"/>
      <c r="AB265" s="615"/>
      <c r="AC265" s="615"/>
      <c r="AD265" s="615"/>
      <c r="AE265" s="615"/>
      <c r="AF265" s="615"/>
      <c r="AG265" s="615"/>
      <c r="AH265" s="615"/>
      <c r="AI265" s="615"/>
      <c r="AJ265" s="615"/>
      <c r="AK265" s="615"/>
      <c r="AL265" s="615"/>
      <c r="AM265" s="615"/>
      <c r="AN265" s="615"/>
      <c r="AO265" s="615"/>
      <c r="AP265" s="615"/>
      <c r="AQ265" s="615"/>
      <c r="AR265" s="615"/>
      <c r="AS265" s="615"/>
    </row>
    <row r="266" spans="12:45">
      <c r="L266" s="615"/>
      <c r="M266" s="615"/>
      <c r="AB266" s="615"/>
      <c r="AC266" s="615"/>
      <c r="AD266" s="615"/>
      <c r="AE266" s="615"/>
      <c r="AF266" s="615"/>
      <c r="AG266" s="615"/>
      <c r="AH266" s="615"/>
      <c r="AI266" s="615"/>
      <c r="AJ266" s="615"/>
      <c r="AK266" s="615"/>
      <c r="AL266" s="615"/>
      <c r="AM266" s="615"/>
      <c r="AN266" s="615"/>
      <c r="AO266" s="615"/>
      <c r="AP266" s="615"/>
      <c r="AQ266" s="615"/>
      <c r="AR266" s="615"/>
      <c r="AS266" s="615"/>
    </row>
    <row r="267" spans="12:45">
      <c r="L267" s="615"/>
      <c r="M267" s="615"/>
      <c r="AB267" s="615"/>
      <c r="AC267" s="615"/>
      <c r="AD267" s="615"/>
      <c r="AE267" s="615"/>
      <c r="AF267" s="615"/>
      <c r="AG267" s="615"/>
      <c r="AH267" s="615"/>
      <c r="AI267" s="615"/>
      <c r="AJ267" s="615"/>
      <c r="AK267" s="615"/>
      <c r="AL267" s="615"/>
      <c r="AM267" s="615"/>
      <c r="AN267" s="615"/>
      <c r="AO267" s="615"/>
      <c r="AP267" s="615"/>
      <c r="AQ267" s="615"/>
      <c r="AR267" s="615"/>
      <c r="AS267" s="615"/>
    </row>
    <row r="268" spans="12:45">
      <c r="L268" s="615"/>
      <c r="M268" s="615"/>
      <c r="AB268" s="615"/>
      <c r="AC268" s="615"/>
      <c r="AD268" s="615"/>
      <c r="AE268" s="615"/>
      <c r="AF268" s="615"/>
      <c r="AG268" s="615"/>
      <c r="AH268" s="615"/>
      <c r="AI268" s="615"/>
      <c r="AJ268" s="615"/>
      <c r="AK268" s="615"/>
      <c r="AL268" s="615"/>
      <c r="AM268" s="615"/>
      <c r="AN268" s="615"/>
      <c r="AO268" s="615"/>
      <c r="AP268" s="615"/>
      <c r="AQ268" s="615"/>
      <c r="AR268" s="615"/>
      <c r="AS268" s="615"/>
    </row>
    <row r="269" spans="12:45">
      <c r="L269" s="615"/>
      <c r="M269" s="615"/>
      <c r="AB269" s="615"/>
      <c r="AC269" s="615"/>
      <c r="AD269" s="615"/>
      <c r="AE269" s="615"/>
      <c r="AF269" s="615"/>
      <c r="AG269" s="615"/>
      <c r="AH269" s="615"/>
      <c r="AI269" s="615"/>
      <c r="AJ269" s="615"/>
      <c r="AK269" s="615"/>
      <c r="AL269" s="615"/>
      <c r="AM269" s="615"/>
      <c r="AN269" s="615"/>
      <c r="AO269" s="615"/>
      <c r="AP269" s="615"/>
      <c r="AQ269" s="615"/>
      <c r="AR269" s="615"/>
      <c r="AS269" s="615"/>
    </row>
    <row r="270" spans="12:45">
      <c r="L270" s="615"/>
      <c r="M270" s="615"/>
      <c r="AB270" s="615"/>
      <c r="AC270" s="615"/>
      <c r="AD270" s="615"/>
      <c r="AE270" s="615"/>
      <c r="AF270" s="615"/>
      <c r="AG270" s="615"/>
      <c r="AH270" s="615"/>
      <c r="AI270" s="615"/>
      <c r="AJ270" s="615"/>
      <c r="AK270" s="615"/>
      <c r="AL270" s="615"/>
      <c r="AM270" s="615"/>
      <c r="AN270" s="615"/>
      <c r="AO270" s="615"/>
      <c r="AP270" s="615"/>
      <c r="AQ270" s="615"/>
      <c r="AR270" s="615"/>
      <c r="AS270" s="615"/>
    </row>
    <row r="271" spans="12:45">
      <c r="L271" s="615"/>
      <c r="M271" s="615"/>
      <c r="AB271" s="615"/>
      <c r="AC271" s="615"/>
      <c r="AD271" s="615"/>
      <c r="AE271" s="615"/>
      <c r="AF271" s="615"/>
      <c r="AG271" s="615"/>
      <c r="AH271" s="615"/>
      <c r="AI271" s="615"/>
      <c r="AJ271" s="615"/>
      <c r="AK271" s="615"/>
      <c r="AL271" s="615"/>
      <c r="AM271" s="615"/>
      <c r="AN271" s="615"/>
      <c r="AO271" s="615"/>
      <c r="AP271" s="615"/>
      <c r="AQ271" s="615"/>
      <c r="AR271" s="615"/>
      <c r="AS271" s="615"/>
    </row>
    <row r="272" spans="12:45">
      <c r="L272" s="615"/>
      <c r="M272" s="615"/>
      <c r="AB272" s="615"/>
      <c r="AC272" s="615"/>
      <c r="AD272" s="615"/>
      <c r="AE272" s="615"/>
      <c r="AF272" s="615"/>
      <c r="AG272" s="615"/>
      <c r="AH272" s="615"/>
      <c r="AI272" s="615"/>
      <c r="AJ272" s="615"/>
      <c r="AK272" s="615"/>
      <c r="AL272" s="615"/>
      <c r="AM272" s="615"/>
      <c r="AN272" s="615"/>
      <c r="AO272" s="615"/>
      <c r="AP272" s="615"/>
      <c r="AQ272" s="615"/>
      <c r="AR272" s="615"/>
      <c r="AS272" s="615"/>
    </row>
    <row r="273" spans="12:45">
      <c r="L273" s="615"/>
      <c r="M273" s="615"/>
      <c r="AB273" s="615"/>
      <c r="AC273" s="615"/>
      <c r="AD273" s="615"/>
      <c r="AE273" s="615"/>
      <c r="AF273" s="615"/>
      <c r="AG273" s="615"/>
      <c r="AH273" s="615"/>
      <c r="AI273" s="615"/>
      <c r="AJ273" s="615"/>
      <c r="AK273" s="615"/>
      <c r="AL273" s="615"/>
      <c r="AM273" s="615"/>
      <c r="AN273" s="615"/>
      <c r="AO273" s="615"/>
      <c r="AP273" s="615"/>
      <c r="AQ273" s="615"/>
      <c r="AR273" s="615"/>
      <c r="AS273" s="615"/>
    </row>
    <row r="274" spans="12:45">
      <c r="L274" s="615"/>
      <c r="M274" s="615"/>
      <c r="AB274" s="615"/>
      <c r="AC274" s="615"/>
      <c r="AD274" s="615"/>
      <c r="AE274" s="615"/>
      <c r="AF274" s="615"/>
      <c r="AG274" s="615"/>
      <c r="AH274" s="615"/>
      <c r="AI274" s="615"/>
      <c r="AJ274" s="615"/>
      <c r="AK274" s="615"/>
      <c r="AL274" s="615"/>
      <c r="AM274" s="615"/>
      <c r="AN274" s="615"/>
      <c r="AO274" s="615"/>
      <c r="AP274" s="615"/>
      <c r="AQ274" s="615"/>
      <c r="AR274" s="615"/>
      <c r="AS274" s="615"/>
    </row>
    <row r="275" spans="12:45">
      <c r="L275" s="615"/>
      <c r="M275" s="615"/>
      <c r="AB275" s="615"/>
      <c r="AC275" s="615"/>
      <c r="AD275" s="615"/>
      <c r="AE275" s="615"/>
      <c r="AF275" s="615"/>
      <c r="AG275" s="615"/>
      <c r="AH275" s="615"/>
      <c r="AI275" s="615"/>
      <c r="AJ275" s="615"/>
      <c r="AK275" s="615"/>
      <c r="AL275" s="615"/>
      <c r="AM275" s="615"/>
      <c r="AN275" s="615"/>
      <c r="AO275" s="615"/>
      <c r="AP275" s="615"/>
      <c r="AQ275" s="615"/>
      <c r="AR275" s="615"/>
      <c r="AS275" s="615"/>
    </row>
    <row r="276" spans="12:45">
      <c r="L276" s="615"/>
      <c r="M276" s="615"/>
      <c r="AB276" s="615"/>
      <c r="AC276" s="615"/>
      <c r="AD276" s="615"/>
      <c r="AE276" s="615"/>
      <c r="AF276" s="615"/>
      <c r="AG276" s="615"/>
      <c r="AH276" s="615"/>
      <c r="AI276" s="615"/>
      <c r="AJ276" s="615"/>
      <c r="AK276" s="615"/>
      <c r="AL276" s="615"/>
      <c r="AM276" s="615"/>
      <c r="AN276" s="615"/>
      <c r="AO276" s="615"/>
      <c r="AP276" s="615"/>
      <c r="AQ276" s="615"/>
      <c r="AR276" s="615"/>
      <c r="AS276" s="615"/>
    </row>
    <row r="277" spans="12:45">
      <c r="L277" s="615"/>
      <c r="M277" s="615"/>
      <c r="AB277" s="615"/>
      <c r="AC277" s="615"/>
      <c r="AD277" s="615"/>
      <c r="AE277" s="615"/>
      <c r="AF277" s="615"/>
      <c r="AG277" s="615"/>
      <c r="AH277" s="615"/>
      <c r="AI277" s="615"/>
      <c r="AJ277" s="615"/>
      <c r="AK277" s="615"/>
      <c r="AL277" s="615"/>
      <c r="AM277" s="615"/>
      <c r="AN277" s="615"/>
      <c r="AO277" s="615"/>
      <c r="AP277" s="615"/>
      <c r="AQ277" s="615"/>
      <c r="AR277" s="615"/>
      <c r="AS277" s="615"/>
    </row>
    <row r="278" spans="12:45">
      <c r="L278" s="615"/>
      <c r="M278" s="615"/>
      <c r="AB278" s="615"/>
      <c r="AC278" s="615"/>
      <c r="AD278" s="615"/>
      <c r="AE278" s="615"/>
      <c r="AF278" s="615"/>
      <c r="AG278" s="615"/>
      <c r="AH278" s="615"/>
      <c r="AI278" s="615"/>
      <c r="AJ278" s="615"/>
      <c r="AK278" s="615"/>
      <c r="AL278" s="615"/>
      <c r="AM278" s="615"/>
      <c r="AN278" s="615"/>
      <c r="AO278" s="615"/>
      <c r="AP278" s="615"/>
      <c r="AQ278" s="615"/>
      <c r="AR278" s="615"/>
      <c r="AS278" s="615"/>
    </row>
    <row r="279" spans="12:45">
      <c r="L279" s="615"/>
      <c r="M279" s="615"/>
      <c r="AB279" s="615"/>
      <c r="AC279" s="615"/>
      <c r="AD279" s="615"/>
      <c r="AE279" s="615"/>
      <c r="AF279" s="615"/>
      <c r="AG279" s="615"/>
      <c r="AH279" s="615"/>
      <c r="AI279" s="615"/>
      <c r="AJ279" s="615"/>
      <c r="AK279" s="615"/>
      <c r="AL279" s="615"/>
      <c r="AM279" s="615"/>
      <c r="AN279" s="615"/>
      <c r="AO279" s="615"/>
      <c r="AP279" s="615"/>
      <c r="AQ279" s="615"/>
      <c r="AR279" s="615"/>
      <c r="AS279" s="615"/>
    </row>
    <row r="280" spans="12:45">
      <c r="L280" s="615"/>
      <c r="M280" s="615"/>
      <c r="AB280" s="615"/>
      <c r="AC280" s="615"/>
      <c r="AD280" s="615"/>
      <c r="AE280" s="615"/>
      <c r="AF280" s="615"/>
      <c r="AG280" s="615"/>
      <c r="AH280" s="615"/>
      <c r="AI280" s="615"/>
      <c r="AJ280" s="615"/>
      <c r="AK280" s="615"/>
      <c r="AL280" s="615"/>
      <c r="AM280" s="615"/>
      <c r="AN280" s="615"/>
      <c r="AO280" s="615"/>
      <c r="AP280" s="615"/>
      <c r="AQ280" s="615"/>
      <c r="AR280" s="615"/>
      <c r="AS280" s="615"/>
    </row>
    <row r="281" spans="12:45">
      <c r="L281" s="615"/>
      <c r="M281" s="615"/>
      <c r="AB281" s="615"/>
      <c r="AC281" s="615"/>
      <c r="AD281" s="615"/>
      <c r="AE281" s="615"/>
      <c r="AF281" s="615"/>
      <c r="AG281" s="615"/>
      <c r="AH281" s="615"/>
      <c r="AI281" s="615"/>
      <c r="AJ281" s="615"/>
      <c r="AK281" s="615"/>
      <c r="AL281" s="615"/>
      <c r="AM281" s="615"/>
      <c r="AN281" s="615"/>
      <c r="AO281" s="615"/>
      <c r="AP281" s="615"/>
      <c r="AQ281" s="615"/>
      <c r="AR281" s="615"/>
      <c r="AS281" s="615"/>
    </row>
    <row r="282" spans="12:45">
      <c r="L282" s="615"/>
      <c r="M282" s="615"/>
      <c r="AB282" s="615"/>
      <c r="AC282" s="615"/>
      <c r="AD282" s="615"/>
      <c r="AE282" s="615"/>
      <c r="AF282" s="615"/>
      <c r="AG282" s="615"/>
      <c r="AH282" s="615"/>
      <c r="AI282" s="615"/>
      <c r="AJ282" s="615"/>
      <c r="AK282" s="615"/>
      <c r="AL282" s="615"/>
      <c r="AM282" s="615"/>
      <c r="AN282" s="615"/>
      <c r="AO282" s="615"/>
      <c r="AP282" s="615"/>
      <c r="AQ282" s="615"/>
      <c r="AR282" s="615"/>
      <c r="AS282" s="615"/>
    </row>
    <row r="283" spans="12:45">
      <c r="L283" s="615"/>
      <c r="M283" s="615"/>
      <c r="AB283" s="615"/>
      <c r="AC283" s="615"/>
      <c r="AD283" s="615"/>
      <c r="AE283" s="615"/>
      <c r="AF283" s="615"/>
      <c r="AG283" s="615"/>
      <c r="AH283" s="615"/>
      <c r="AI283" s="615"/>
      <c r="AJ283" s="615"/>
      <c r="AK283" s="615"/>
      <c r="AL283" s="615"/>
      <c r="AM283" s="615"/>
      <c r="AN283" s="615"/>
      <c r="AO283" s="615"/>
      <c r="AP283" s="615"/>
      <c r="AQ283" s="615"/>
      <c r="AR283" s="615"/>
      <c r="AS283" s="615"/>
    </row>
    <row r="284" spans="12:45">
      <c r="L284" s="615"/>
      <c r="M284" s="615"/>
      <c r="AB284" s="615"/>
      <c r="AC284" s="615"/>
      <c r="AD284" s="615"/>
      <c r="AE284" s="615"/>
      <c r="AF284" s="615"/>
      <c r="AG284" s="615"/>
      <c r="AH284" s="615"/>
      <c r="AI284" s="615"/>
      <c r="AJ284" s="615"/>
      <c r="AK284" s="615"/>
      <c r="AL284" s="615"/>
      <c r="AM284" s="615"/>
      <c r="AN284" s="615"/>
      <c r="AO284" s="615"/>
      <c r="AP284" s="615"/>
      <c r="AQ284" s="615"/>
      <c r="AR284" s="615"/>
      <c r="AS284" s="615"/>
    </row>
    <row r="285" spans="12:45">
      <c r="L285" s="615"/>
      <c r="M285" s="615"/>
      <c r="AB285" s="615"/>
      <c r="AC285" s="615"/>
      <c r="AD285" s="615"/>
      <c r="AE285" s="615"/>
      <c r="AF285" s="615"/>
      <c r="AG285" s="615"/>
      <c r="AH285" s="615"/>
      <c r="AI285" s="615"/>
      <c r="AJ285" s="615"/>
      <c r="AK285" s="615"/>
      <c r="AL285" s="615"/>
      <c r="AM285" s="615"/>
      <c r="AN285" s="615"/>
      <c r="AO285" s="615"/>
      <c r="AP285" s="615"/>
      <c r="AQ285" s="615"/>
      <c r="AR285" s="615"/>
      <c r="AS285" s="615"/>
    </row>
    <row r="286" spans="12:45">
      <c r="L286" s="615"/>
      <c r="M286" s="615"/>
      <c r="AB286" s="615"/>
      <c r="AC286" s="615"/>
      <c r="AD286" s="615"/>
      <c r="AE286" s="615"/>
      <c r="AF286" s="615"/>
      <c r="AG286" s="615"/>
      <c r="AH286" s="615"/>
      <c r="AI286" s="615"/>
      <c r="AJ286" s="615"/>
      <c r="AK286" s="615"/>
      <c r="AL286" s="615"/>
      <c r="AM286" s="615"/>
      <c r="AN286" s="615"/>
      <c r="AO286" s="615"/>
      <c r="AP286" s="615"/>
      <c r="AQ286" s="615"/>
      <c r="AR286" s="615"/>
      <c r="AS286" s="615"/>
    </row>
    <row r="287" spans="12:45">
      <c r="L287" s="615"/>
      <c r="M287" s="615"/>
      <c r="AB287" s="615"/>
      <c r="AC287" s="615"/>
      <c r="AD287" s="615"/>
      <c r="AE287" s="615"/>
      <c r="AF287" s="615"/>
      <c r="AG287" s="615"/>
      <c r="AH287" s="615"/>
      <c r="AI287" s="615"/>
      <c r="AJ287" s="615"/>
      <c r="AK287" s="615"/>
      <c r="AL287" s="615"/>
      <c r="AM287" s="615"/>
      <c r="AN287" s="615"/>
      <c r="AO287" s="615"/>
      <c r="AP287" s="615"/>
      <c r="AQ287" s="615"/>
      <c r="AR287" s="615"/>
      <c r="AS287" s="615"/>
    </row>
    <row r="288" spans="12:45">
      <c r="L288" s="615"/>
      <c r="M288" s="615"/>
      <c r="AB288" s="615"/>
      <c r="AC288" s="615"/>
      <c r="AD288" s="615"/>
      <c r="AE288" s="615"/>
      <c r="AF288" s="615"/>
      <c r="AG288" s="615"/>
      <c r="AH288" s="615"/>
      <c r="AI288" s="615"/>
      <c r="AJ288" s="615"/>
      <c r="AK288" s="615"/>
      <c r="AL288" s="615"/>
      <c r="AM288" s="615"/>
      <c r="AN288" s="615"/>
      <c r="AO288" s="615"/>
      <c r="AP288" s="615"/>
      <c r="AQ288" s="615"/>
      <c r="AR288" s="615"/>
      <c r="AS288" s="615"/>
    </row>
    <row r="289" spans="12:45">
      <c r="L289" s="615"/>
      <c r="M289" s="615"/>
      <c r="AB289" s="615"/>
      <c r="AC289" s="615"/>
      <c r="AD289" s="615"/>
      <c r="AE289" s="615"/>
      <c r="AF289" s="615"/>
      <c r="AG289" s="615"/>
      <c r="AH289" s="615"/>
      <c r="AI289" s="615"/>
      <c r="AJ289" s="615"/>
      <c r="AK289" s="615"/>
      <c r="AL289" s="615"/>
      <c r="AM289" s="615"/>
      <c r="AN289" s="615"/>
      <c r="AO289" s="615"/>
      <c r="AP289" s="615"/>
      <c r="AQ289" s="615"/>
      <c r="AR289" s="615"/>
      <c r="AS289" s="615"/>
    </row>
    <row r="290" spans="12:45">
      <c r="L290" s="615"/>
      <c r="M290" s="615"/>
      <c r="AB290" s="615"/>
      <c r="AC290" s="615"/>
      <c r="AD290" s="615"/>
      <c r="AE290" s="615"/>
      <c r="AF290" s="615"/>
      <c r="AG290" s="615"/>
      <c r="AH290" s="615"/>
      <c r="AI290" s="615"/>
      <c r="AJ290" s="615"/>
      <c r="AK290" s="615"/>
      <c r="AL290" s="615"/>
      <c r="AM290" s="615"/>
      <c r="AN290" s="615"/>
      <c r="AO290" s="615"/>
      <c r="AP290" s="615"/>
      <c r="AQ290" s="615"/>
      <c r="AR290" s="615"/>
      <c r="AS290" s="615"/>
    </row>
    <row r="291" spans="12:45">
      <c r="L291" s="615"/>
      <c r="M291" s="615"/>
      <c r="AB291" s="615"/>
      <c r="AC291" s="615"/>
      <c r="AD291" s="615"/>
      <c r="AE291" s="615"/>
      <c r="AF291" s="615"/>
      <c r="AG291" s="615"/>
      <c r="AH291" s="615"/>
      <c r="AI291" s="615"/>
      <c r="AJ291" s="615"/>
      <c r="AK291" s="615"/>
      <c r="AL291" s="615"/>
      <c r="AM291" s="615"/>
      <c r="AN291" s="615"/>
      <c r="AO291" s="615"/>
      <c r="AP291" s="615"/>
      <c r="AQ291" s="615"/>
      <c r="AR291" s="615"/>
      <c r="AS291" s="615"/>
    </row>
    <row r="292" spans="12:45">
      <c r="L292" s="615"/>
      <c r="M292" s="615"/>
      <c r="AB292" s="615"/>
      <c r="AC292" s="615"/>
      <c r="AD292" s="615"/>
      <c r="AE292" s="615"/>
      <c r="AF292" s="615"/>
      <c r="AG292" s="615"/>
      <c r="AH292" s="615"/>
      <c r="AI292" s="615"/>
      <c r="AJ292" s="615"/>
      <c r="AK292" s="615"/>
      <c r="AL292" s="615"/>
      <c r="AM292" s="615"/>
      <c r="AN292" s="615"/>
      <c r="AO292" s="615"/>
      <c r="AP292" s="615"/>
      <c r="AQ292" s="615"/>
      <c r="AR292" s="615"/>
      <c r="AS292" s="615"/>
    </row>
    <row r="293" spans="12:45">
      <c r="L293" s="615"/>
      <c r="M293" s="615"/>
      <c r="AB293" s="615"/>
      <c r="AC293" s="615"/>
      <c r="AD293" s="615"/>
      <c r="AE293" s="615"/>
      <c r="AF293" s="615"/>
      <c r="AG293" s="615"/>
      <c r="AH293" s="615"/>
      <c r="AI293" s="615"/>
      <c r="AJ293" s="615"/>
      <c r="AK293" s="615"/>
      <c r="AL293" s="615"/>
      <c r="AM293" s="615"/>
      <c r="AN293" s="615"/>
      <c r="AO293" s="615"/>
      <c r="AP293" s="615"/>
      <c r="AQ293" s="615"/>
      <c r="AR293" s="615"/>
      <c r="AS293" s="615"/>
    </row>
    <row r="294" spans="12:45">
      <c r="L294" s="615"/>
      <c r="M294" s="615"/>
      <c r="AB294" s="615"/>
      <c r="AC294" s="615"/>
      <c r="AD294" s="615"/>
      <c r="AE294" s="615"/>
      <c r="AF294" s="615"/>
      <c r="AG294" s="615"/>
      <c r="AH294" s="615"/>
      <c r="AI294" s="615"/>
      <c r="AJ294" s="615"/>
      <c r="AK294" s="615"/>
      <c r="AL294" s="615"/>
      <c r="AM294" s="615"/>
      <c r="AN294" s="615"/>
      <c r="AO294" s="615"/>
      <c r="AP294" s="615"/>
      <c r="AQ294" s="615"/>
      <c r="AR294" s="615"/>
      <c r="AS294" s="615"/>
    </row>
    <row r="295" spans="12:45">
      <c r="L295" s="615"/>
      <c r="M295" s="615"/>
      <c r="AB295" s="615"/>
      <c r="AC295" s="615"/>
      <c r="AD295" s="615"/>
      <c r="AE295" s="615"/>
      <c r="AF295" s="615"/>
      <c r="AG295" s="615"/>
      <c r="AH295" s="615"/>
      <c r="AI295" s="615"/>
      <c r="AJ295" s="615"/>
      <c r="AK295" s="615"/>
      <c r="AL295" s="615"/>
      <c r="AM295" s="615"/>
      <c r="AN295" s="615"/>
      <c r="AO295" s="615"/>
      <c r="AP295" s="615"/>
      <c r="AQ295" s="615"/>
      <c r="AR295" s="615"/>
      <c r="AS295" s="615"/>
    </row>
    <row r="296" spans="12:45">
      <c r="L296" s="615"/>
      <c r="M296" s="615"/>
      <c r="AB296" s="615"/>
      <c r="AC296" s="615"/>
      <c r="AD296" s="615"/>
      <c r="AE296" s="615"/>
      <c r="AF296" s="615"/>
      <c r="AG296" s="615"/>
      <c r="AH296" s="615"/>
      <c r="AI296" s="615"/>
      <c r="AJ296" s="615"/>
      <c r="AK296" s="615"/>
      <c r="AL296" s="615"/>
      <c r="AM296" s="615"/>
      <c r="AN296" s="615"/>
      <c r="AO296" s="615"/>
      <c r="AP296" s="615"/>
      <c r="AQ296" s="615"/>
      <c r="AR296" s="615"/>
      <c r="AS296" s="615"/>
    </row>
    <row r="297" spans="12:45">
      <c r="L297" s="615"/>
      <c r="M297" s="615"/>
      <c r="AB297" s="615"/>
      <c r="AC297" s="615"/>
      <c r="AD297" s="615"/>
      <c r="AE297" s="615"/>
      <c r="AF297" s="615"/>
      <c r="AG297" s="615"/>
      <c r="AH297" s="615"/>
      <c r="AI297" s="615"/>
      <c r="AJ297" s="615"/>
      <c r="AK297" s="615"/>
      <c r="AL297" s="615"/>
      <c r="AM297" s="615"/>
      <c r="AN297" s="615"/>
      <c r="AO297" s="615"/>
      <c r="AP297" s="615"/>
      <c r="AQ297" s="615"/>
      <c r="AR297" s="615"/>
      <c r="AS297" s="615"/>
    </row>
    <row r="298" spans="12:45">
      <c r="L298" s="615"/>
      <c r="M298" s="615"/>
      <c r="AB298" s="615"/>
      <c r="AC298" s="615"/>
      <c r="AD298" s="615"/>
      <c r="AE298" s="615"/>
      <c r="AF298" s="615"/>
      <c r="AG298" s="615"/>
      <c r="AH298" s="615"/>
      <c r="AI298" s="615"/>
      <c r="AJ298" s="615"/>
      <c r="AK298" s="615"/>
      <c r="AL298" s="615"/>
      <c r="AM298" s="615"/>
      <c r="AN298" s="615"/>
      <c r="AO298" s="615"/>
      <c r="AP298" s="615"/>
      <c r="AQ298" s="615"/>
      <c r="AR298" s="615"/>
      <c r="AS298" s="615"/>
    </row>
    <row r="299" spans="12:45">
      <c r="L299" s="615"/>
      <c r="M299" s="615"/>
      <c r="AB299" s="615"/>
      <c r="AC299" s="615"/>
      <c r="AD299" s="615"/>
      <c r="AE299" s="615"/>
      <c r="AF299" s="615"/>
      <c r="AG299" s="615"/>
      <c r="AH299" s="615"/>
      <c r="AI299" s="615"/>
      <c r="AJ299" s="615"/>
      <c r="AK299" s="615"/>
      <c r="AL299" s="615"/>
      <c r="AM299" s="615"/>
      <c r="AN299" s="615"/>
      <c r="AO299" s="615"/>
      <c r="AP299" s="615"/>
      <c r="AQ299" s="615"/>
      <c r="AR299" s="615"/>
      <c r="AS299" s="615"/>
    </row>
    <row r="300" spans="12:45">
      <c r="L300" s="615"/>
      <c r="M300" s="615"/>
      <c r="AB300" s="615"/>
      <c r="AC300" s="615"/>
      <c r="AD300" s="615"/>
      <c r="AE300" s="615"/>
      <c r="AF300" s="615"/>
      <c r="AG300" s="615"/>
      <c r="AH300" s="615"/>
      <c r="AI300" s="615"/>
      <c r="AJ300" s="615"/>
      <c r="AK300" s="615"/>
      <c r="AL300" s="615"/>
      <c r="AM300" s="615"/>
      <c r="AN300" s="615"/>
      <c r="AO300" s="615"/>
      <c r="AP300" s="615"/>
      <c r="AQ300" s="615"/>
      <c r="AR300" s="615"/>
      <c r="AS300" s="615"/>
    </row>
    <row r="301" spans="12:45">
      <c r="L301" s="615"/>
      <c r="M301" s="615"/>
      <c r="AB301" s="615"/>
      <c r="AC301" s="615"/>
      <c r="AD301" s="615"/>
      <c r="AE301" s="615"/>
      <c r="AF301" s="615"/>
      <c r="AG301" s="615"/>
      <c r="AH301" s="615"/>
      <c r="AI301" s="615"/>
      <c r="AJ301" s="615"/>
      <c r="AK301" s="615"/>
      <c r="AL301" s="615"/>
      <c r="AM301" s="615"/>
      <c r="AN301" s="615"/>
      <c r="AO301" s="615"/>
      <c r="AP301" s="615"/>
      <c r="AQ301" s="615"/>
      <c r="AR301" s="615"/>
      <c r="AS301" s="615"/>
    </row>
    <row r="302" spans="12:45">
      <c r="L302" s="615"/>
      <c r="M302" s="615"/>
      <c r="AB302" s="615"/>
      <c r="AC302" s="615"/>
      <c r="AD302" s="615"/>
      <c r="AE302" s="615"/>
      <c r="AF302" s="615"/>
      <c r="AG302" s="615"/>
      <c r="AH302" s="615"/>
      <c r="AI302" s="615"/>
      <c r="AJ302" s="615"/>
      <c r="AK302" s="615"/>
      <c r="AL302" s="615"/>
      <c r="AM302" s="615"/>
      <c r="AN302" s="615"/>
      <c r="AO302" s="615"/>
      <c r="AP302" s="615"/>
      <c r="AQ302" s="615"/>
      <c r="AR302" s="615"/>
      <c r="AS302" s="615"/>
    </row>
    <row r="303" spans="12:45">
      <c r="L303" s="615"/>
      <c r="M303" s="615"/>
      <c r="AB303" s="615"/>
      <c r="AC303" s="615"/>
      <c r="AD303" s="615"/>
      <c r="AE303" s="615"/>
      <c r="AF303" s="615"/>
      <c r="AG303" s="615"/>
      <c r="AH303" s="615"/>
      <c r="AI303" s="615"/>
      <c r="AJ303" s="615"/>
      <c r="AK303" s="615"/>
      <c r="AL303" s="615"/>
      <c r="AM303" s="615"/>
      <c r="AN303" s="615"/>
      <c r="AO303" s="615"/>
      <c r="AP303" s="615"/>
      <c r="AQ303" s="615"/>
      <c r="AR303" s="615"/>
      <c r="AS303" s="615"/>
    </row>
    <row r="304" spans="12:45">
      <c r="L304" s="615"/>
      <c r="M304" s="615"/>
      <c r="AB304" s="615"/>
      <c r="AC304" s="615"/>
      <c r="AD304" s="615"/>
      <c r="AE304" s="615"/>
      <c r="AF304" s="615"/>
      <c r="AG304" s="615"/>
      <c r="AH304" s="615"/>
      <c r="AI304" s="615"/>
      <c r="AJ304" s="615"/>
      <c r="AK304" s="615"/>
      <c r="AL304" s="615"/>
      <c r="AM304" s="615"/>
      <c r="AN304" s="615"/>
      <c r="AO304" s="615"/>
      <c r="AP304" s="615"/>
      <c r="AQ304" s="615"/>
      <c r="AR304" s="615"/>
      <c r="AS304" s="615"/>
    </row>
    <row r="305" spans="12:45">
      <c r="L305" s="615"/>
      <c r="M305" s="615"/>
      <c r="AB305" s="615"/>
      <c r="AC305" s="615"/>
      <c r="AD305" s="615"/>
      <c r="AE305" s="615"/>
      <c r="AF305" s="615"/>
      <c r="AG305" s="615"/>
      <c r="AH305" s="615"/>
      <c r="AI305" s="615"/>
      <c r="AJ305" s="615"/>
      <c r="AK305" s="615"/>
      <c r="AL305" s="615"/>
      <c r="AM305" s="615"/>
      <c r="AN305" s="615"/>
      <c r="AO305" s="615"/>
      <c r="AP305" s="615"/>
      <c r="AQ305" s="615"/>
      <c r="AR305" s="615"/>
      <c r="AS305" s="615"/>
    </row>
    <row r="306" spans="12:45">
      <c r="L306" s="615"/>
      <c r="M306" s="615"/>
      <c r="AB306" s="615"/>
      <c r="AC306" s="615"/>
      <c r="AD306" s="615"/>
      <c r="AE306" s="615"/>
      <c r="AF306" s="615"/>
      <c r="AG306" s="615"/>
      <c r="AH306" s="615"/>
      <c r="AI306" s="615"/>
      <c r="AJ306" s="615"/>
      <c r="AK306" s="615"/>
      <c r="AL306" s="615"/>
      <c r="AM306" s="615"/>
      <c r="AN306" s="615"/>
      <c r="AO306" s="615"/>
      <c r="AP306" s="615"/>
      <c r="AQ306" s="615"/>
      <c r="AR306" s="615"/>
      <c r="AS306" s="615"/>
    </row>
    <row r="307" spans="12:45">
      <c r="L307" s="615"/>
      <c r="M307" s="615"/>
      <c r="AB307" s="615"/>
      <c r="AC307" s="615"/>
      <c r="AD307" s="615"/>
      <c r="AE307" s="615"/>
      <c r="AF307" s="615"/>
      <c r="AG307" s="615"/>
      <c r="AH307" s="615"/>
      <c r="AI307" s="615"/>
      <c r="AJ307" s="615"/>
      <c r="AK307" s="615"/>
      <c r="AL307" s="615"/>
      <c r="AM307" s="615"/>
      <c r="AN307" s="615"/>
      <c r="AO307" s="615"/>
      <c r="AP307" s="615"/>
      <c r="AQ307" s="615"/>
      <c r="AR307" s="615"/>
      <c r="AS307" s="615"/>
    </row>
    <row r="308" spans="12:45">
      <c r="L308" s="615"/>
      <c r="M308" s="615"/>
      <c r="AB308" s="615"/>
      <c r="AC308" s="615"/>
      <c r="AD308" s="615"/>
      <c r="AE308" s="615"/>
      <c r="AF308" s="615"/>
      <c r="AG308" s="615"/>
      <c r="AH308" s="615"/>
      <c r="AI308" s="615"/>
      <c r="AJ308" s="615"/>
      <c r="AK308" s="615"/>
      <c r="AL308" s="615"/>
      <c r="AM308" s="615"/>
      <c r="AN308" s="615"/>
      <c r="AO308" s="615"/>
      <c r="AP308" s="615"/>
      <c r="AQ308" s="615"/>
      <c r="AR308" s="615"/>
      <c r="AS308" s="615"/>
    </row>
    <row r="309" spans="12:45">
      <c r="L309" s="615"/>
      <c r="M309" s="615"/>
      <c r="AB309" s="615"/>
      <c r="AC309" s="615"/>
      <c r="AD309" s="615"/>
      <c r="AE309" s="615"/>
      <c r="AF309" s="615"/>
      <c r="AG309" s="615"/>
      <c r="AH309" s="615"/>
      <c r="AI309" s="615"/>
      <c r="AJ309" s="615"/>
      <c r="AK309" s="615"/>
      <c r="AL309" s="615"/>
      <c r="AM309" s="615"/>
      <c r="AN309" s="615"/>
      <c r="AO309" s="615"/>
      <c r="AP309" s="615"/>
      <c r="AQ309" s="615"/>
      <c r="AR309" s="615"/>
      <c r="AS309" s="615"/>
    </row>
    <row r="310" spans="12:45">
      <c r="L310" s="615"/>
      <c r="M310" s="615"/>
      <c r="AB310" s="615"/>
      <c r="AC310" s="615"/>
      <c r="AD310" s="615"/>
      <c r="AE310" s="615"/>
      <c r="AF310" s="615"/>
      <c r="AG310" s="615"/>
      <c r="AH310" s="615"/>
      <c r="AI310" s="615"/>
      <c r="AJ310" s="615"/>
      <c r="AK310" s="615"/>
      <c r="AL310" s="615"/>
      <c r="AM310" s="615"/>
      <c r="AN310" s="615"/>
      <c r="AO310" s="615"/>
      <c r="AP310" s="615"/>
      <c r="AQ310" s="615"/>
      <c r="AR310" s="615"/>
      <c r="AS310" s="615"/>
    </row>
    <row r="311" spans="12:45">
      <c r="L311" s="615"/>
      <c r="M311" s="615"/>
      <c r="AB311" s="615"/>
      <c r="AC311" s="615"/>
      <c r="AD311" s="615"/>
      <c r="AE311" s="615"/>
      <c r="AF311" s="615"/>
      <c r="AG311" s="615"/>
      <c r="AH311" s="615"/>
      <c r="AI311" s="615"/>
      <c r="AJ311" s="615"/>
      <c r="AK311" s="615"/>
      <c r="AL311" s="615"/>
      <c r="AM311" s="615"/>
      <c r="AN311" s="615"/>
      <c r="AO311" s="615"/>
      <c r="AP311" s="615"/>
      <c r="AQ311" s="615"/>
      <c r="AR311" s="615"/>
      <c r="AS311" s="615"/>
    </row>
    <row r="312" spans="12:45">
      <c r="L312" s="615"/>
      <c r="M312" s="615"/>
      <c r="AB312" s="615"/>
      <c r="AC312" s="615"/>
      <c r="AD312" s="615"/>
      <c r="AE312" s="615"/>
      <c r="AF312" s="615"/>
      <c r="AG312" s="615"/>
      <c r="AH312" s="615"/>
      <c r="AI312" s="615"/>
      <c r="AJ312" s="615"/>
      <c r="AK312" s="615"/>
      <c r="AL312" s="615"/>
      <c r="AM312" s="615"/>
      <c r="AN312" s="615"/>
      <c r="AO312" s="615"/>
      <c r="AP312" s="615"/>
      <c r="AQ312" s="615"/>
      <c r="AR312" s="615"/>
      <c r="AS312" s="615"/>
    </row>
    <row r="313" spans="12:45">
      <c r="L313" s="615"/>
      <c r="M313" s="615"/>
      <c r="AD313" s="615"/>
      <c r="AE313" s="615"/>
      <c r="AF313" s="615"/>
      <c r="AG313" s="615"/>
      <c r="AH313" s="615"/>
      <c r="AI313" s="615"/>
      <c r="AJ313" s="615"/>
      <c r="AK313" s="615"/>
      <c r="AL313" s="615"/>
      <c r="AM313" s="615"/>
      <c r="AN313" s="615"/>
      <c r="AO313" s="615"/>
      <c r="AP313" s="615"/>
      <c r="AQ313" s="615"/>
      <c r="AR313" s="615"/>
      <c r="AS313" s="615"/>
    </row>
    <row r="314" spans="12:45">
      <c r="L314" s="615"/>
      <c r="M314" s="615"/>
      <c r="AD314" s="615"/>
      <c r="AE314" s="615"/>
      <c r="AF314" s="615"/>
      <c r="AG314" s="615"/>
      <c r="AH314" s="615"/>
      <c r="AI314" s="615"/>
      <c r="AJ314" s="615"/>
      <c r="AK314" s="615"/>
      <c r="AL314" s="615"/>
      <c r="AM314" s="615"/>
      <c r="AN314" s="615"/>
      <c r="AO314" s="615"/>
      <c r="AP314" s="615"/>
      <c r="AQ314" s="615"/>
      <c r="AR314" s="615"/>
      <c r="AS314" s="615"/>
    </row>
  </sheetData>
  <sheetProtection sheet="1" objects="1" scenarios="1"/>
  <mergeCells count="132">
    <mergeCell ref="A31:C31"/>
    <mergeCell ref="E31:H31"/>
    <mergeCell ref="L31:M31"/>
    <mergeCell ref="A22:A23"/>
    <mergeCell ref="B22:B23"/>
    <mergeCell ref="C22:C23"/>
    <mergeCell ref="J22:J23"/>
    <mergeCell ref="K22:K23"/>
    <mergeCell ref="L22:M23"/>
    <mergeCell ref="A24:A25"/>
    <mergeCell ref="B24:M25"/>
    <mergeCell ref="A27:C27"/>
    <mergeCell ref="E27:H27"/>
    <mergeCell ref="L27:M27"/>
    <mergeCell ref="A28:C28"/>
    <mergeCell ref="E28:H28"/>
    <mergeCell ref="L28:M28"/>
    <mergeCell ref="A30:C30"/>
    <mergeCell ref="E30:H30"/>
    <mergeCell ref="L30:M30"/>
    <mergeCell ref="A29:M29"/>
    <mergeCell ref="B20:B21"/>
    <mergeCell ref="C20:C21"/>
    <mergeCell ref="J20:J21"/>
    <mergeCell ref="K20:K21"/>
    <mergeCell ref="L20:M21"/>
    <mergeCell ref="O12:R12"/>
    <mergeCell ref="O13:R13"/>
    <mergeCell ref="A18:A19"/>
    <mergeCell ref="B18:B19"/>
    <mergeCell ref="C18:C19"/>
    <mergeCell ref="J18:J19"/>
    <mergeCell ref="K18:K19"/>
    <mergeCell ref="L18:M19"/>
    <mergeCell ref="A20:A21"/>
    <mergeCell ref="O2:T2"/>
    <mergeCell ref="A12:A13"/>
    <mergeCell ref="B12:B13"/>
    <mergeCell ref="C12:C13"/>
    <mergeCell ref="J12:J13"/>
    <mergeCell ref="K12:K13"/>
    <mergeCell ref="L12:M13"/>
    <mergeCell ref="S11:U12"/>
    <mergeCell ref="A16:A17"/>
    <mergeCell ref="B16:B17"/>
    <mergeCell ref="C16:C17"/>
    <mergeCell ref="J16:J17"/>
    <mergeCell ref="K16:K17"/>
    <mergeCell ref="L16:M17"/>
    <mergeCell ref="O8:R8"/>
    <mergeCell ref="O9:R9"/>
    <mergeCell ref="A14:A15"/>
    <mergeCell ref="B14:B15"/>
    <mergeCell ref="C14:C15"/>
    <mergeCell ref="J14:J15"/>
    <mergeCell ref="K14:K15"/>
    <mergeCell ref="L14:M15"/>
    <mergeCell ref="O10:R10"/>
    <mergeCell ref="O11:R11"/>
    <mergeCell ref="I8:I9"/>
    <mergeCell ref="J8:M8"/>
    <mergeCell ref="L9:M9"/>
    <mergeCell ref="A10:A11"/>
    <mergeCell ref="B10:B11"/>
    <mergeCell ref="C10:C11"/>
    <mergeCell ref="J10:J11"/>
    <mergeCell ref="K10:K11"/>
    <mergeCell ref="L10:M11"/>
    <mergeCell ref="A8:A9"/>
    <mergeCell ref="B8:B9"/>
    <mergeCell ref="C8:C9"/>
    <mergeCell ref="D8:E9"/>
    <mergeCell ref="F8:G9"/>
    <mergeCell ref="H8:H9"/>
    <mergeCell ref="K7:L7"/>
    <mergeCell ref="H7:J7"/>
    <mergeCell ref="A7:C7"/>
    <mergeCell ref="K4:L4"/>
    <mergeCell ref="I6:J6"/>
    <mergeCell ref="J5:L5"/>
    <mergeCell ref="H5:I5"/>
    <mergeCell ref="I4:J4"/>
    <mergeCell ref="C1:H1"/>
    <mergeCell ref="J1:K1"/>
    <mergeCell ref="L1:M1"/>
    <mergeCell ref="B2:G2"/>
    <mergeCell ref="H2:I2"/>
    <mergeCell ref="J2:M2"/>
    <mergeCell ref="B5:D5"/>
    <mergeCell ref="E5:G5"/>
    <mergeCell ref="K6:L6"/>
    <mergeCell ref="C4:E4"/>
    <mergeCell ref="A4:B4"/>
    <mergeCell ref="A6:D6"/>
    <mergeCell ref="E6:F6"/>
    <mergeCell ref="G6:H6"/>
    <mergeCell ref="D7:E7"/>
    <mergeCell ref="F7:G7"/>
    <mergeCell ref="O34:Q34"/>
    <mergeCell ref="W11:AA12"/>
    <mergeCell ref="S13:U13"/>
    <mergeCell ref="W13:AA13"/>
    <mergeCell ref="O23:Q24"/>
    <mergeCell ref="O29:Q29"/>
    <mergeCell ref="O30:Q30"/>
    <mergeCell ref="S30:AA31"/>
    <mergeCell ref="O26:Q26"/>
    <mergeCell ref="S26:AA26"/>
    <mergeCell ref="O20:Q20"/>
    <mergeCell ref="S20:AA22"/>
    <mergeCell ref="O21:Q21"/>
    <mergeCell ref="O22:Q22"/>
    <mergeCell ref="S23:AA25"/>
    <mergeCell ref="O25:Q25"/>
    <mergeCell ref="O15:Q15"/>
    <mergeCell ref="S15:AA16"/>
    <mergeCell ref="O16:Q16"/>
    <mergeCell ref="O17:Q17"/>
    <mergeCell ref="S17:AA19"/>
    <mergeCell ref="O18:Q18"/>
    <mergeCell ref="O19:Q19"/>
    <mergeCell ref="Q27:Q28"/>
    <mergeCell ref="S27:Y28"/>
    <mergeCell ref="W10:AA10"/>
    <mergeCell ref="S10:U10"/>
    <mergeCell ref="W9:AA9"/>
    <mergeCell ref="S9:U9"/>
    <mergeCell ref="W8:AA8"/>
    <mergeCell ref="S8:U8"/>
    <mergeCell ref="O32:Q32"/>
    <mergeCell ref="S32:AA33"/>
    <mergeCell ref="O33:Q33"/>
  </mergeCells>
  <dataValidations count="15">
    <dataValidation type="list" allowBlank="1" showInputMessage="1" prompt="If Mottle Color is entered, Redox Kind(s) needs to be completed." sqref="F10:F23" xr:uid="{0422D3F2-CDA7-4C66-9964-13CBC29279A3}">
      <formula1>Hue</formula1>
    </dataValidation>
    <dataValidation errorStyle="information" allowBlank="1" showInputMessage="1" showErrorMessage="1" error="Check type before proceeding" prompt="Depth of standing water if encountered" sqref="M7" xr:uid="{A8EE7EF6-0DF5-408F-AAF7-13AB7E5EFB3E}"/>
    <dataValidation type="decimal" errorStyle="information" showDropDown="1" showInputMessage="1" showErrorMessage="1" errorTitle="Slope" error="Check slope value" prompt="Land Slope" sqref="G4" xr:uid="{13558BE9-D7DB-4AA8-9F52-0CAD6254FF9F}">
      <formula1>0</formula1>
      <formula2>25</formula2>
    </dataValidation>
    <dataValidation type="list" allowBlank="1" sqref="I4" xr:uid="{4CABA710-E423-46BA-8649-FFBEBADE42C1}">
      <formula1>SlopeShape</formula1>
    </dataValidation>
    <dataValidation type="list" allowBlank="1" showInputMessage="1" prompt="Choose from the list or add your own description with texture" sqref="B22 B18 B10 B12 B14 B16 B20" xr:uid="{01A91D68-0867-473A-A75C-CE57C8FFF0D7}">
      <formula1>SoilTexture7080</formula1>
    </dataValidation>
    <dataValidation type="list" allowBlank="1" sqref="L22 L20 L12 L14 L16 L18 L10:M11" xr:uid="{63C6B12D-88F2-4505-BEFB-546894B0C2B0}">
      <formula1>StructureConsistence</formula1>
    </dataValidation>
    <dataValidation type="list" allowBlank="1" sqref="K22 K18 K10 K12 K14 K16 K20" xr:uid="{E2740FA9-99E8-4353-A0D0-6AEDD2A13E28}">
      <formula1>StructureGrade</formula1>
    </dataValidation>
    <dataValidation type="list" allowBlank="1" sqref="J22 J18 J10 J12 J14 J16 J20" xr:uid="{9853C23B-09A6-4E53-931E-E5403A99DA91}">
      <formula1>StructureShape</formula1>
    </dataValidation>
    <dataValidation type="list" allowBlank="1" sqref="G10:G23 E10:E23" xr:uid="{0C17D1DF-4F37-443F-BF1C-FDB2BB175D58}">
      <formula1>ValueChroma</formula1>
    </dataValidation>
    <dataValidation type="list" allowBlank="1" sqref="D10:D23" xr:uid="{44D0F9C1-D0A4-4800-A921-113F6E7E1A26}">
      <formula1>Hue</formula1>
    </dataValidation>
    <dataValidation type="list" allowBlank="1" showInputMessage="1" showErrorMessage="1" sqref="M4" xr:uid="{B35956F0-2FC7-47ED-89F5-D061949422DD}">
      <formula1>YN</formula1>
    </dataValidation>
    <dataValidation allowBlank="1" showInputMessage="1" showErrorMessage="1" prompt="From Prelim Page" sqref="B2:G2 J2:M2 H5:I5" xr:uid="{48CC9C5C-64B3-41C8-BBCB-F09CA86A0CD5}"/>
    <dataValidation allowBlank="1" showInputMessage="1" showErrorMessage="1" prompt="Observation #" sqref="D7:E7" xr:uid="{A36164E2-F234-4601-BAD9-148F699991A6}"/>
    <dataValidation allowBlank="1" showInputMessage="1" showErrorMessage="1" prompt="Location of observation" sqref="H7:J7" xr:uid="{E3DCA9B9-3464-42B6-A76C-D2D2501DD434}"/>
    <dataValidation type="whole" errorStyle="information" allowBlank="1" showInputMessage="1" showErrorMessage="1" error="Enter Number not Range._x000a__x000a_If &gt;50% Rock Considered Bedrock - Zero Treatment Credit" promptTitle="Rock Fragment Percentage" prompt="Enter percentage number not a range._x000a_Reminder:_x000a_0-35% Rock = 100% Credit_x000a_35-50% Rock in Sand = 50% Credit_x000a_50+% Rock = 0% Credit" sqref="C10:C23" xr:uid="{280574E2-240A-4719-915C-487E9AABD434}">
      <formula1>0</formula1>
      <formula2>50</formula2>
    </dataValidation>
  </dataValidations>
  <printOptions horizontalCentered="1" verticalCentered="1"/>
  <pageMargins left="0.25" right="0.25" top="0.25" bottom="0.25" header="0" footer="0"/>
  <pageSetup fitToHeight="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542465" r:id="rId4" name="Check Box 1">
              <controlPr defaultSize="0" autoFill="0" autoLine="0" autoPict="0">
                <anchor moveWithCells="1" sizeWithCells="1">
                  <from>
                    <xdr:col>4</xdr:col>
                    <xdr:colOff>123825</xdr:colOff>
                    <xdr:row>2</xdr:row>
                    <xdr:rowOff>28575</xdr:rowOff>
                  </from>
                  <to>
                    <xdr:col>6</xdr:col>
                    <xdr:colOff>114300</xdr:colOff>
                    <xdr:row>2</xdr:row>
                    <xdr:rowOff>238125</xdr:rowOff>
                  </to>
                </anchor>
              </controlPr>
            </control>
          </mc:Choice>
        </mc:AlternateContent>
        <mc:AlternateContent xmlns:mc="http://schemas.openxmlformats.org/markup-compatibility/2006">
          <mc:Choice Requires="x14">
            <control shapeId="4542466" r:id="rId5" name="Check Box 2">
              <controlPr defaultSize="0" autoFill="0" autoLine="0" autoPict="0">
                <anchor moveWithCells="1" sizeWithCells="1">
                  <from>
                    <xdr:col>5</xdr:col>
                    <xdr:colOff>266700</xdr:colOff>
                    <xdr:row>2</xdr:row>
                    <xdr:rowOff>28575</xdr:rowOff>
                  </from>
                  <to>
                    <xdr:col>7</xdr:col>
                    <xdr:colOff>257175</xdr:colOff>
                    <xdr:row>2</xdr:row>
                    <xdr:rowOff>238125</xdr:rowOff>
                  </to>
                </anchor>
              </controlPr>
            </control>
          </mc:Choice>
        </mc:AlternateContent>
        <mc:AlternateContent xmlns:mc="http://schemas.openxmlformats.org/markup-compatibility/2006">
          <mc:Choice Requires="x14">
            <control shapeId="4542467" r:id="rId6" name="Check Box 3">
              <controlPr defaultSize="0" autoFill="0" autoLine="0" autoPict="0">
                <anchor moveWithCells="1" sizeWithCells="1">
                  <from>
                    <xdr:col>6</xdr:col>
                    <xdr:colOff>447675</xdr:colOff>
                    <xdr:row>2</xdr:row>
                    <xdr:rowOff>28575</xdr:rowOff>
                  </from>
                  <to>
                    <xdr:col>7</xdr:col>
                    <xdr:colOff>952500</xdr:colOff>
                    <xdr:row>2</xdr:row>
                    <xdr:rowOff>238125</xdr:rowOff>
                  </to>
                </anchor>
              </controlPr>
            </control>
          </mc:Choice>
        </mc:AlternateContent>
        <mc:AlternateContent xmlns:mc="http://schemas.openxmlformats.org/markup-compatibility/2006">
          <mc:Choice Requires="x14">
            <control shapeId="4542468" r:id="rId7" name="Check Box 4">
              <controlPr defaultSize="0" autoFill="0" autoLine="0" autoPict="0">
                <anchor moveWithCells="1" sizeWithCells="1">
                  <from>
                    <xdr:col>7</xdr:col>
                    <xdr:colOff>428625</xdr:colOff>
                    <xdr:row>2</xdr:row>
                    <xdr:rowOff>28575</xdr:rowOff>
                  </from>
                  <to>
                    <xdr:col>8</xdr:col>
                    <xdr:colOff>485775</xdr:colOff>
                    <xdr:row>2</xdr:row>
                    <xdr:rowOff>238125</xdr:rowOff>
                  </to>
                </anchor>
              </controlPr>
            </control>
          </mc:Choice>
        </mc:AlternateContent>
        <mc:AlternateContent xmlns:mc="http://schemas.openxmlformats.org/markup-compatibility/2006">
          <mc:Choice Requires="x14">
            <control shapeId="4542469" r:id="rId8" name="Check Box 5">
              <controlPr defaultSize="0" autoFill="0" autoLine="0" autoPict="0">
                <anchor moveWithCells="1" sizeWithCells="1">
                  <from>
                    <xdr:col>7</xdr:col>
                    <xdr:colOff>819150</xdr:colOff>
                    <xdr:row>2</xdr:row>
                    <xdr:rowOff>28575</xdr:rowOff>
                  </from>
                  <to>
                    <xdr:col>9</xdr:col>
                    <xdr:colOff>114300</xdr:colOff>
                    <xdr:row>2</xdr:row>
                    <xdr:rowOff>238125</xdr:rowOff>
                  </to>
                </anchor>
              </controlPr>
            </control>
          </mc:Choice>
        </mc:AlternateContent>
        <mc:AlternateContent xmlns:mc="http://schemas.openxmlformats.org/markup-compatibility/2006">
          <mc:Choice Requires="x14">
            <control shapeId="4542470" r:id="rId9" name="Check Box 6">
              <controlPr defaultSize="0" autoFill="0" autoLine="0" autoPict="0">
                <anchor moveWithCells="1" sizeWithCells="1">
                  <from>
                    <xdr:col>8</xdr:col>
                    <xdr:colOff>485775</xdr:colOff>
                    <xdr:row>2</xdr:row>
                    <xdr:rowOff>28575</xdr:rowOff>
                  </from>
                  <to>
                    <xdr:col>9</xdr:col>
                    <xdr:colOff>733425</xdr:colOff>
                    <xdr:row>2</xdr:row>
                    <xdr:rowOff>238125</xdr:rowOff>
                  </to>
                </anchor>
              </controlPr>
            </control>
          </mc:Choice>
        </mc:AlternateContent>
        <mc:AlternateContent xmlns:mc="http://schemas.openxmlformats.org/markup-compatibility/2006">
          <mc:Choice Requires="x14">
            <control shapeId="4542471" r:id="rId10" name="Check Box 7">
              <controlPr defaultSize="0" autoFill="0" autoLine="0" autoPict="0">
                <anchor moveWithCells="1" sizeWithCells="1">
                  <from>
                    <xdr:col>9</xdr:col>
                    <xdr:colOff>352425</xdr:colOff>
                    <xdr:row>2</xdr:row>
                    <xdr:rowOff>28575</xdr:rowOff>
                  </from>
                  <to>
                    <xdr:col>10</xdr:col>
                    <xdr:colOff>600075</xdr:colOff>
                    <xdr:row>2</xdr:row>
                    <xdr:rowOff>238125</xdr:rowOff>
                  </to>
                </anchor>
              </controlPr>
            </control>
          </mc:Choice>
        </mc:AlternateContent>
        <mc:AlternateContent xmlns:mc="http://schemas.openxmlformats.org/markup-compatibility/2006">
          <mc:Choice Requires="x14">
            <control shapeId="4542472" r:id="rId11" name="Check Box 8">
              <controlPr defaultSize="0" autoFill="0" autoLine="0" autoPict="0">
                <anchor moveWithCells="1">
                  <from>
                    <xdr:col>10</xdr:col>
                    <xdr:colOff>523875</xdr:colOff>
                    <xdr:row>2</xdr:row>
                    <xdr:rowOff>28575</xdr:rowOff>
                  </from>
                  <to>
                    <xdr:col>11</xdr:col>
                    <xdr:colOff>400050</xdr:colOff>
                    <xdr:row>2</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prompt="If Redox Kind(s) are entered, Type of Indicator needs to be completed" xr:uid="{59C93F89-6D09-40B6-9377-C3FD486849A4}">
          <x14:formula1>
            <xm:f>'Drop-Down Lists'!$L$2:$L$5</xm:f>
          </x14:formula1>
          <xm:sqref>H11:H23 H10</xm:sqref>
        </x14:dataValidation>
        <x14:dataValidation type="list" allowBlank="1" showInputMessage="1" prompt="Indicator definitions are found on soil chart." xr:uid="{F450DA75-B41C-45D1-BA98-F2E441AFD90A}">
          <x14:formula1>
            <xm:f>'Drop-Down Lists'!$M$2:$M$34</xm:f>
          </x14:formula1>
          <xm:sqref>I10:I23</xm:sqref>
        </x14:dataValidation>
        <x14:dataValidation type="list" allowBlank="1" showInputMessage="1" prompt="Choose from the list or add your own description" xr:uid="{B77FA285-14B0-46C0-A779-67B7FAC8376E}">
          <x14:formula1>
            <xm:f>'Drop-Down Lists'!$U$2:$U$9</xm:f>
          </x14:formula1>
          <xm:sqref>B5:D5</xm:sqref>
        </x14:dataValidation>
        <x14:dataValidation type="list" allowBlank="1" showInputMessage="1" prompt="Choose from the list or add your own description" xr:uid="{92482F7A-E470-48A5-8695-C6CF0C414941}">
          <x14:formula1>
            <xm:f>'Drop-Down Lists'!$T$2:$T$10</xm:f>
          </x14:formula1>
          <xm:sqref>C4:E4</xm:sqref>
        </x14:dataValidation>
        <x14:dataValidation type="list" allowBlank="1" showInputMessage="1" prompt="Observation Type" xr:uid="{56000DE7-808C-4709-8392-A94B732AC3BC}">
          <x14:formula1>
            <xm:f>'Drop-Down Lists'!$V$2:$V$5</xm:f>
          </x14:formula1>
          <xm:sqref>F7:G7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7D205-5279-4DF2-8E18-68B68176976C}">
  <sheetPr>
    <tabColor rgb="FFFF66FF"/>
  </sheetPr>
  <dimension ref="A1:AX144"/>
  <sheetViews>
    <sheetView showGridLines="0" view="pageBreakPreview" zoomScaleNormal="100" zoomScaleSheetLayoutView="100" workbookViewId="0">
      <selection activeCell="M47" sqref="M47"/>
    </sheetView>
  </sheetViews>
  <sheetFormatPr defaultColWidth="4.140625" defaultRowHeight="15"/>
  <cols>
    <col min="1" max="3" width="4.140625" style="520"/>
    <col min="4" max="4" width="7.42578125" style="520" customWidth="1"/>
    <col min="5" max="5" width="4.140625" style="520"/>
    <col min="6" max="6" width="7.85546875" style="520" customWidth="1"/>
    <col min="7" max="7" width="4.140625" style="520" customWidth="1"/>
    <col min="8" max="8" width="7.42578125" style="520" customWidth="1"/>
    <col min="9" max="9" width="2" style="520" customWidth="1"/>
    <col min="10" max="10" width="5.7109375" style="520" customWidth="1"/>
    <col min="11" max="11" width="8.42578125" style="520" customWidth="1"/>
    <col min="12" max="12" width="4.140625" style="520"/>
    <col min="13" max="13" width="8.42578125" style="520" customWidth="1"/>
    <col min="14" max="14" width="3.140625" style="520" customWidth="1"/>
    <col min="15" max="15" width="1.85546875" style="520" customWidth="1"/>
    <col min="16" max="16" width="2.42578125" style="520" customWidth="1"/>
    <col min="17" max="17" width="3.140625" style="520" customWidth="1"/>
    <col min="18" max="18" width="7.85546875" style="520" customWidth="1"/>
    <col min="19" max="19" width="7.42578125" style="520" customWidth="1"/>
    <col min="20" max="20" width="4.140625" style="520"/>
    <col min="21" max="21" width="1.42578125" style="520" customWidth="1"/>
    <col min="22" max="22" width="8.42578125" style="520" customWidth="1"/>
    <col min="23" max="23" width="4.140625" style="520"/>
    <col min="24" max="24" width="8.42578125" style="520" customWidth="1"/>
    <col min="25" max="16384" width="4.140625" style="520"/>
  </cols>
  <sheetData>
    <row r="1" spans="1:37" ht="54.95" customHeight="1" thickBot="1">
      <c r="A1" s="826"/>
      <c r="B1" s="827"/>
      <c r="C1" s="1641"/>
      <c r="D1" s="1641"/>
      <c r="E1" s="1641"/>
      <c r="F1" s="827"/>
      <c r="G1" s="2687" t="s">
        <v>748</v>
      </c>
      <c r="H1" s="2687"/>
      <c r="I1" s="2687"/>
      <c r="J1" s="2687"/>
      <c r="K1" s="2687"/>
      <c r="L1" s="2687"/>
      <c r="M1" s="2687"/>
      <c r="N1" s="2687"/>
      <c r="O1" s="2687"/>
      <c r="P1" s="2687"/>
      <c r="Q1" s="2687"/>
      <c r="R1" s="2687"/>
      <c r="S1" s="1641"/>
      <c r="T1" s="1641"/>
      <c r="U1" s="1641"/>
      <c r="V1" s="1641"/>
      <c r="W1" s="1641"/>
      <c r="X1" s="1641"/>
      <c r="Y1" s="1642"/>
      <c r="Z1" s="820"/>
      <c r="AA1" s="820"/>
      <c r="AB1" s="820"/>
      <c r="AC1" s="820"/>
      <c r="AD1" s="820"/>
      <c r="AE1" s="820"/>
      <c r="AF1" s="820"/>
      <c r="AG1" s="820"/>
      <c r="AH1" s="820"/>
      <c r="AI1" s="820"/>
      <c r="AJ1" s="820"/>
      <c r="AK1" s="820"/>
    </row>
    <row r="2" spans="1:37" ht="15.75" customHeight="1" thickBot="1">
      <c r="A2" s="822"/>
      <c r="B2" s="542"/>
      <c r="C2" s="824"/>
      <c r="D2" s="824"/>
      <c r="E2" s="824"/>
      <c r="F2" s="824"/>
      <c r="G2" s="2688"/>
      <c r="H2" s="2688"/>
      <c r="I2" s="2688"/>
      <c r="J2" s="2688"/>
      <c r="K2" s="2688"/>
      <c r="L2" s="2688"/>
      <c r="M2" s="2689" t="s">
        <v>551</v>
      </c>
      <c r="N2" s="2689"/>
      <c r="O2" s="2689"/>
      <c r="P2" s="2690"/>
      <c r="Q2" s="2690"/>
      <c r="R2" s="2690"/>
      <c r="S2" s="2690"/>
      <c r="T2" s="1090"/>
      <c r="U2" s="2691" t="s">
        <v>749</v>
      </c>
      <c r="V2" s="2691"/>
      <c r="W2" s="2691"/>
      <c r="X2" s="2691"/>
      <c r="Y2" s="2692"/>
      <c r="Z2" s="821"/>
      <c r="AA2" s="821"/>
      <c r="AB2" s="821"/>
      <c r="AC2" s="821"/>
      <c r="AD2" s="821"/>
      <c r="AE2" s="821"/>
      <c r="AF2" s="821"/>
      <c r="AG2" s="821"/>
    </row>
    <row r="3" spans="1:37" ht="3.95" customHeight="1">
      <c r="A3" s="554"/>
      <c r="B3" s="529"/>
      <c r="C3" s="1203"/>
      <c r="D3" s="1203"/>
      <c r="E3" s="635"/>
      <c r="F3" s="635"/>
      <c r="G3" s="635"/>
      <c r="H3" s="635"/>
      <c r="I3" s="635"/>
      <c r="J3" s="635"/>
      <c r="K3" s="636"/>
      <c r="L3" s="636"/>
      <c r="M3" s="636"/>
      <c r="N3" s="636"/>
      <c r="O3" s="636"/>
      <c r="P3" s="636"/>
      <c r="Q3" s="636"/>
      <c r="R3" s="637"/>
      <c r="S3" s="637"/>
      <c r="T3" s="637"/>
      <c r="U3" s="637"/>
      <c r="V3" s="637"/>
      <c r="W3" s="637"/>
      <c r="X3" s="637"/>
      <c r="Y3" s="832"/>
      <c r="Z3" s="637"/>
      <c r="AA3" s="637"/>
      <c r="AB3" s="637"/>
      <c r="AC3" s="637"/>
    </row>
    <row r="4" spans="1:37" ht="21" customHeight="1">
      <c r="A4" s="554"/>
      <c r="B4" s="529"/>
      <c r="C4" s="1203"/>
      <c r="D4" s="2475" t="s">
        <v>548</v>
      </c>
      <c r="E4" s="2475"/>
      <c r="F4" s="2475"/>
      <c r="G4" s="2475"/>
      <c r="H4" s="2476"/>
      <c r="I4" s="2472" t="str">
        <f>IF(ISBLANK(Prelim!G3),"  ", Prelim!G3)</f>
        <v xml:space="preserve">  </v>
      </c>
      <c r="J4" s="2473"/>
      <c r="K4" s="2473"/>
      <c r="L4" s="2473"/>
      <c r="M4" s="2473"/>
      <c r="N4" s="2473"/>
      <c r="O4" s="2473"/>
      <c r="P4" s="2473"/>
      <c r="Q4" s="2473"/>
      <c r="R4" s="2474"/>
      <c r="S4" s="637"/>
      <c r="T4" s="637"/>
      <c r="U4" s="637"/>
      <c r="V4" s="637"/>
      <c r="W4" s="637"/>
      <c r="X4" s="637"/>
      <c r="Y4" s="832"/>
      <c r="Z4" s="637"/>
      <c r="AA4" s="637"/>
      <c r="AB4" s="637"/>
      <c r="AC4" s="637"/>
    </row>
    <row r="5" spans="1:37" ht="6" customHeight="1">
      <c r="A5" s="554"/>
      <c r="B5" s="529"/>
      <c r="C5" s="1203"/>
      <c r="D5" s="1203"/>
      <c r="E5" s="635"/>
      <c r="F5" s="635"/>
      <c r="G5" s="635"/>
      <c r="H5" s="635"/>
      <c r="I5" s="635"/>
      <c r="J5" s="635"/>
      <c r="K5" s="636"/>
      <c r="L5" s="636"/>
      <c r="M5" s="636"/>
      <c r="N5" s="636"/>
      <c r="O5" s="636"/>
      <c r="P5" s="636"/>
      <c r="Q5" s="636"/>
      <c r="R5" s="637"/>
      <c r="S5" s="637"/>
      <c r="T5" s="637"/>
      <c r="U5" s="637"/>
      <c r="V5" s="637"/>
      <c r="W5" s="637"/>
      <c r="X5" s="637"/>
      <c r="Y5" s="832"/>
      <c r="Z5" s="637"/>
      <c r="AA5" s="637"/>
      <c r="AB5" s="637"/>
      <c r="AC5" s="637"/>
    </row>
    <row r="6" spans="1:37" ht="21" customHeight="1">
      <c r="A6" s="554"/>
      <c r="B6" s="2693" t="s">
        <v>750</v>
      </c>
      <c r="C6" s="2693"/>
      <c r="D6" s="2693"/>
      <c r="E6" s="2693"/>
      <c r="F6" s="2693"/>
      <c r="G6" s="2693"/>
      <c r="H6" s="2693"/>
      <c r="I6" s="2694" t="s">
        <v>751</v>
      </c>
      <c r="J6" s="2694"/>
      <c r="K6" s="2694"/>
      <c r="L6" s="2694"/>
      <c r="M6" s="2694"/>
      <c r="N6" s="2694"/>
      <c r="O6" s="2694"/>
      <c r="P6" s="2694"/>
      <c r="Q6" s="2694"/>
      <c r="R6" s="2694"/>
      <c r="S6" s="2694"/>
      <c r="T6" s="2694"/>
      <c r="U6" s="2694"/>
      <c r="V6" s="2694"/>
      <c r="W6" s="2694"/>
      <c r="X6" s="2694"/>
      <c r="Y6" s="531"/>
      <c r="Z6" s="1244"/>
      <c r="AA6" s="1244"/>
      <c r="AB6" s="1244"/>
      <c r="AC6" s="1244"/>
      <c r="AD6" s="1244"/>
      <c r="AE6" s="1244"/>
      <c r="AF6" s="1244"/>
      <c r="AG6" s="1244"/>
      <c r="AH6" s="1244"/>
      <c r="AI6" s="1244"/>
      <c r="AJ6" s="1244"/>
      <c r="AK6" s="1244"/>
    </row>
    <row r="7" spans="1:37" ht="6" customHeight="1">
      <c r="A7" s="554"/>
      <c r="B7" s="1636"/>
      <c r="C7" s="1636"/>
      <c r="D7" s="1636"/>
      <c r="E7" s="1636"/>
      <c r="F7" s="1636"/>
      <c r="G7" s="1636"/>
      <c r="H7" s="1636"/>
      <c r="I7" s="1203"/>
      <c r="J7" s="1203"/>
      <c r="K7" s="1203"/>
      <c r="L7" s="1203"/>
      <c r="M7" s="1203"/>
      <c r="N7" s="1203"/>
      <c r="O7" s="1203"/>
      <c r="P7" s="1203"/>
      <c r="Q7" s="1203"/>
      <c r="R7" s="1203"/>
      <c r="S7" s="1203"/>
      <c r="T7" s="1203"/>
      <c r="U7" s="1203"/>
      <c r="V7" s="1203"/>
      <c r="W7" s="1203"/>
      <c r="X7" s="1203"/>
      <c r="Y7" s="531"/>
      <c r="Z7" s="1244"/>
      <c r="AA7" s="1244"/>
      <c r="AB7" s="1244"/>
      <c r="AC7" s="1244"/>
      <c r="AD7" s="1244"/>
      <c r="AE7" s="1244"/>
      <c r="AF7" s="1244"/>
      <c r="AG7" s="1244"/>
      <c r="AH7" s="1244"/>
      <c r="AI7" s="1244"/>
      <c r="AJ7" s="1244"/>
      <c r="AK7" s="1244"/>
    </row>
    <row r="8" spans="1:37" ht="15" customHeight="1">
      <c r="A8" s="554"/>
      <c r="C8" s="520" t="s">
        <v>549</v>
      </c>
      <c r="G8" s="2676"/>
      <c r="H8" s="2677"/>
      <c r="I8" s="2677"/>
      <c r="J8" s="2678"/>
      <c r="Y8" s="526"/>
    </row>
    <row r="9" spans="1:37" ht="23.25" hidden="1" customHeight="1">
      <c r="A9" s="554"/>
      <c r="C9" s="826"/>
      <c r="D9" s="827"/>
      <c r="E9" s="827"/>
      <c r="F9" s="827"/>
      <c r="G9" s="827"/>
      <c r="H9" s="827"/>
      <c r="I9" s="827"/>
      <c r="J9" s="827"/>
      <c r="K9" s="827"/>
      <c r="L9" s="827"/>
      <c r="M9" s="827"/>
      <c r="N9" s="827"/>
      <c r="O9" s="827"/>
      <c r="P9" s="827"/>
      <c r="Q9" s="827"/>
      <c r="R9" s="827"/>
      <c r="S9" s="827"/>
      <c r="T9" s="827"/>
      <c r="U9" s="827"/>
      <c r="V9" s="827"/>
      <c r="W9" s="827"/>
      <c r="X9" s="828"/>
      <c r="Y9" s="526"/>
    </row>
    <row r="10" spans="1:37" ht="23.25" hidden="1" customHeight="1">
      <c r="A10" s="554"/>
      <c r="C10" s="554"/>
      <c r="X10" s="526"/>
      <c r="Y10" s="526"/>
    </row>
    <row r="11" spans="1:37" ht="23.25" hidden="1" customHeight="1">
      <c r="A11" s="554"/>
      <c r="C11" s="554"/>
      <c r="X11" s="526"/>
      <c r="Y11" s="526"/>
    </row>
    <row r="12" spans="1:37" ht="23.25" hidden="1" customHeight="1">
      <c r="A12" s="554"/>
      <c r="C12" s="554"/>
      <c r="X12" s="526"/>
      <c r="Y12" s="526"/>
    </row>
    <row r="13" spans="1:37" ht="23.25" hidden="1" customHeight="1">
      <c r="A13" s="554"/>
      <c r="C13" s="554"/>
      <c r="X13" s="526"/>
      <c r="Y13" s="526"/>
    </row>
    <row r="14" spans="1:37" ht="23.25" hidden="1" customHeight="1">
      <c r="A14" s="554"/>
      <c r="C14" s="554"/>
      <c r="X14" s="526"/>
      <c r="Y14" s="526"/>
    </row>
    <row r="15" spans="1:37" ht="23.25" hidden="1" customHeight="1">
      <c r="A15" s="554"/>
      <c r="C15" s="554"/>
      <c r="X15" s="526"/>
      <c r="Y15" s="526"/>
    </row>
    <row r="16" spans="1:37" ht="23.25" hidden="1" customHeight="1">
      <c r="A16" s="554"/>
      <c r="C16" s="554"/>
      <c r="X16" s="526"/>
      <c r="Y16" s="526"/>
    </row>
    <row r="17" spans="1:37" ht="38.25" hidden="1" customHeight="1">
      <c r="A17" s="554"/>
      <c r="C17" s="554"/>
      <c r="X17" s="526"/>
      <c r="Y17" s="526"/>
    </row>
    <row r="18" spans="1:37" ht="38.25" hidden="1" customHeight="1">
      <c r="A18" s="554"/>
      <c r="C18" s="554"/>
      <c r="X18" s="526"/>
      <c r="Y18" s="526"/>
    </row>
    <row r="19" spans="1:37" ht="38.25" hidden="1" customHeight="1">
      <c r="A19" s="554"/>
      <c r="C19" s="554"/>
      <c r="X19" s="526"/>
      <c r="Y19" s="526"/>
    </row>
    <row r="20" spans="1:37" ht="38.25" hidden="1" customHeight="1">
      <c r="A20" s="554"/>
      <c r="C20" s="554"/>
      <c r="X20" s="526"/>
      <c r="Y20" s="526"/>
    </row>
    <row r="21" spans="1:37" ht="38.25" hidden="1" customHeight="1">
      <c r="A21" s="554"/>
      <c r="C21" s="554"/>
      <c r="X21" s="526"/>
      <c r="Y21" s="526"/>
    </row>
    <row r="22" spans="1:37" ht="23.25" hidden="1" customHeight="1">
      <c r="A22" s="554"/>
      <c r="C22" s="554"/>
      <c r="X22" s="526"/>
      <c r="Y22" s="526"/>
    </row>
    <row r="23" spans="1:37" ht="23.25" hidden="1" customHeight="1">
      <c r="A23" s="554"/>
      <c r="C23" s="554"/>
      <c r="X23" s="526"/>
      <c r="Y23" s="526"/>
    </row>
    <row r="24" spans="1:37" ht="23.25" hidden="1" customHeight="1">
      <c r="A24" s="554"/>
      <c r="C24" s="554"/>
      <c r="X24" s="526"/>
      <c r="Y24" s="526"/>
    </row>
    <row r="25" spans="1:37" ht="23.25" hidden="1" customHeight="1">
      <c r="A25" s="554"/>
      <c r="C25" s="554"/>
      <c r="X25" s="526"/>
      <c r="Y25" s="526"/>
    </row>
    <row r="26" spans="1:37" ht="23.25" hidden="1" customHeight="1">
      <c r="A26" s="554"/>
      <c r="C26" s="554"/>
      <c r="X26" s="526"/>
      <c r="Y26" s="526"/>
    </row>
    <row r="27" spans="1:37" ht="23.25" hidden="1" customHeight="1">
      <c r="A27" s="554"/>
      <c r="C27" s="554"/>
      <c r="X27" s="526"/>
      <c r="Y27" s="526"/>
    </row>
    <row r="28" spans="1:37" ht="23.25" hidden="1" customHeight="1">
      <c r="A28" s="554"/>
      <c r="C28" s="554"/>
      <c r="X28" s="526"/>
      <c r="Y28" s="526"/>
    </row>
    <row r="29" spans="1:37" ht="23.25" hidden="1" customHeight="1" thickBot="1">
      <c r="A29" s="554"/>
      <c r="C29" s="829"/>
      <c r="D29" s="830"/>
      <c r="E29" s="830"/>
      <c r="F29" s="830"/>
      <c r="G29" s="830"/>
      <c r="H29" s="830"/>
      <c r="I29" s="830"/>
      <c r="J29" s="830"/>
      <c r="K29" s="830"/>
      <c r="L29" s="830"/>
      <c r="M29" s="830"/>
      <c r="N29" s="830"/>
      <c r="O29" s="830"/>
      <c r="P29" s="830"/>
      <c r="Q29" s="830"/>
      <c r="R29" s="830"/>
      <c r="S29" s="830"/>
      <c r="T29" s="830"/>
      <c r="U29" s="830"/>
      <c r="V29" s="830"/>
      <c r="W29" s="830"/>
      <c r="X29" s="831"/>
      <c r="Y29" s="526"/>
    </row>
    <row r="30" spans="1:37" ht="6" hidden="1" customHeight="1">
      <c r="A30" s="554"/>
      <c r="Y30" s="526"/>
    </row>
    <row r="31" spans="1:37" ht="13.5" hidden="1" customHeight="1">
      <c r="A31" s="554"/>
      <c r="B31" s="2679" t="s">
        <v>752</v>
      </c>
      <c r="C31" s="2656"/>
      <c r="D31" s="2656"/>
      <c r="E31" s="2680"/>
      <c r="F31" s="2681"/>
      <c r="G31" s="2681"/>
      <c r="H31" s="2682"/>
      <c r="Y31" s="526"/>
    </row>
    <row r="32" spans="1:37" ht="9" customHeight="1">
      <c r="A32" s="554"/>
      <c r="L32" s="1244"/>
      <c r="M32" s="1244"/>
      <c r="N32" s="1244"/>
      <c r="O32" s="1244"/>
      <c r="P32" s="1244"/>
      <c r="Q32" s="1244"/>
      <c r="R32" s="1244"/>
      <c r="S32" s="1244"/>
      <c r="T32" s="1244"/>
      <c r="U32" s="1244"/>
      <c r="V32" s="1244"/>
      <c r="W32" s="1244"/>
      <c r="X32" s="1244"/>
      <c r="Y32" s="1376"/>
      <c r="Z32" s="1244"/>
      <c r="AA32" s="1244"/>
      <c r="AB32" s="1244"/>
      <c r="AC32" s="1244"/>
      <c r="AD32" s="1244"/>
      <c r="AE32" s="1244"/>
      <c r="AF32" s="1244"/>
      <c r="AG32" s="1244"/>
      <c r="AH32" s="1244"/>
      <c r="AI32" s="1244"/>
      <c r="AJ32" s="1244"/>
      <c r="AK32" s="1244"/>
    </row>
    <row r="33" spans="1:37" ht="15.75">
      <c r="A33" s="554"/>
      <c r="C33" s="551" t="s">
        <v>753</v>
      </c>
      <c r="H33" s="520" t="s">
        <v>754</v>
      </c>
      <c r="K33" s="1643" t="str">
        <f>IF(ISBLANK(Field!G49)," ",Field!G49)</f>
        <v xml:space="preserve"> </v>
      </c>
      <c r="L33" s="1644" t="s">
        <v>609</v>
      </c>
      <c r="M33" s="1645"/>
      <c r="O33" s="1646" t="s">
        <v>755</v>
      </c>
      <c r="P33" s="2683" t="str">
        <f>IF(ISBLANK(Field!S49)," ",Field!S49)</f>
        <v xml:space="preserve"> </v>
      </c>
      <c r="Q33" s="2684"/>
      <c r="R33" s="2684"/>
      <c r="S33" s="2684"/>
      <c r="T33" s="2684"/>
      <c r="U33" s="2684"/>
      <c r="V33" s="2684"/>
      <c r="W33" s="2684"/>
      <c r="X33" s="2685"/>
      <c r="Y33" s="1376"/>
      <c r="Z33" s="1244"/>
      <c r="AA33" s="1244"/>
      <c r="AB33" s="1244"/>
      <c r="AC33" s="1244"/>
      <c r="AD33" s="1244"/>
      <c r="AE33" s="1244"/>
      <c r="AF33" s="1244"/>
      <c r="AG33" s="1244"/>
      <c r="AH33" s="1244"/>
      <c r="AI33" s="1244"/>
      <c r="AJ33" s="1244"/>
      <c r="AK33" s="1244"/>
    </row>
    <row r="34" spans="1:37" s="1244" customFormat="1" ht="8.4499999999999993" customHeight="1">
      <c r="A34" s="1647"/>
      <c r="Y34" s="1376"/>
    </row>
    <row r="35" spans="1:37" s="1244" customFormat="1" ht="15" customHeight="1">
      <c r="A35" s="1647"/>
      <c r="C35" s="551" t="s">
        <v>756</v>
      </c>
      <c r="Y35" s="1376"/>
    </row>
    <row r="36" spans="1:37" ht="17.25" customHeight="1">
      <c r="A36" s="554"/>
      <c r="C36" s="551" t="s">
        <v>757</v>
      </c>
      <c r="I36" s="551" t="s">
        <v>758</v>
      </c>
      <c r="M36" s="551" t="s">
        <v>759</v>
      </c>
      <c r="Q36" s="551" t="s">
        <v>759</v>
      </c>
      <c r="R36" s="1637"/>
      <c r="Y36" s="526"/>
      <c r="Z36" s="1244"/>
      <c r="AA36" s="1244"/>
      <c r="AB36" s="1648"/>
      <c r="AC36" s="1244"/>
      <c r="AD36" s="1244"/>
      <c r="AE36" s="1244"/>
      <c r="AF36" s="1244"/>
      <c r="AG36" s="1244"/>
      <c r="AH36" s="1244"/>
      <c r="AI36" s="1244"/>
      <c r="AJ36" s="1244"/>
      <c r="AK36" s="1244"/>
    </row>
    <row r="37" spans="1:37" ht="15.75" customHeight="1">
      <c r="A37" s="554"/>
      <c r="C37" s="1649" t="s">
        <v>760</v>
      </c>
      <c r="D37" s="1649"/>
      <c r="E37" s="2649"/>
      <c r="F37" s="2649"/>
      <c r="G37" s="1649" t="s">
        <v>609</v>
      </c>
      <c r="H37" s="1096"/>
      <c r="I37" s="1649" t="s">
        <v>761</v>
      </c>
      <c r="J37" s="1649"/>
      <c r="K37" s="1651" t="str">
        <f>IF(ISBLANK('Soil Log (1)'!M5)," ",'Soil Log (1)'!M5)</f>
        <v xml:space="preserve"> </v>
      </c>
      <c r="L37" s="1649" t="s">
        <v>609</v>
      </c>
      <c r="M37" s="1817" t="str">
        <f>IF(ISBLANK('Soil Log (1)'!M5)," ",(K37-R37)*12)</f>
        <v xml:space="preserve"> </v>
      </c>
      <c r="N37" s="520" t="s">
        <v>762</v>
      </c>
      <c r="P37" s="1652"/>
      <c r="R37" s="1651" t="str">
        <f>IF(ISBLANK('Soil Log (1)'!M6)," ",'Soil Log (1)'!M6)</f>
        <v xml:space="preserve"> </v>
      </c>
      <c r="S37" s="1649" t="s">
        <v>609</v>
      </c>
      <c r="Y37" s="526"/>
      <c r="Z37" s="1244"/>
      <c r="AA37" s="1244"/>
      <c r="AB37" s="1653"/>
      <c r="AJ37" s="1244"/>
      <c r="AK37" s="1244"/>
    </row>
    <row r="38" spans="1:37" ht="15.75" customHeight="1">
      <c r="A38" s="554"/>
      <c r="C38" s="1649" t="s">
        <v>763</v>
      </c>
      <c r="D38" s="1649"/>
      <c r="E38" s="2649"/>
      <c r="F38" s="2649"/>
      <c r="G38" s="1649" t="s">
        <v>609</v>
      </c>
      <c r="H38" s="1096"/>
      <c r="I38" s="1649" t="s">
        <v>764</v>
      </c>
      <c r="J38" s="1649"/>
      <c r="K38" s="1651" t="e">
        <f>IF(ISBLANK(#REF!)," ",#REF!)</f>
        <v>#REF!</v>
      </c>
      <c r="L38" s="1649" t="s">
        <v>609</v>
      </c>
      <c r="M38" s="1817" t="e">
        <f>IF(ISBLANK(#REF!)," ",(K38-R38)*12)</f>
        <v>#REF!</v>
      </c>
      <c r="N38" s="520" t="s">
        <v>762</v>
      </c>
      <c r="P38" s="1652"/>
      <c r="R38" s="1651" t="e">
        <f>IF(ISBLANK(#REF!)," ",#REF!)</f>
        <v>#REF!</v>
      </c>
      <c r="S38" s="1649" t="s">
        <v>609</v>
      </c>
      <c r="V38" s="2686" t="s">
        <v>765</v>
      </c>
      <c r="W38" s="2686"/>
      <c r="X38" s="1654"/>
      <c r="Y38" s="526"/>
      <c r="AB38" s="1655"/>
    </row>
    <row r="39" spans="1:37" ht="15.75" customHeight="1">
      <c r="A39" s="554"/>
      <c r="C39" s="1649" t="s">
        <v>766</v>
      </c>
      <c r="D39" s="1649"/>
      <c r="E39" s="2649"/>
      <c r="F39" s="2649"/>
      <c r="G39" s="1649" t="s">
        <v>609</v>
      </c>
      <c r="H39" s="1096"/>
      <c r="I39" s="1649" t="s">
        <v>767</v>
      </c>
      <c r="J39" s="1649"/>
      <c r="K39" s="1651" t="e">
        <f>IF(ISBLANK(#REF!)," ",#REF!)</f>
        <v>#REF!</v>
      </c>
      <c r="L39" s="1649" t="s">
        <v>609</v>
      </c>
      <c r="M39" s="1817" t="e">
        <f>IF(ISBLANK(#REF!)," ",(K39-R39)*12)</f>
        <v>#REF!</v>
      </c>
      <c r="N39" s="520" t="s">
        <v>762</v>
      </c>
      <c r="P39" s="1652"/>
      <c r="R39" s="1651" t="e">
        <f>IF(ISBLANK(#REF!)," ",#REF!)</f>
        <v>#REF!</v>
      </c>
      <c r="S39" s="1649" t="s">
        <v>609</v>
      </c>
      <c r="V39" s="1656">
        <v>1</v>
      </c>
      <c r="W39" s="1657"/>
      <c r="X39" s="1657">
        <v>2</v>
      </c>
      <c r="Y39" s="526"/>
      <c r="AB39" s="1653"/>
    </row>
    <row r="40" spans="1:37" ht="15.75" customHeight="1">
      <c r="A40" s="554"/>
      <c r="B40" s="551"/>
      <c r="C40" s="1649" t="s">
        <v>768</v>
      </c>
      <c r="D40" s="1649"/>
      <c r="E40" s="2649"/>
      <c r="F40" s="2649"/>
      <c r="G40" s="1649" t="s">
        <v>609</v>
      </c>
      <c r="H40" s="1096"/>
      <c r="I40" s="1649" t="s">
        <v>769</v>
      </c>
      <c r="J40" s="1649"/>
      <c r="K40" s="1651" t="e">
        <f>IF(ISBLANK(#REF!)," ",#REF!)</f>
        <v>#REF!</v>
      </c>
      <c r="L40" s="1649" t="s">
        <v>609</v>
      </c>
      <c r="M40" s="1817" t="e">
        <f>IF(ISBLANK(#REF!)," ",(K40-R40)*12)</f>
        <v>#REF!</v>
      </c>
      <c r="N40" s="520" t="s">
        <v>762</v>
      </c>
      <c r="P40" s="1652"/>
      <c r="R40" s="1651" t="e">
        <f>IF(ISBLANK(#REF!)," ",#REF!)</f>
        <v>#REF!</v>
      </c>
      <c r="S40" s="1649" t="s">
        <v>609</v>
      </c>
      <c r="V40" s="551"/>
      <c r="W40" s="1658"/>
      <c r="X40" s="1659" t="s">
        <v>770</v>
      </c>
      <c r="Y40" s="526"/>
      <c r="Z40" s="551"/>
      <c r="AA40" s="551"/>
    </row>
    <row r="41" spans="1:37" ht="14.45" customHeight="1">
      <c r="A41" s="554"/>
      <c r="C41" s="1649" t="s">
        <v>771</v>
      </c>
      <c r="D41" s="1649"/>
      <c r="E41" s="2674" t="str">
        <f>IF(ISBLANK(Field!E17)," ",Field!E17)</f>
        <v xml:space="preserve"> </v>
      </c>
      <c r="F41" s="2674"/>
      <c r="G41" s="520" t="s">
        <v>624</v>
      </c>
      <c r="H41" s="1096"/>
      <c r="I41" s="1649" t="s">
        <v>772</v>
      </c>
      <c r="J41" s="1649"/>
      <c r="K41" s="1651" t="e">
        <f>IF(ISBLANK(#REF!)," ",#REF!)</f>
        <v>#REF!</v>
      </c>
      <c r="L41" s="1649" t="s">
        <v>609</v>
      </c>
      <c r="M41" s="1817" t="e">
        <f>IF(ISBLANK(#REF!)," ",(K41-R41)*12)</f>
        <v>#REF!</v>
      </c>
      <c r="N41" s="520" t="s">
        <v>762</v>
      </c>
      <c r="P41" s="1652"/>
      <c r="R41" s="1651" t="e">
        <f>IF(ISBLANK(#REF!)," ",#REF!)</f>
        <v>#REF!</v>
      </c>
      <c r="S41" s="1649" t="s">
        <v>609</v>
      </c>
      <c r="V41" s="1656">
        <v>3</v>
      </c>
      <c r="W41" s="1657"/>
      <c r="X41" s="1657" t="s">
        <v>773</v>
      </c>
      <c r="Y41" s="526"/>
    </row>
    <row r="42" spans="1:37" ht="14.45" customHeight="1">
      <c r="A42" s="554"/>
      <c r="C42" s="1649"/>
      <c r="D42" s="1649"/>
      <c r="E42" s="2673"/>
      <c r="F42" s="2673"/>
      <c r="G42" s="1649"/>
      <c r="H42" s="1096"/>
      <c r="I42" s="1649" t="s">
        <v>774</v>
      </c>
      <c r="J42" s="1649"/>
      <c r="K42" s="1651" t="e">
        <f>IF(ISBLANK(#REF!)," ",#REF!)</f>
        <v>#REF!</v>
      </c>
      <c r="L42" s="1649" t="s">
        <v>609</v>
      </c>
      <c r="M42" s="1817" t="e">
        <f>IF(ISBLANK(#REF!)," ",(K42-R42)*12)</f>
        <v>#REF!</v>
      </c>
      <c r="N42" s="520" t="s">
        <v>762</v>
      </c>
      <c r="P42" s="1652"/>
      <c r="R42" s="1651" t="e">
        <f>IF(ISBLANK(#REF!)," ",#REF!)</f>
        <v>#REF!</v>
      </c>
      <c r="S42" s="1649" t="s">
        <v>609</v>
      </c>
      <c r="U42" s="2675" t="s">
        <v>775</v>
      </c>
      <c r="V42" s="2675"/>
      <c r="W42" s="2675"/>
      <c r="X42" s="2675"/>
      <c r="Y42" s="526"/>
    </row>
    <row r="43" spans="1:37" ht="14.45" customHeight="1">
      <c r="A43" s="554"/>
      <c r="G43" s="1649"/>
      <c r="I43" s="1649" t="s">
        <v>776</v>
      </c>
      <c r="J43" s="1649"/>
      <c r="K43" s="1651" t="e">
        <f>IF(ISBLANK(#REF!)," ",#REF!)</f>
        <v>#REF!</v>
      </c>
      <c r="L43" s="1649" t="s">
        <v>609</v>
      </c>
      <c r="M43" s="1817" t="e">
        <f>IF(ISBLANK(#REF!)," ",(K43-R43)*12)</f>
        <v>#REF!</v>
      </c>
      <c r="N43" s="520" t="s">
        <v>762</v>
      </c>
      <c r="P43" s="1652"/>
      <c r="R43" s="1651" t="e">
        <f>IF(ISBLANK(#REF!)," ",#REF!)</f>
        <v>#REF!</v>
      </c>
      <c r="S43" s="1649" t="s">
        <v>609</v>
      </c>
      <c r="U43" s="2675"/>
      <c r="V43" s="2675"/>
      <c r="W43" s="2675"/>
      <c r="X43" s="2675"/>
      <c r="Y43" s="526"/>
    </row>
    <row r="44" spans="1:37" ht="14.45" customHeight="1">
      <c r="A44" s="554"/>
      <c r="C44" s="1649"/>
      <c r="D44" s="1649"/>
      <c r="E44" s="1649"/>
      <c r="F44" s="1649"/>
      <c r="G44" s="1649"/>
      <c r="H44" s="1649"/>
      <c r="I44" s="1649"/>
      <c r="J44" s="1649"/>
      <c r="K44" s="1649"/>
      <c r="L44" s="1649"/>
      <c r="M44" s="1662"/>
      <c r="N44" s="1662"/>
      <c r="O44" s="1662"/>
      <c r="P44" s="1662"/>
      <c r="Q44" s="1649"/>
      <c r="Y44" s="526"/>
    </row>
    <row r="45" spans="1:37" ht="14.45" customHeight="1">
      <c r="A45" s="554"/>
      <c r="C45" s="551" t="s">
        <v>230</v>
      </c>
      <c r="D45" s="551"/>
      <c r="K45" s="551" t="s">
        <v>777</v>
      </c>
      <c r="L45" s="1649"/>
      <c r="M45" s="1649"/>
      <c r="N45" s="1649"/>
      <c r="O45" s="1649"/>
      <c r="P45" s="1649"/>
      <c r="Q45" s="1649"/>
      <c r="Y45" s="526"/>
    </row>
    <row r="46" spans="1:37" ht="14.45" customHeight="1">
      <c r="A46" s="554"/>
      <c r="C46" s="1649" t="s">
        <v>778</v>
      </c>
      <c r="D46" s="1649"/>
      <c r="E46" s="1662"/>
      <c r="F46" s="1662"/>
      <c r="G46" s="1662"/>
      <c r="H46" s="2669"/>
      <c r="I46" s="2670"/>
      <c r="J46" s="1649" t="s">
        <v>609</v>
      </c>
      <c r="K46" s="1663" t="s">
        <v>779</v>
      </c>
      <c r="L46" s="1663"/>
      <c r="M46" s="1663" t="s">
        <v>780</v>
      </c>
      <c r="N46" s="1649"/>
      <c r="O46" s="1649"/>
      <c r="P46" s="1649"/>
      <c r="Q46" s="1664"/>
      <c r="Y46" s="526"/>
      <c r="AA46" s="520" t="s">
        <v>781</v>
      </c>
    </row>
    <row r="47" spans="1:37" ht="14.45" customHeight="1">
      <c r="A47" s="554"/>
      <c r="C47" s="1649" t="s">
        <v>219</v>
      </c>
      <c r="D47" s="1649"/>
      <c r="E47" s="1665"/>
      <c r="F47" s="1666"/>
      <c r="G47" s="1665" t="s">
        <v>782</v>
      </c>
      <c r="H47" s="2669" t="str">
        <f>IF(ISBLANK($H$46),"",(H46+($F$47/12)))</f>
        <v/>
      </c>
      <c r="I47" s="2670"/>
      <c r="J47" s="1649" t="s">
        <v>609</v>
      </c>
      <c r="K47" s="1667"/>
      <c r="L47" s="1645" t="s">
        <v>783</v>
      </c>
      <c r="M47" s="1667"/>
      <c r="N47" s="1668" t="s">
        <v>784</v>
      </c>
      <c r="Q47" s="1454"/>
      <c r="Y47" s="526"/>
    </row>
    <row r="48" spans="1:37" ht="14.45" customHeight="1">
      <c r="A48" s="554"/>
      <c r="C48" s="1649" t="s">
        <v>785</v>
      </c>
      <c r="D48" s="1649"/>
      <c r="E48" s="2673"/>
      <c r="F48" s="2673"/>
      <c r="G48" s="1649"/>
      <c r="H48" s="2664"/>
      <c r="I48" s="2665"/>
      <c r="J48" s="1649" t="s">
        <v>609</v>
      </c>
      <c r="K48" s="1667"/>
      <c r="L48" s="1645" t="s">
        <v>783</v>
      </c>
      <c r="M48" s="1667"/>
      <c r="N48" s="1649" t="s">
        <v>786</v>
      </c>
      <c r="Q48" s="1454"/>
      <c r="Y48" s="526"/>
      <c r="AA48" s="520" t="s">
        <v>787</v>
      </c>
    </row>
    <row r="49" spans="1:27" ht="14.45" customHeight="1">
      <c r="A49" s="554"/>
      <c r="C49" s="1649" t="s">
        <v>788</v>
      </c>
      <c r="D49" s="1649"/>
      <c r="E49" s="1649"/>
      <c r="F49" s="1649"/>
      <c r="G49" s="1649"/>
      <c r="H49" s="2671" t="str">
        <f>IF(ISBLANK($H$46),"",(H47+0.5))</f>
        <v/>
      </c>
      <c r="I49" s="2672"/>
      <c r="J49" s="1649" t="s">
        <v>609</v>
      </c>
      <c r="K49" s="1667"/>
      <c r="L49" s="1645" t="s">
        <v>783</v>
      </c>
      <c r="M49" s="1667"/>
      <c r="N49" s="1649" t="s">
        <v>789</v>
      </c>
      <c r="R49" s="1649"/>
      <c r="S49" s="1649"/>
      <c r="T49" s="1649"/>
      <c r="V49" s="1669"/>
      <c r="W49" s="1670"/>
      <c r="X49" s="1669"/>
      <c r="Y49" s="1671"/>
    </row>
    <row r="50" spans="1:27" ht="14.45" customHeight="1">
      <c r="A50" s="554"/>
      <c r="C50" s="1649" t="s">
        <v>790</v>
      </c>
      <c r="D50" s="1649"/>
      <c r="E50" s="1662"/>
      <c r="F50" s="1662"/>
      <c r="G50" s="1662"/>
      <c r="H50" s="2664" t="str">
        <f>IF(ISBLANK($H$46),"",(H49+0.2))</f>
        <v/>
      </c>
      <c r="I50" s="2665"/>
      <c r="J50" s="1649" t="s">
        <v>609</v>
      </c>
      <c r="Y50" s="526"/>
    </row>
    <row r="51" spans="1:27" s="1244" customFormat="1" ht="14.25" customHeight="1">
      <c r="A51" s="1647"/>
      <c r="C51" s="1649" t="s">
        <v>791</v>
      </c>
      <c r="D51" s="1649"/>
      <c r="E51" s="1662"/>
      <c r="F51" s="1662"/>
      <c r="G51" s="1662"/>
      <c r="H51" s="2664" t="str">
        <f>IF(ISBLANK($H$46),"",(H50+1))</f>
        <v/>
      </c>
      <c r="I51" s="2665"/>
      <c r="J51" s="1649" t="s">
        <v>609</v>
      </c>
      <c r="K51" s="520"/>
      <c r="L51" s="520"/>
      <c r="M51" s="520"/>
      <c r="N51" s="520"/>
      <c r="O51" s="520"/>
      <c r="R51" s="520"/>
      <c r="S51" s="520"/>
      <c r="T51" s="520"/>
      <c r="U51" s="1649"/>
      <c r="V51" s="1649"/>
      <c r="W51" s="520"/>
      <c r="X51" s="520"/>
      <c r="Y51" s="526"/>
    </row>
    <row r="52" spans="1:27" s="1244" customFormat="1" ht="14.25" customHeight="1">
      <c r="A52" s="1647"/>
      <c r="C52" s="1649"/>
      <c r="D52" s="1649"/>
      <c r="E52" s="1662"/>
      <c r="F52" s="1662"/>
      <c r="G52" s="1662"/>
      <c r="H52" s="1672"/>
      <c r="I52" s="1672"/>
      <c r="J52" s="1649"/>
      <c r="K52" s="520"/>
      <c r="L52" s="520"/>
      <c r="M52" s="520"/>
      <c r="N52" s="520"/>
      <c r="O52" s="520"/>
      <c r="R52" s="520"/>
      <c r="S52" s="520"/>
      <c r="T52" s="520"/>
      <c r="U52" s="1649"/>
      <c r="V52" s="1649"/>
      <c r="W52" s="520"/>
      <c r="X52" s="520"/>
      <c r="Y52" s="526"/>
    </row>
    <row r="53" spans="1:27" s="1244" customFormat="1" ht="14.45" customHeight="1">
      <c r="A53" s="1647"/>
      <c r="C53" s="1649"/>
      <c r="D53" s="1649"/>
      <c r="E53" s="1662"/>
      <c r="F53" s="1662"/>
      <c r="G53" s="1662"/>
      <c r="H53" s="1672"/>
      <c r="I53" s="1672"/>
      <c r="J53" s="1649"/>
      <c r="K53" s="520"/>
      <c r="L53" s="520"/>
      <c r="M53" s="520"/>
      <c r="N53" s="520"/>
      <c r="O53" s="520"/>
      <c r="R53" s="520"/>
      <c r="S53" s="520"/>
      <c r="T53" s="520"/>
      <c r="U53" s="1649"/>
      <c r="V53" s="1649"/>
      <c r="W53" s="520"/>
      <c r="X53" s="520"/>
      <c r="Y53" s="526"/>
    </row>
    <row r="54" spans="1:27" s="1244" customFormat="1" ht="14.45" customHeight="1">
      <c r="A54" s="1647"/>
      <c r="C54" s="551" t="s">
        <v>792</v>
      </c>
      <c r="D54" s="1649"/>
      <c r="E54" s="1662"/>
      <c r="F54" s="1662"/>
      <c r="G54" s="1662"/>
      <c r="H54" s="1672"/>
      <c r="I54" s="1672"/>
      <c r="J54" s="1649"/>
      <c r="K54" s="551" t="s">
        <v>793</v>
      </c>
      <c r="L54" s="520"/>
      <c r="M54" s="520"/>
      <c r="N54" s="520"/>
      <c r="O54" s="520"/>
      <c r="R54" s="520"/>
      <c r="S54" s="520"/>
      <c r="T54" s="520"/>
      <c r="U54" s="1649"/>
      <c r="V54" s="1649"/>
      <c r="W54" s="520"/>
      <c r="X54" s="520"/>
      <c r="Y54" s="526"/>
    </row>
    <row r="55" spans="1:27" s="1244" customFormat="1" ht="14.45" customHeight="1">
      <c r="A55" s="1647"/>
      <c r="C55" s="1649" t="s">
        <v>778</v>
      </c>
      <c r="D55" s="1649"/>
      <c r="E55" s="1662"/>
      <c r="F55" s="1662"/>
      <c r="G55" s="1662"/>
      <c r="H55" s="2669"/>
      <c r="I55" s="2670"/>
      <c r="J55" s="1649" t="s">
        <v>609</v>
      </c>
      <c r="K55" s="1663" t="s">
        <v>779</v>
      </c>
      <c r="L55" s="1663"/>
      <c r="M55" s="1663" t="s">
        <v>780</v>
      </c>
      <c r="N55" s="1649"/>
      <c r="O55" s="1649"/>
      <c r="P55" s="1649"/>
      <c r="R55" s="520"/>
      <c r="S55" s="520"/>
      <c r="T55" s="520"/>
      <c r="U55" s="1649"/>
      <c r="V55" s="1649"/>
      <c r="W55" s="520"/>
      <c r="X55" s="520"/>
      <c r="Y55" s="526"/>
      <c r="AA55" s="1244" t="s">
        <v>794</v>
      </c>
    </row>
    <row r="56" spans="1:27" s="1244" customFormat="1" ht="14.45" customHeight="1">
      <c r="A56" s="1647"/>
      <c r="C56" s="1649" t="s">
        <v>788</v>
      </c>
      <c r="D56" s="1649"/>
      <c r="E56" s="1649"/>
      <c r="F56" s="1649"/>
      <c r="G56" s="1649"/>
      <c r="H56" s="2671" t="str">
        <f>IF(ISBLANK($H$46),"",(H55+0.5))</f>
        <v/>
      </c>
      <c r="I56" s="2672"/>
      <c r="J56" s="1649" t="s">
        <v>609</v>
      </c>
      <c r="K56" s="1667"/>
      <c r="L56" s="1645" t="s">
        <v>783</v>
      </c>
      <c r="M56" s="1667" t="s">
        <v>795</v>
      </c>
      <c r="N56" s="1668" t="s">
        <v>784</v>
      </c>
      <c r="O56" s="520"/>
      <c r="P56" s="520"/>
      <c r="R56" s="520"/>
      <c r="S56" s="520"/>
      <c r="T56" s="520"/>
      <c r="U56" s="1649"/>
      <c r="V56" s="1649"/>
      <c r="W56" s="520"/>
      <c r="X56" s="520"/>
      <c r="Y56" s="526"/>
    </row>
    <row r="57" spans="1:27" s="1244" customFormat="1" ht="14.45" customHeight="1">
      <c r="A57" s="1647"/>
      <c r="C57" s="1649" t="s">
        <v>790</v>
      </c>
      <c r="D57" s="1649"/>
      <c r="E57" s="1662"/>
      <c r="F57" s="1662"/>
      <c r="G57" s="1662"/>
      <c r="H57" s="2664" t="str">
        <f>IF(ISBLANK($H$46),"",(H56+0.2))</f>
        <v/>
      </c>
      <c r="I57" s="2665"/>
      <c r="J57" s="1649" t="s">
        <v>609</v>
      </c>
      <c r="K57" s="1667"/>
      <c r="L57" s="1645" t="s">
        <v>783</v>
      </c>
      <c r="M57" s="1667"/>
      <c r="N57" s="1649" t="s">
        <v>786</v>
      </c>
      <c r="O57" s="520"/>
      <c r="P57" s="520"/>
      <c r="R57" s="520"/>
      <c r="S57" s="520"/>
      <c r="T57" s="520"/>
      <c r="U57" s="1649"/>
      <c r="V57" s="1649"/>
      <c r="W57" s="520"/>
      <c r="X57" s="520"/>
      <c r="Y57" s="526"/>
    </row>
    <row r="58" spans="1:27" ht="14.45" customHeight="1">
      <c r="A58" s="554"/>
      <c r="C58" s="1649" t="s">
        <v>791</v>
      </c>
      <c r="D58" s="1649"/>
      <c r="E58" s="1662"/>
      <c r="F58" s="1662"/>
      <c r="G58" s="1662"/>
      <c r="H58" s="2659" t="str">
        <f>IF(ISBLANK($H$46),"",(H57+1))</f>
        <v/>
      </c>
      <c r="I58" s="2659"/>
      <c r="J58" s="1649" t="s">
        <v>609</v>
      </c>
      <c r="K58" s="1667"/>
      <c r="L58" s="1645" t="s">
        <v>783</v>
      </c>
      <c r="M58" s="1667"/>
      <c r="N58" s="1649" t="s">
        <v>789</v>
      </c>
      <c r="Y58" s="526"/>
    </row>
    <row r="59" spans="1:27" ht="14.45" customHeight="1">
      <c r="A59" s="554"/>
      <c r="C59" s="1649"/>
      <c r="D59" s="1649"/>
      <c r="E59" s="1662"/>
      <c r="F59" s="1662"/>
      <c r="G59" s="1662"/>
      <c r="H59" s="1672"/>
      <c r="I59" s="1672"/>
      <c r="J59" s="1649"/>
      <c r="K59" s="1673"/>
      <c r="L59" s="1645"/>
      <c r="M59" s="1673"/>
      <c r="N59" s="1649"/>
      <c r="Y59" s="526"/>
    </row>
    <row r="60" spans="1:27">
      <c r="A60" s="554"/>
      <c r="C60" s="551" t="s">
        <v>796</v>
      </c>
      <c r="E60" s="1674" t="s">
        <v>797</v>
      </c>
      <c r="Y60" s="526"/>
    </row>
    <row r="61" spans="1:27" ht="18">
      <c r="A61" s="554"/>
      <c r="C61" s="551"/>
      <c r="E61" s="2656" t="s">
        <v>798</v>
      </c>
      <c r="F61" s="2656"/>
      <c r="G61" s="1663"/>
      <c r="H61" s="1660"/>
      <c r="I61" s="1649" t="s">
        <v>799</v>
      </c>
      <c r="K61" s="1453" t="s">
        <v>779</v>
      </c>
      <c r="L61" s="1675"/>
      <c r="M61" s="520" t="s">
        <v>609</v>
      </c>
      <c r="N61" s="520" t="s">
        <v>800</v>
      </c>
      <c r="R61" s="1675"/>
      <c r="S61" s="520" t="s">
        <v>801</v>
      </c>
      <c r="Y61" s="526"/>
    </row>
    <row r="62" spans="1:27" ht="15.75">
      <c r="A62" s="554"/>
      <c r="C62" s="551"/>
      <c r="E62" s="1453"/>
      <c r="F62" s="1676"/>
      <c r="G62" s="1663"/>
      <c r="H62" s="1661"/>
      <c r="I62" s="1649"/>
      <c r="K62" s="1677"/>
      <c r="Y62" s="526"/>
      <c r="AA62" s="520" t="s">
        <v>802</v>
      </c>
    </row>
    <row r="63" spans="1:27" ht="16.5" customHeight="1">
      <c r="A63" s="554"/>
      <c r="C63" s="2653" t="s">
        <v>803</v>
      </c>
      <c r="D63" s="2653"/>
      <c r="E63" s="1678"/>
      <c r="F63" s="1663" t="s">
        <v>804</v>
      </c>
      <c r="G63" s="1649"/>
      <c r="H63" s="1663" t="s">
        <v>805</v>
      </c>
      <c r="I63" s="1649"/>
      <c r="J63" s="1649"/>
      <c r="K63" s="1649" t="s">
        <v>806</v>
      </c>
      <c r="Y63" s="526"/>
    </row>
    <row r="64" spans="1:27" ht="15.75">
      <c r="A64" s="554"/>
      <c r="C64" s="2653"/>
      <c r="D64" s="2653"/>
      <c r="E64" s="1678"/>
      <c r="F64" s="1650"/>
      <c r="G64" s="1649" t="s">
        <v>629</v>
      </c>
      <c r="H64" s="1650"/>
      <c r="I64" s="1649" t="s">
        <v>629</v>
      </c>
      <c r="J64" s="1453"/>
      <c r="K64" s="1679">
        <v>1</v>
      </c>
      <c r="L64" s="2666" t="s">
        <v>807</v>
      </c>
      <c r="M64" s="2667"/>
      <c r="N64" s="2668">
        <f>H61/K64</f>
        <v>0</v>
      </c>
      <c r="O64" s="2668"/>
      <c r="P64" s="2668"/>
      <c r="Q64" s="1649" t="s">
        <v>799</v>
      </c>
      <c r="Y64" s="526"/>
    </row>
    <row r="65" spans="1:27" s="1244" customFormat="1" ht="12.6" customHeight="1">
      <c r="A65" s="1647"/>
      <c r="Y65" s="1376"/>
    </row>
    <row r="66" spans="1:27" ht="15" customHeight="1">
      <c r="A66" s="554"/>
      <c r="C66" s="520" t="s">
        <v>808</v>
      </c>
      <c r="D66" s="1650"/>
      <c r="E66" s="1649" t="s">
        <v>609</v>
      </c>
      <c r="F66" s="1680" t="str">
        <f>IF(ISBLANK($F$64),"",(D66-($F$64/12)))</f>
        <v/>
      </c>
      <c r="G66" s="1649" t="s">
        <v>609</v>
      </c>
      <c r="H66" s="1650" t="str">
        <f>IF(ISBLANK($H$64),"",(D66-($H$64/12)))</f>
        <v/>
      </c>
      <c r="I66" s="1649" t="s">
        <v>609</v>
      </c>
      <c r="K66" s="1650"/>
      <c r="L66" s="1649" t="s">
        <v>609</v>
      </c>
      <c r="Q66" s="1454"/>
      <c r="Y66" s="526"/>
    </row>
    <row r="67" spans="1:27" ht="15" customHeight="1">
      <c r="A67" s="554"/>
      <c r="C67" s="520" t="s">
        <v>809</v>
      </c>
      <c r="D67" s="1650"/>
      <c r="E67" s="1649" t="s">
        <v>609</v>
      </c>
      <c r="F67" s="1680" t="str">
        <f t="shared" ref="F67:F72" si="0">IF(ISBLANK($F$64),"",(D67-($F$64/12)))</f>
        <v/>
      </c>
      <c r="G67" s="1649" t="s">
        <v>609</v>
      </c>
      <c r="H67" s="1650" t="str">
        <f t="shared" ref="H67:H72" si="1">IF(ISBLANK($H$64),"",(D67-($H$64/12)))</f>
        <v/>
      </c>
      <c r="I67" s="1649" t="s">
        <v>609</v>
      </c>
      <c r="K67" s="1650"/>
      <c r="L67" s="1649" t="s">
        <v>609</v>
      </c>
      <c r="Q67" s="1454"/>
      <c r="R67" s="1649"/>
      <c r="Y67" s="526"/>
    </row>
    <row r="68" spans="1:27" ht="15" customHeight="1">
      <c r="A68" s="554"/>
      <c r="B68" s="1636"/>
      <c r="C68" s="520" t="s">
        <v>810</v>
      </c>
      <c r="D68" s="1650"/>
      <c r="E68" s="1649" t="s">
        <v>609</v>
      </c>
      <c r="F68" s="1680" t="str">
        <f t="shared" si="0"/>
        <v/>
      </c>
      <c r="G68" s="1649" t="s">
        <v>609</v>
      </c>
      <c r="H68" s="1650" t="str">
        <f t="shared" si="1"/>
        <v/>
      </c>
      <c r="I68" s="1649" t="s">
        <v>609</v>
      </c>
      <c r="J68" s="528"/>
      <c r="K68" s="1650"/>
      <c r="L68" s="1649" t="s">
        <v>609</v>
      </c>
      <c r="O68" s="819"/>
      <c r="P68" s="819"/>
      <c r="Q68" s="528"/>
      <c r="Y68" s="526"/>
      <c r="Z68" s="1244"/>
      <c r="AA68" s="1244"/>
    </row>
    <row r="69" spans="1:27" ht="15" customHeight="1">
      <c r="A69" s="554"/>
      <c r="C69" s="520" t="s">
        <v>811</v>
      </c>
      <c r="D69" s="1650"/>
      <c r="E69" s="1649" t="s">
        <v>609</v>
      </c>
      <c r="F69" s="1680" t="str">
        <f t="shared" si="0"/>
        <v/>
      </c>
      <c r="G69" s="1649" t="s">
        <v>609</v>
      </c>
      <c r="H69" s="1650" t="str">
        <f t="shared" si="1"/>
        <v/>
      </c>
      <c r="I69" s="1649" t="s">
        <v>609</v>
      </c>
      <c r="K69" s="1650"/>
      <c r="L69" s="1649" t="s">
        <v>609</v>
      </c>
      <c r="O69" s="819"/>
      <c r="P69" s="819"/>
      <c r="Q69" s="1244"/>
      <c r="R69" s="1681"/>
      <c r="Y69" s="526"/>
      <c r="Z69" s="1244"/>
      <c r="AA69" s="1244"/>
    </row>
    <row r="70" spans="1:27" ht="15" customHeight="1">
      <c r="A70" s="554"/>
      <c r="C70" s="520" t="s">
        <v>812</v>
      </c>
      <c r="D70" s="1650"/>
      <c r="E70" s="1649" t="s">
        <v>609</v>
      </c>
      <c r="F70" s="1680" t="str">
        <f t="shared" si="0"/>
        <v/>
      </c>
      <c r="G70" s="1649" t="s">
        <v>609</v>
      </c>
      <c r="H70" s="1650" t="str">
        <f t="shared" si="1"/>
        <v/>
      </c>
      <c r="I70" s="1649" t="s">
        <v>609</v>
      </c>
      <c r="K70" s="1650"/>
      <c r="L70" s="1649" t="s">
        <v>609</v>
      </c>
      <c r="O70" s="819"/>
      <c r="P70" s="819"/>
      <c r="Y70" s="526"/>
      <c r="Z70" s="1244"/>
      <c r="AA70" s="1244"/>
    </row>
    <row r="71" spans="1:27" ht="15" customHeight="1">
      <c r="A71" s="554"/>
      <c r="C71" s="520" t="s">
        <v>813</v>
      </c>
      <c r="D71" s="1650"/>
      <c r="E71" s="1649" t="s">
        <v>609</v>
      </c>
      <c r="F71" s="1680" t="str">
        <f t="shared" si="0"/>
        <v/>
      </c>
      <c r="G71" s="1649" t="s">
        <v>609</v>
      </c>
      <c r="H71" s="1650" t="str">
        <f t="shared" si="1"/>
        <v/>
      </c>
      <c r="I71" s="1649" t="s">
        <v>609</v>
      </c>
      <c r="K71" s="1650"/>
      <c r="L71" s="1649" t="s">
        <v>609</v>
      </c>
      <c r="O71" s="819"/>
      <c r="P71" s="819"/>
      <c r="Y71" s="526"/>
    </row>
    <row r="72" spans="1:27" ht="15" customHeight="1">
      <c r="A72" s="554"/>
      <c r="C72" s="520" t="s">
        <v>814</v>
      </c>
      <c r="D72" s="1650"/>
      <c r="E72" s="1649" t="s">
        <v>609</v>
      </c>
      <c r="F72" s="1680" t="str">
        <f t="shared" si="0"/>
        <v/>
      </c>
      <c r="G72" s="1649" t="s">
        <v>609</v>
      </c>
      <c r="H72" s="1650" t="str">
        <f t="shared" si="1"/>
        <v/>
      </c>
      <c r="I72" s="1649" t="s">
        <v>609</v>
      </c>
      <c r="K72" s="1650"/>
      <c r="L72" s="1649" t="s">
        <v>609</v>
      </c>
      <c r="P72" s="819"/>
      <c r="Y72" s="526"/>
    </row>
    <row r="73" spans="1:27" ht="13.5" customHeight="1">
      <c r="A73" s="554"/>
      <c r="Y73" s="526"/>
    </row>
    <row r="74" spans="1:27" ht="15" customHeight="1">
      <c r="A74" s="554"/>
      <c r="C74" s="551" t="s">
        <v>184</v>
      </c>
      <c r="H74" s="819"/>
      <c r="I74" s="1454"/>
      <c r="K74" s="551" t="s">
        <v>815</v>
      </c>
      <c r="R74" s="551" t="s">
        <v>816</v>
      </c>
      <c r="W74" s="1670"/>
      <c r="Y74" s="1671"/>
    </row>
    <row r="75" spans="1:27" ht="15" customHeight="1">
      <c r="A75" s="554"/>
      <c r="C75" s="1649" t="s">
        <v>778</v>
      </c>
      <c r="D75" s="1649"/>
      <c r="E75" s="1662"/>
      <c r="F75" s="1662"/>
      <c r="G75" s="1662"/>
      <c r="H75" s="2669"/>
      <c r="I75" s="2670"/>
      <c r="J75" s="1649" t="s">
        <v>609</v>
      </c>
      <c r="K75" s="2656" t="s">
        <v>760</v>
      </c>
      <c r="L75" s="2662"/>
      <c r="M75" s="2663"/>
      <c r="N75" s="2663"/>
      <c r="O75" s="1649" t="s">
        <v>609</v>
      </c>
      <c r="R75" s="1645" t="s">
        <v>779</v>
      </c>
      <c r="S75" s="1663"/>
      <c r="T75" s="1663" t="s">
        <v>780</v>
      </c>
      <c r="U75" s="1649"/>
      <c r="X75" s="1670"/>
      <c r="Y75" s="1671"/>
    </row>
    <row r="76" spans="1:27" ht="15" customHeight="1">
      <c r="A76" s="554"/>
      <c r="C76" s="1649" t="s">
        <v>817</v>
      </c>
      <c r="D76" s="1649"/>
      <c r="E76" s="1662"/>
      <c r="F76" s="1662"/>
      <c r="G76" s="1662"/>
      <c r="H76" s="2669"/>
      <c r="I76" s="2670"/>
      <c r="J76" s="1649" t="s">
        <v>609</v>
      </c>
      <c r="K76" s="2656" t="s">
        <v>763</v>
      </c>
      <c r="L76" s="2662"/>
      <c r="M76" s="2663"/>
      <c r="N76" s="2663"/>
      <c r="O76" s="1649" t="s">
        <v>609</v>
      </c>
      <c r="R76" s="1667"/>
      <c r="S76" s="1645" t="s">
        <v>783</v>
      </c>
      <c r="T76" s="1667"/>
      <c r="U76" s="1668" t="s">
        <v>784</v>
      </c>
      <c r="X76" s="1670"/>
      <c r="Y76" s="1671"/>
    </row>
    <row r="77" spans="1:27" ht="15" customHeight="1">
      <c r="A77" s="554"/>
      <c r="C77" s="1649" t="s">
        <v>788</v>
      </c>
      <c r="D77" s="1649"/>
      <c r="E77" s="1649"/>
      <c r="F77" s="1649"/>
      <c r="G77" s="1649"/>
      <c r="H77" s="2660" t="str">
        <f>IF(ISBLANK($H$46),"",(H75+0.5))</f>
        <v/>
      </c>
      <c r="I77" s="2661"/>
      <c r="J77" s="1649" t="s">
        <v>609</v>
      </c>
      <c r="K77" s="2656" t="s">
        <v>766</v>
      </c>
      <c r="L77" s="2662"/>
      <c r="M77" s="2663"/>
      <c r="N77" s="2663"/>
      <c r="O77" s="1649" t="s">
        <v>609</v>
      </c>
      <c r="R77" s="1667"/>
      <c r="S77" s="1645" t="s">
        <v>783</v>
      </c>
      <c r="T77" s="1667"/>
      <c r="U77" s="1649" t="s">
        <v>786</v>
      </c>
      <c r="X77" s="1670"/>
      <c r="Y77" s="1671"/>
    </row>
    <row r="78" spans="1:27" ht="15" customHeight="1">
      <c r="A78" s="554"/>
      <c r="C78" s="1649" t="s">
        <v>790</v>
      </c>
      <c r="D78" s="1649"/>
      <c r="E78" s="1662"/>
      <c r="F78" s="1662"/>
      <c r="G78" s="1662"/>
      <c r="H78" s="2664" t="str">
        <f>IF(ISBLANK($H$46),"",(H77+0.2))</f>
        <v/>
      </c>
      <c r="I78" s="2665"/>
      <c r="J78" s="1649" t="s">
        <v>609</v>
      </c>
      <c r="K78" s="2656" t="s">
        <v>768</v>
      </c>
      <c r="L78" s="2662"/>
      <c r="M78" s="2663"/>
      <c r="N78" s="2663"/>
      <c r="O78" s="1649" t="s">
        <v>609</v>
      </c>
      <c r="X78" s="1670"/>
      <c r="Y78" s="1671"/>
    </row>
    <row r="79" spans="1:27" ht="15" customHeight="1">
      <c r="A79" s="554"/>
      <c r="C79" s="1649" t="s">
        <v>791</v>
      </c>
      <c r="D79" s="1649"/>
      <c r="E79" s="1662"/>
      <c r="F79" s="1662"/>
      <c r="G79" s="1662"/>
      <c r="H79" s="2659" t="str">
        <f>IF(ISBLANK($H$46),"",(H78+1))</f>
        <v/>
      </c>
      <c r="I79" s="2659"/>
      <c r="J79" s="1649" t="s">
        <v>609</v>
      </c>
      <c r="S79" s="1682"/>
      <c r="X79" s="1670"/>
      <c r="Y79" s="1671"/>
    </row>
    <row r="80" spans="1:27" ht="15" customHeight="1">
      <c r="A80" s="554"/>
      <c r="X80" s="1670"/>
      <c r="Y80" s="1671"/>
    </row>
    <row r="81" spans="1:50" ht="14.45" customHeight="1">
      <c r="A81" s="554"/>
      <c r="B81" s="551"/>
      <c r="C81" s="551" t="s">
        <v>818</v>
      </c>
      <c r="I81" s="520" t="s">
        <v>819</v>
      </c>
      <c r="J81" s="1637"/>
      <c r="Q81" s="1454"/>
      <c r="R81" s="1662"/>
      <c r="S81" s="1662"/>
      <c r="T81" s="1662"/>
      <c r="V81" s="1683"/>
      <c r="W81" s="1670"/>
      <c r="X81" s="1683"/>
      <c r="Y81" s="1671"/>
      <c r="Z81" s="551"/>
      <c r="AA81" s="551" t="s">
        <v>820</v>
      </c>
      <c r="AB81" s="551"/>
      <c r="AC81" s="551"/>
      <c r="AD81" s="551"/>
      <c r="AE81" s="551"/>
      <c r="AF81" s="551"/>
      <c r="AG81" s="551"/>
    </row>
    <row r="82" spans="1:50" ht="15.75">
      <c r="A82" s="554"/>
      <c r="C82" s="2656" t="s">
        <v>760</v>
      </c>
      <c r="D82" s="2656"/>
      <c r="E82" s="2649"/>
      <c r="F82" s="2649"/>
      <c r="G82" s="1649" t="s">
        <v>609</v>
      </c>
      <c r="H82" s="1662"/>
      <c r="I82" s="1645" t="s">
        <v>821</v>
      </c>
      <c r="K82" s="2657"/>
      <c r="L82" s="2658"/>
      <c r="M82" s="1649" t="s">
        <v>609</v>
      </c>
      <c r="O82" s="1662"/>
      <c r="P82" s="1662"/>
      <c r="Q82" s="1649"/>
      <c r="R82" s="1649"/>
      <c r="S82" s="1649"/>
      <c r="T82" s="1649"/>
      <c r="V82" s="1683"/>
      <c r="W82" s="1670"/>
      <c r="X82" s="1683"/>
      <c r="Y82" s="1671"/>
    </row>
    <row r="83" spans="1:50" ht="15.75">
      <c r="A83" s="554"/>
      <c r="C83" s="2656" t="s">
        <v>763</v>
      </c>
      <c r="D83" s="2656"/>
      <c r="E83" s="2649"/>
      <c r="F83" s="2649"/>
      <c r="G83" s="1649" t="s">
        <v>609</v>
      </c>
      <c r="H83" s="1665"/>
      <c r="I83" s="1645" t="s">
        <v>822</v>
      </c>
      <c r="K83" s="2657"/>
      <c r="L83" s="2658"/>
      <c r="M83" s="1649" t="s">
        <v>609</v>
      </c>
      <c r="O83" s="1662"/>
      <c r="P83" s="1662"/>
      <c r="Q83" s="1649"/>
      <c r="R83" s="2655"/>
      <c r="S83" s="2655"/>
      <c r="T83" s="2655"/>
      <c r="V83" s="1669"/>
      <c r="W83" s="1670"/>
      <c r="X83" s="1669"/>
      <c r="Y83" s="1671"/>
    </row>
    <row r="84" spans="1:50" ht="15.75">
      <c r="A84" s="554"/>
      <c r="C84" s="2656" t="s">
        <v>766</v>
      </c>
      <c r="D84" s="2656"/>
      <c r="E84" s="2649"/>
      <c r="F84" s="2649"/>
      <c r="G84" s="1649" t="s">
        <v>609</v>
      </c>
      <c r="H84" s="1665"/>
      <c r="I84" s="1645" t="s">
        <v>823</v>
      </c>
      <c r="K84" s="2657"/>
      <c r="L84" s="2658"/>
      <c r="M84" s="1649" t="s">
        <v>609</v>
      </c>
      <c r="O84" s="1662"/>
      <c r="P84" s="1662"/>
      <c r="Q84" s="1649"/>
      <c r="R84" s="1649"/>
      <c r="S84" s="1649"/>
      <c r="T84" s="1649"/>
      <c r="V84" s="1669"/>
      <c r="W84" s="1670"/>
      <c r="X84" s="1669"/>
      <c r="Y84" s="1671"/>
    </row>
    <row r="85" spans="1:50" ht="15.75">
      <c r="A85" s="554"/>
      <c r="C85" s="2656" t="s">
        <v>768</v>
      </c>
      <c r="D85" s="2656"/>
      <c r="E85" s="2649"/>
      <c r="F85" s="2649"/>
      <c r="G85" s="1649" t="s">
        <v>609</v>
      </c>
      <c r="H85" s="1665"/>
      <c r="I85" s="1645" t="s">
        <v>824</v>
      </c>
      <c r="K85" s="2657"/>
      <c r="L85" s="2658"/>
      <c r="M85" s="1649" t="s">
        <v>609</v>
      </c>
      <c r="O85" s="1662"/>
      <c r="P85" s="1662"/>
      <c r="Q85" s="1649"/>
      <c r="R85" s="1649"/>
      <c r="S85" s="1649"/>
      <c r="T85" s="1649"/>
      <c r="V85" s="1669"/>
      <c r="W85" s="1670"/>
      <c r="X85" s="1669"/>
      <c r="Y85" s="1671"/>
    </row>
    <row r="86" spans="1:50" ht="9.6" customHeight="1">
      <c r="A86" s="554"/>
      <c r="E86" s="819"/>
      <c r="F86" s="819"/>
      <c r="G86" s="819"/>
      <c r="H86" s="1453"/>
      <c r="I86" s="1453"/>
      <c r="L86" s="1096"/>
      <c r="N86" s="819"/>
      <c r="P86" s="819"/>
      <c r="Q86" s="1454"/>
      <c r="R86" s="1649"/>
      <c r="S86" s="1649"/>
      <c r="T86" s="1649"/>
      <c r="V86" s="1669"/>
      <c r="W86" s="1670"/>
      <c r="X86" s="1669"/>
      <c r="Y86" s="1671"/>
    </row>
    <row r="87" spans="1:50">
      <c r="A87" s="554"/>
      <c r="B87" s="520" t="s">
        <v>719</v>
      </c>
      <c r="Y87" s="526"/>
    </row>
    <row r="88" spans="1:50" ht="57" customHeight="1">
      <c r="A88" s="554"/>
      <c r="B88" s="2643"/>
      <c r="C88" s="2643"/>
      <c r="D88" s="2643"/>
      <c r="E88" s="2643"/>
      <c r="F88" s="2643"/>
      <c r="G88" s="2643"/>
      <c r="H88" s="2643"/>
      <c r="I88" s="2643"/>
      <c r="J88" s="2643"/>
      <c r="K88" s="2643"/>
      <c r="L88" s="2643"/>
      <c r="M88" s="2643"/>
      <c r="N88" s="2643"/>
      <c r="O88" s="2643"/>
      <c r="P88" s="2643"/>
      <c r="Q88" s="2643"/>
      <c r="R88" s="2643"/>
      <c r="S88" s="2643"/>
      <c r="T88" s="2643"/>
      <c r="U88" s="2643"/>
      <c r="V88" s="2643"/>
      <c r="W88" s="2643"/>
      <c r="X88" s="2643"/>
      <c r="Y88" s="1684"/>
      <c r="AA88" s="1685"/>
      <c r="AB88" s="1685"/>
      <c r="AC88" s="1685"/>
      <c r="AD88" s="1685"/>
      <c r="AE88" s="1685"/>
      <c r="AF88" s="1685"/>
      <c r="AG88" s="1685"/>
      <c r="AH88" s="1685"/>
      <c r="AI88" s="1685"/>
      <c r="AJ88" s="1685"/>
      <c r="AK88" s="1685"/>
      <c r="AL88" s="1685"/>
      <c r="AM88" s="1685"/>
      <c r="AN88" s="1685"/>
      <c r="AO88" s="1685"/>
      <c r="AP88" s="1685"/>
      <c r="AQ88" s="1685"/>
      <c r="AR88" s="1685"/>
      <c r="AS88" s="1685"/>
      <c r="AT88" s="1685"/>
      <c r="AU88" s="1685"/>
      <c r="AV88" s="1685"/>
      <c r="AW88" s="1685"/>
      <c r="AX88" s="1685"/>
    </row>
    <row r="89" spans="1:50" ht="18" customHeight="1">
      <c r="A89" s="554"/>
      <c r="Y89" s="526"/>
    </row>
    <row r="90" spans="1:50" ht="17.25" customHeight="1" thickBot="1">
      <c r="A90" s="829"/>
      <c r="B90" s="830"/>
      <c r="C90" s="830"/>
      <c r="D90" s="830"/>
      <c r="E90" s="830"/>
      <c r="F90" s="830"/>
      <c r="G90" s="830"/>
      <c r="H90" s="830"/>
      <c r="I90" s="830"/>
      <c r="J90" s="830"/>
      <c r="K90" s="830"/>
      <c r="L90" s="830"/>
      <c r="M90" s="830"/>
      <c r="N90" s="830"/>
      <c r="O90" s="830"/>
      <c r="P90" s="830"/>
      <c r="Q90" s="830"/>
      <c r="R90" s="830"/>
      <c r="S90" s="830"/>
      <c r="T90" s="830"/>
      <c r="U90" s="830"/>
      <c r="V90" s="830"/>
      <c r="W90" s="830"/>
      <c r="X90" s="830"/>
      <c r="Y90" s="831"/>
    </row>
    <row r="91" spans="1:50" ht="17.25" customHeight="1">
      <c r="A91" s="554"/>
      <c r="Y91" s="526"/>
    </row>
    <row r="92" spans="1:50" ht="17.25" customHeight="1">
      <c r="A92" s="554"/>
      <c r="Y92" s="526"/>
    </row>
    <row r="93" spans="1:50" ht="17.25" customHeight="1">
      <c r="A93" s="554"/>
      <c r="C93" s="551" t="s">
        <v>825</v>
      </c>
      <c r="Y93" s="526"/>
    </row>
    <row r="94" spans="1:50" ht="17.25" customHeight="1">
      <c r="A94" s="554"/>
      <c r="B94" s="1686" t="s">
        <v>826</v>
      </c>
      <c r="H94" s="1650"/>
      <c r="I94" s="1649" t="s">
        <v>609</v>
      </c>
      <c r="Y94" s="526"/>
    </row>
    <row r="95" spans="1:50" ht="17.25" customHeight="1">
      <c r="A95" s="554"/>
      <c r="B95" s="1686" t="s">
        <v>827</v>
      </c>
      <c r="H95" s="1650"/>
      <c r="I95" s="1649" t="s">
        <v>609</v>
      </c>
      <c r="Y95" s="526"/>
    </row>
    <row r="96" spans="1:50" ht="17.25" customHeight="1">
      <c r="A96" s="554"/>
      <c r="B96" s="1686" t="s">
        <v>828</v>
      </c>
      <c r="H96" s="1650"/>
      <c r="I96" s="1649" t="s">
        <v>829</v>
      </c>
      <c r="Y96" s="526"/>
    </row>
    <row r="97" spans="1:36" ht="17.25" customHeight="1">
      <c r="A97" s="554"/>
      <c r="Y97" s="526"/>
    </row>
    <row r="98" spans="1:36" ht="17.25" customHeight="1">
      <c r="A98" s="554"/>
      <c r="C98" s="551" t="s">
        <v>830</v>
      </c>
      <c r="K98" s="1599" t="s">
        <v>831</v>
      </c>
      <c r="M98" s="2654" t="s">
        <v>830</v>
      </c>
      <c r="N98" s="2654"/>
      <c r="O98" s="2654"/>
      <c r="P98" s="2654"/>
      <c r="Q98" s="2654"/>
      <c r="R98" s="2654"/>
      <c r="S98" s="2654"/>
      <c r="W98" s="1599" t="s">
        <v>831</v>
      </c>
      <c r="Y98" s="526"/>
      <c r="AA98" s="1687" t="s">
        <v>832</v>
      </c>
      <c r="AC98" s="520" t="s">
        <v>833</v>
      </c>
    </row>
    <row r="99" spans="1:36" ht="17.25" customHeight="1">
      <c r="A99" s="554"/>
      <c r="B99" s="2648" t="s">
        <v>834</v>
      </c>
      <c r="C99" s="2648"/>
      <c r="D99" s="1687" t="s">
        <v>835</v>
      </c>
      <c r="E99" s="1649"/>
      <c r="F99" s="1649"/>
      <c r="H99" s="1650"/>
      <c r="I99" s="1649" t="s">
        <v>609</v>
      </c>
      <c r="J99" s="1649"/>
      <c r="K99" s="1649"/>
      <c r="M99" s="2648" t="s">
        <v>836</v>
      </c>
      <c r="N99" s="2648"/>
      <c r="O99" s="2648"/>
      <c r="P99" s="1687" t="s">
        <v>835</v>
      </c>
      <c r="Q99" s="1649"/>
      <c r="R99" s="1649"/>
      <c r="T99" s="2649"/>
      <c r="U99" s="2649"/>
      <c r="V99" s="1649" t="s">
        <v>609</v>
      </c>
      <c r="W99" s="1649"/>
      <c r="Y99" s="526"/>
    </row>
    <row r="100" spans="1:36" ht="17.25" customHeight="1">
      <c r="A100" s="554"/>
      <c r="B100" s="2648" t="s">
        <v>834</v>
      </c>
      <c r="C100" s="2648"/>
      <c r="D100" s="1649" t="s">
        <v>837</v>
      </c>
      <c r="E100" s="1649"/>
      <c r="F100" s="1649"/>
      <c r="H100" s="1650"/>
      <c r="I100" s="1649" t="s">
        <v>609</v>
      </c>
      <c r="K100" s="1660"/>
      <c r="L100" s="1649" t="s">
        <v>609</v>
      </c>
      <c r="M100" s="2648" t="s">
        <v>836</v>
      </c>
      <c r="N100" s="2648"/>
      <c r="O100" s="2648"/>
      <c r="P100" s="1649" t="s">
        <v>837</v>
      </c>
      <c r="Q100" s="1649"/>
      <c r="R100" s="1649"/>
      <c r="T100" s="2649"/>
      <c r="U100" s="2649"/>
      <c r="V100" s="1649" t="s">
        <v>609</v>
      </c>
      <c r="W100" s="1660"/>
      <c r="X100" s="1649" t="s">
        <v>609</v>
      </c>
      <c r="Y100" s="526"/>
    </row>
    <row r="101" spans="1:36" ht="17.25" customHeight="1">
      <c r="A101" s="554"/>
      <c r="B101" s="2648" t="s">
        <v>834</v>
      </c>
      <c r="C101" s="2648"/>
      <c r="D101" s="1688" t="s">
        <v>838</v>
      </c>
      <c r="E101" s="1649"/>
      <c r="F101" s="1649"/>
      <c r="H101" s="1650"/>
      <c r="I101" s="1649" t="s">
        <v>609</v>
      </c>
      <c r="J101" s="1649"/>
      <c r="K101" s="1660"/>
      <c r="L101" s="1649" t="s">
        <v>609</v>
      </c>
      <c r="M101" s="2648" t="s">
        <v>836</v>
      </c>
      <c r="N101" s="2648"/>
      <c r="O101" s="2648"/>
      <c r="P101" s="1688" t="s">
        <v>838</v>
      </c>
      <c r="Q101" s="1649"/>
      <c r="R101" s="1649"/>
      <c r="T101" s="2649"/>
      <c r="U101" s="2649"/>
      <c r="V101" s="1649" t="s">
        <v>609</v>
      </c>
      <c r="W101" s="1660"/>
      <c r="X101" s="1649" t="s">
        <v>609</v>
      </c>
      <c r="Y101" s="526"/>
    </row>
    <row r="102" spans="1:36" ht="17.25" customHeight="1">
      <c r="A102" s="554"/>
      <c r="C102" s="551"/>
      <c r="D102" s="1649"/>
      <c r="E102" s="1649"/>
      <c r="F102" s="1649"/>
      <c r="H102" s="1689"/>
      <c r="I102" s="1649"/>
      <c r="K102" s="1663"/>
      <c r="M102" s="1453"/>
      <c r="N102" s="1453"/>
      <c r="O102" s="1453"/>
      <c r="Q102" s="1686"/>
      <c r="R102" s="1686"/>
      <c r="S102" s="1686"/>
      <c r="T102" s="1686"/>
      <c r="Y102" s="526"/>
    </row>
    <row r="103" spans="1:36" ht="17.25" customHeight="1">
      <c r="A103" s="554"/>
      <c r="B103" s="2648" t="s">
        <v>839</v>
      </c>
      <c r="C103" s="2648"/>
      <c r="D103" s="1687" t="s">
        <v>835</v>
      </c>
      <c r="E103" s="1649"/>
      <c r="F103" s="1649"/>
      <c r="H103" s="1650"/>
      <c r="I103" s="1649" t="s">
        <v>609</v>
      </c>
      <c r="J103" s="1649"/>
      <c r="K103" s="1649"/>
      <c r="M103" s="2648" t="s">
        <v>840</v>
      </c>
      <c r="N103" s="2648"/>
      <c r="O103" s="2648"/>
      <c r="P103" s="1687" t="s">
        <v>835</v>
      </c>
      <c r="Q103" s="1649"/>
      <c r="R103" s="1649"/>
      <c r="T103" s="2649"/>
      <c r="U103" s="2649"/>
      <c r="V103" s="1649" t="s">
        <v>609</v>
      </c>
      <c r="W103" s="1649"/>
      <c r="Y103" s="526"/>
    </row>
    <row r="104" spans="1:36" ht="17.25" customHeight="1">
      <c r="A104" s="554"/>
      <c r="B104" s="2648" t="s">
        <v>839</v>
      </c>
      <c r="C104" s="2648"/>
      <c r="D104" s="1649" t="s">
        <v>837</v>
      </c>
      <c r="E104" s="1649"/>
      <c r="F104" s="1649"/>
      <c r="H104" s="1650"/>
      <c r="I104" s="1649" t="s">
        <v>609</v>
      </c>
      <c r="K104" s="1660"/>
      <c r="L104" s="1649" t="s">
        <v>609</v>
      </c>
      <c r="M104" s="2648" t="s">
        <v>840</v>
      </c>
      <c r="N104" s="2648"/>
      <c r="O104" s="2648"/>
      <c r="P104" s="1649" t="s">
        <v>837</v>
      </c>
      <c r="Q104" s="1649"/>
      <c r="R104" s="1649"/>
      <c r="T104" s="2649"/>
      <c r="U104" s="2649"/>
      <c r="V104" s="1649" t="s">
        <v>609</v>
      </c>
      <c r="W104" s="1660"/>
      <c r="X104" s="1649" t="s">
        <v>609</v>
      </c>
      <c r="Y104" s="526"/>
    </row>
    <row r="105" spans="1:36" ht="17.25" customHeight="1">
      <c r="A105" s="554"/>
      <c r="B105" s="2648" t="s">
        <v>839</v>
      </c>
      <c r="C105" s="2648"/>
      <c r="D105" s="1688" t="s">
        <v>838</v>
      </c>
      <c r="E105" s="1649"/>
      <c r="F105" s="1649"/>
      <c r="H105" s="1650"/>
      <c r="I105" s="1649" t="s">
        <v>609</v>
      </c>
      <c r="J105" s="1649"/>
      <c r="K105" s="1660"/>
      <c r="L105" s="1649" t="s">
        <v>609</v>
      </c>
      <c r="M105" s="2648" t="s">
        <v>840</v>
      </c>
      <c r="N105" s="2648"/>
      <c r="O105" s="2648"/>
      <c r="P105" s="1688" t="s">
        <v>838</v>
      </c>
      <c r="Q105" s="1649"/>
      <c r="R105" s="1649"/>
      <c r="T105" s="2649"/>
      <c r="U105" s="2649"/>
      <c r="V105" s="1649" t="s">
        <v>609</v>
      </c>
      <c r="W105" s="1660"/>
      <c r="X105" s="1649" t="s">
        <v>609</v>
      </c>
      <c r="Y105" s="526"/>
    </row>
    <row r="106" spans="1:36" ht="17.25" customHeight="1">
      <c r="A106" s="554"/>
      <c r="B106" s="1690"/>
      <c r="C106" s="1690"/>
      <c r="D106" s="1688"/>
      <c r="E106" s="1649"/>
      <c r="F106" s="1649"/>
      <c r="H106" s="1661"/>
      <c r="I106" s="1649"/>
      <c r="J106" s="1649"/>
      <c r="K106" s="1661"/>
      <c r="M106" s="1453"/>
      <c r="N106" s="1453"/>
      <c r="O106" s="1453"/>
      <c r="Y106" s="526"/>
    </row>
    <row r="107" spans="1:36" ht="17.25" customHeight="1">
      <c r="A107" s="554"/>
      <c r="B107" s="2648" t="s">
        <v>841</v>
      </c>
      <c r="C107" s="2648"/>
      <c r="D107" s="1649" t="s">
        <v>842</v>
      </c>
      <c r="E107" s="1649"/>
      <c r="F107" s="1649"/>
      <c r="H107" s="1650"/>
      <c r="I107" s="1649" t="s">
        <v>609</v>
      </c>
      <c r="J107" s="1661"/>
      <c r="K107" s="1649"/>
      <c r="M107" s="2648" t="s">
        <v>843</v>
      </c>
      <c r="N107" s="2648"/>
      <c r="O107" s="2648"/>
      <c r="P107" s="1687" t="s">
        <v>835</v>
      </c>
      <c r="Q107" s="1649"/>
      <c r="R107" s="1649"/>
      <c r="T107" s="2649"/>
      <c r="U107" s="2649"/>
      <c r="V107" s="1649" t="s">
        <v>609</v>
      </c>
      <c r="W107" s="1649"/>
      <c r="Y107" s="526"/>
    </row>
    <row r="108" spans="1:36" ht="17.25" customHeight="1">
      <c r="A108" s="554"/>
      <c r="B108" s="2648" t="s">
        <v>841</v>
      </c>
      <c r="C108" s="2648"/>
      <c r="D108" s="1649" t="s">
        <v>844</v>
      </c>
      <c r="E108" s="1649"/>
      <c r="F108" s="1649"/>
      <c r="H108" s="1650"/>
      <c r="I108" s="1649" t="s">
        <v>609</v>
      </c>
      <c r="K108" s="1650"/>
      <c r="L108" s="1649" t="s">
        <v>609</v>
      </c>
      <c r="M108" s="2648" t="s">
        <v>843</v>
      </c>
      <c r="N108" s="2648"/>
      <c r="O108" s="2648"/>
      <c r="P108" s="1649" t="s">
        <v>837</v>
      </c>
      <c r="Q108" s="1649"/>
      <c r="R108" s="1649"/>
      <c r="T108" s="2649"/>
      <c r="U108" s="2649"/>
      <c r="V108" s="1649" t="s">
        <v>609</v>
      </c>
      <c r="W108" s="1660"/>
      <c r="X108" s="1649" t="s">
        <v>609</v>
      </c>
      <c r="Y108" s="526"/>
    </row>
    <row r="109" spans="1:36" ht="17.25" customHeight="1">
      <c r="A109" s="554"/>
      <c r="B109" s="2648" t="s">
        <v>841</v>
      </c>
      <c r="C109" s="2648"/>
      <c r="D109" s="1645" t="s">
        <v>845</v>
      </c>
      <c r="F109" s="1661"/>
      <c r="H109" s="1650"/>
      <c r="I109" s="1649" t="s">
        <v>609</v>
      </c>
      <c r="K109" s="1649"/>
      <c r="M109" s="2648" t="s">
        <v>843</v>
      </c>
      <c r="N109" s="2648"/>
      <c r="O109" s="2648"/>
      <c r="P109" s="1688" t="s">
        <v>838</v>
      </c>
      <c r="Q109" s="1649"/>
      <c r="R109" s="1649"/>
      <c r="T109" s="2649"/>
      <c r="U109" s="2649"/>
      <c r="V109" s="1649" t="s">
        <v>609</v>
      </c>
      <c r="W109" s="1660"/>
      <c r="X109" s="1649" t="s">
        <v>609</v>
      </c>
      <c r="Y109" s="526"/>
    </row>
    <row r="110" spans="1:36" ht="24" customHeight="1">
      <c r="A110" s="554"/>
      <c r="B110" s="1690"/>
      <c r="C110" s="1690"/>
      <c r="D110" s="1688"/>
      <c r="E110" s="1649"/>
      <c r="F110" s="1649"/>
      <c r="H110" s="1661"/>
      <c r="I110" s="1649"/>
      <c r="J110" s="1649"/>
      <c r="K110" s="1661"/>
      <c r="Q110" s="1686"/>
      <c r="R110" s="1686"/>
      <c r="S110" s="1686"/>
      <c r="T110" s="1686"/>
      <c r="Y110" s="526"/>
    </row>
    <row r="111" spans="1:36" ht="17.25" customHeight="1">
      <c r="A111" s="554"/>
      <c r="C111" s="551" t="s">
        <v>846</v>
      </c>
      <c r="Y111" s="526"/>
      <c r="AE111" s="1649"/>
      <c r="AG111" s="1669"/>
      <c r="AH111" s="1670"/>
      <c r="AI111" s="1691" t="s">
        <v>847</v>
      </c>
      <c r="AJ111" s="1670"/>
    </row>
    <row r="112" spans="1:36" ht="17.25" customHeight="1">
      <c r="A112" s="554"/>
      <c r="D112" s="1649" t="s">
        <v>848</v>
      </c>
      <c r="H112" s="1650"/>
      <c r="I112" s="1670" t="s">
        <v>609</v>
      </c>
      <c r="Y112" s="526"/>
      <c r="AD112" s="2650" t="s">
        <v>849</v>
      </c>
      <c r="AE112" s="2650"/>
      <c r="AF112" s="2650"/>
      <c r="AG112" s="2650"/>
      <c r="AH112" s="2650"/>
      <c r="AJ112" s="1670"/>
    </row>
    <row r="113" spans="1:36" ht="17.25" customHeight="1">
      <c r="A113" s="554"/>
      <c r="D113" s="1649" t="s">
        <v>850</v>
      </c>
      <c r="H113" s="1660"/>
      <c r="I113" s="1649" t="s">
        <v>829</v>
      </c>
      <c r="Y113" s="526"/>
      <c r="AD113" s="2650"/>
      <c r="AE113" s="2650"/>
      <c r="AF113" s="2650"/>
      <c r="AG113" s="2650"/>
      <c r="AH113" s="2650"/>
      <c r="AI113" s="1650" t="str">
        <f>IF(ISBLANK(H107),"",(H49-F109))</f>
        <v/>
      </c>
      <c r="AJ113" s="1244" t="s">
        <v>609</v>
      </c>
    </row>
    <row r="114" spans="1:36" ht="17.25" customHeight="1">
      <c r="A114" s="554"/>
      <c r="Y114" s="526"/>
      <c r="AD114" s="2651" t="s">
        <v>851</v>
      </c>
      <c r="AE114" s="2651"/>
      <c r="AF114" s="2651"/>
      <c r="AG114" s="2651"/>
      <c r="AH114" s="2651"/>
      <c r="AI114" s="895"/>
      <c r="AJ114" s="1670"/>
    </row>
    <row r="115" spans="1:36" ht="17.25" customHeight="1">
      <c r="A115" s="554"/>
      <c r="C115" s="551" t="s">
        <v>852</v>
      </c>
      <c r="J115" s="1244"/>
      <c r="Y115" s="526"/>
      <c r="AD115" s="2651"/>
      <c r="AE115" s="2651"/>
      <c r="AF115" s="2651"/>
      <c r="AG115" s="2651"/>
      <c r="AH115" s="2651"/>
      <c r="AJ115" s="1244"/>
    </row>
    <row r="116" spans="1:36" ht="17.25" customHeight="1">
      <c r="A116" s="554"/>
      <c r="C116" s="1678"/>
      <c r="D116" s="2652" t="s">
        <v>853</v>
      </c>
      <c r="E116" s="2653"/>
      <c r="F116" s="2653"/>
      <c r="G116" s="2653"/>
      <c r="H116" s="1660"/>
      <c r="I116" s="1670" t="s">
        <v>609</v>
      </c>
      <c r="Y116" s="526"/>
      <c r="AD116" s="2651"/>
      <c r="AE116" s="2651"/>
      <c r="AF116" s="2651"/>
      <c r="AG116" s="2651"/>
      <c r="AH116" s="2651"/>
      <c r="AI116" s="1650"/>
      <c r="AJ116" s="1670" t="s">
        <v>609</v>
      </c>
    </row>
    <row r="117" spans="1:36" ht="17.25" customHeight="1">
      <c r="A117" s="554"/>
      <c r="C117" s="1678"/>
      <c r="D117" s="1678"/>
      <c r="E117" s="1678"/>
      <c r="F117" s="1678"/>
      <c r="G117" s="1678"/>
      <c r="H117" s="1661"/>
      <c r="I117" s="1244"/>
      <c r="Y117" s="526"/>
      <c r="AF117" s="1244"/>
      <c r="AG117" s="1692"/>
      <c r="AI117" s="1661"/>
      <c r="AJ117" s="1670"/>
    </row>
    <row r="118" spans="1:36" ht="17.25" customHeight="1" thickBot="1">
      <c r="A118" s="1693"/>
      <c r="B118" s="1694" t="s">
        <v>854</v>
      </c>
      <c r="C118" s="1694"/>
      <c r="D118" s="1694"/>
      <c r="E118" s="1694"/>
      <c r="F118" s="1694"/>
      <c r="G118" s="1694"/>
      <c r="H118" s="1694"/>
      <c r="I118" s="1694"/>
      <c r="J118" s="1694"/>
      <c r="K118" s="1694"/>
      <c r="L118" s="1694"/>
      <c r="M118" s="1694"/>
      <c r="N118" s="1694"/>
      <c r="O118" s="1694"/>
      <c r="P118" s="1694"/>
      <c r="Q118" s="1694"/>
      <c r="R118" s="1694"/>
      <c r="S118" s="1694"/>
      <c r="T118" s="1694"/>
      <c r="U118" s="1694"/>
      <c r="V118" s="1694"/>
      <c r="W118" s="1694"/>
      <c r="X118" s="1694"/>
      <c r="Y118" s="1695"/>
      <c r="AE118" s="1696"/>
      <c r="AF118" s="1696"/>
      <c r="AG118" s="1696"/>
      <c r="AH118" s="1697" t="s">
        <v>855</v>
      </c>
      <c r="AI118" s="1650" t="str">
        <f>IF(ISBLANK(D68),"",(F68-V49))</f>
        <v/>
      </c>
      <c r="AJ118" s="520" t="s">
        <v>609</v>
      </c>
    </row>
    <row r="119" spans="1:36" ht="17.25" customHeight="1">
      <c r="A119" s="554"/>
      <c r="B119" s="551"/>
      <c r="C119" s="551"/>
      <c r="D119" s="551"/>
      <c r="E119" s="551"/>
      <c r="F119" s="551"/>
      <c r="G119" s="551"/>
      <c r="H119" s="551"/>
      <c r="I119" s="551"/>
      <c r="J119" s="551"/>
      <c r="K119" s="551"/>
      <c r="L119" s="551"/>
      <c r="M119" s="551"/>
      <c r="N119" s="551"/>
      <c r="O119" s="551"/>
      <c r="P119" s="551"/>
      <c r="Q119" s="551"/>
      <c r="R119" s="551"/>
      <c r="S119" s="551"/>
      <c r="T119" s="551"/>
      <c r="U119" s="551"/>
      <c r="V119" s="551"/>
      <c r="W119" s="551"/>
      <c r="X119" s="551"/>
      <c r="Y119" s="835"/>
    </row>
    <row r="120" spans="1:36" ht="17.25" customHeight="1">
      <c r="A120" s="554"/>
      <c r="B120" s="551" t="s">
        <v>856</v>
      </c>
      <c r="C120" s="551"/>
      <c r="D120" s="551"/>
      <c r="E120" s="551"/>
      <c r="F120" s="551"/>
      <c r="G120" s="551"/>
      <c r="H120" s="551"/>
      <c r="I120" s="551" t="s">
        <v>857</v>
      </c>
      <c r="J120" s="551"/>
      <c r="K120" s="551"/>
      <c r="L120" s="551"/>
      <c r="M120" s="551"/>
      <c r="N120" s="551"/>
      <c r="O120" s="551"/>
      <c r="P120" s="551" t="s">
        <v>858</v>
      </c>
      <c r="Q120" s="551"/>
      <c r="R120" s="551"/>
      <c r="S120" s="551"/>
      <c r="T120" s="551"/>
      <c r="U120" s="551"/>
      <c r="V120" s="551"/>
      <c r="W120" s="551"/>
      <c r="X120" s="551"/>
      <c r="Y120" s="835"/>
    </row>
    <row r="121" spans="1:36" ht="17.100000000000001" customHeight="1">
      <c r="A121" s="554"/>
      <c r="Y121" s="526"/>
      <c r="AB121" s="1698" t="s">
        <v>859</v>
      </c>
    </row>
    <row r="122" spans="1:36" ht="17.100000000000001" customHeight="1">
      <c r="A122" s="554"/>
      <c r="J122" s="551"/>
      <c r="K122" s="551"/>
      <c r="L122" s="551"/>
      <c r="Y122" s="526"/>
      <c r="AB122" s="1699" t="s">
        <v>860</v>
      </c>
    </row>
    <row r="123" spans="1:36" ht="17.100000000000001" customHeight="1">
      <c r="A123" s="554"/>
      <c r="Y123" s="526"/>
      <c r="AB123" s="1700" t="s">
        <v>861</v>
      </c>
    </row>
    <row r="124" spans="1:36" ht="17.100000000000001" customHeight="1">
      <c r="A124" s="554"/>
      <c r="Y124" s="526"/>
    </row>
    <row r="125" spans="1:36" ht="17.100000000000001" customHeight="1">
      <c r="A125" s="554"/>
      <c r="K125" s="2644"/>
      <c r="L125" s="2644"/>
      <c r="M125" s="2644"/>
      <c r="N125" s="2644"/>
      <c r="O125" s="2644"/>
      <c r="Y125" s="526"/>
    </row>
    <row r="126" spans="1:36" ht="17.100000000000001" customHeight="1">
      <c r="A126" s="554"/>
      <c r="K126" s="2645"/>
      <c r="L126" s="2645"/>
      <c r="M126" s="2645"/>
      <c r="N126" s="2645"/>
      <c r="O126" s="2645"/>
      <c r="Y126" s="526"/>
    </row>
    <row r="127" spans="1:36" ht="17.100000000000001" customHeight="1">
      <c r="A127" s="554"/>
      <c r="K127" s="2646"/>
      <c r="L127" s="2646"/>
      <c r="M127" s="2646"/>
      <c r="N127" s="2646"/>
      <c r="O127" s="2646"/>
      <c r="Y127" s="526"/>
      <c r="Z127" s="551"/>
      <c r="AA127" s="551"/>
      <c r="AB127" s="551"/>
      <c r="AC127" s="551"/>
      <c r="AD127" s="551"/>
      <c r="AE127" s="551"/>
      <c r="AF127" s="551"/>
      <c r="AG127" s="551"/>
    </row>
    <row r="128" spans="1:36" ht="17.100000000000001" customHeight="1">
      <c r="A128" s="554"/>
      <c r="I128" s="551" t="s">
        <v>862</v>
      </c>
      <c r="Y128" s="526"/>
      <c r="Z128" s="551"/>
      <c r="AA128" s="551"/>
      <c r="AB128" s="551"/>
      <c r="AC128" s="551"/>
      <c r="AD128" s="551"/>
      <c r="AE128" s="551"/>
      <c r="AF128" s="551"/>
      <c r="AG128" s="551"/>
    </row>
    <row r="129" spans="1:33" ht="17.100000000000001" customHeight="1">
      <c r="A129" s="554"/>
      <c r="R129" s="819"/>
      <c r="S129" s="2647"/>
      <c r="T129" s="2647"/>
      <c r="U129" s="2647"/>
      <c r="V129" s="2647"/>
      <c r="W129" s="2647"/>
      <c r="X129" s="2647"/>
      <c r="Y129" s="526"/>
      <c r="Z129" s="551"/>
      <c r="AA129" s="551"/>
      <c r="AB129" s="551"/>
      <c r="AC129" s="551"/>
      <c r="AD129" s="551"/>
      <c r="AE129" s="551"/>
      <c r="AF129" s="551"/>
      <c r="AG129" s="551"/>
    </row>
    <row r="130" spans="1:33" ht="17.100000000000001" customHeight="1">
      <c r="A130" s="554"/>
      <c r="R130" s="819"/>
      <c r="S130" s="2642"/>
      <c r="T130" s="2642"/>
      <c r="U130" s="2642"/>
      <c r="V130" s="2642"/>
      <c r="W130" s="2642"/>
      <c r="X130" s="2642"/>
      <c r="Y130" s="526"/>
    </row>
    <row r="131" spans="1:33" ht="17.100000000000001" customHeight="1">
      <c r="A131" s="554"/>
      <c r="D131" s="2647"/>
      <c r="E131" s="2647"/>
      <c r="F131" s="2647"/>
      <c r="G131" s="2647"/>
      <c r="H131" s="2647"/>
      <c r="R131" s="819"/>
      <c r="S131" s="2642"/>
      <c r="T131" s="2642"/>
      <c r="U131" s="2642"/>
      <c r="V131" s="2642"/>
      <c r="W131" s="2642"/>
      <c r="X131" s="2642"/>
      <c r="Y131" s="526"/>
    </row>
    <row r="132" spans="1:33" ht="17.100000000000001" customHeight="1">
      <c r="A132" s="554"/>
      <c r="D132" s="2642"/>
      <c r="E132" s="2642"/>
      <c r="F132" s="2642"/>
      <c r="G132" s="2642"/>
      <c r="H132" s="2642"/>
      <c r="Y132" s="526"/>
    </row>
    <row r="133" spans="1:33" ht="15" customHeight="1">
      <c r="A133" s="554"/>
      <c r="D133" s="1683"/>
      <c r="E133" s="1683"/>
      <c r="F133" s="1683"/>
      <c r="G133" s="1683"/>
      <c r="H133" s="1683"/>
      <c r="Y133" s="526"/>
    </row>
    <row r="134" spans="1:33" ht="15" customHeight="1">
      <c r="A134" s="554"/>
      <c r="B134" s="520" t="s">
        <v>719</v>
      </c>
      <c r="Y134" s="526"/>
    </row>
    <row r="135" spans="1:33" ht="72" customHeight="1">
      <c r="A135" s="554"/>
      <c r="B135" s="2643"/>
      <c r="C135" s="2643"/>
      <c r="D135" s="2643"/>
      <c r="E135" s="2643"/>
      <c r="F135" s="2643"/>
      <c r="G135" s="2643"/>
      <c r="H135" s="2643"/>
      <c r="I135" s="2643"/>
      <c r="J135" s="2643"/>
      <c r="K135" s="2643"/>
      <c r="L135" s="2643"/>
      <c r="M135" s="2643"/>
      <c r="N135" s="2643"/>
      <c r="O135" s="2643"/>
      <c r="P135" s="2643"/>
      <c r="Q135" s="2643"/>
      <c r="R135" s="2643"/>
      <c r="S135" s="2643"/>
      <c r="T135" s="2643"/>
      <c r="U135" s="2643"/>
      <c r="V135" s="2643"/>
      <c r="W135" s="2643"/>
      <c r="X135" s="2643"/>
      <c r="Y135" s="1684"/>
    </row>
    <row r="136" spans="1:33" ht="15" customHeight="1" thickBot="1">
      <c r="A136" s="829"/>
      <c r="B136" s="830"/>
      <c r="C136" s="830"/>
      <c r="D136" s="830"/>
      <c r="E136" s="830"/>
      <c r="F136" s="830"/>
      <c r="G136" s="830"/>
      <c r="H136" s="830"/>
      <c r="I136" s="830"/>
      <c r="J136" s="830"/>
      <c r="K136" s="830"/>
      <c r="L136" s="830"/>
      <c r="M136" s="830"/>
      <c r="N136" s="830"/>
      <c r="O136" s="830"/>
      <c r="P136" s="830"/>
      <c r="Q136" s="830"/>
      <c r="R136" s="830"/>
      <c r="S136" s="830"/>
      <c r="T136" s="830"/>
      <c r="U136" s="830"/>
      <c r="V136" s="830"/>
      <c r="W136" s="830"/>
      <c r="X136" s="830"/>
      <c r="Y136" s="831"/>
    </row>
    <row r="137" spans="1:33" ht="15" customHeight="1"/>
    <row r="138" spans="1:33" ht="15" customHeight="1"/>
    <row r="139" spans="1:33" ht="17.25" customHeight="1"/>
    <row r="140" spans="1:33" ht="17.100000000000001" customHeight="1"/>
    <row r="144" spans="1:33" ht="72.75" customHeight="1"/>
  </sheetData>
  <mergeCells count="103">
    <mergeCell ref="G1:R1"/>
    <mergeCell ref="G2:L2"/>
    <mergeCell ref="M2:O2"/>
    <mergeCell ref="P2:S2"/>
    <mergeCell ref="U2:Y2"/>
    <mergeCell ref="B6:H6"/>
    <mergeCell ref="I6:X6"/>
    <mergeCell ref="E39:F39"/>
    <mergeCell ref="E40:F40"/>
    <mergeCell ref="D4:H4"/>
    <mergeCell ref="I4:R4"/>
    <mergeCell ref="E41:F41"/>
    <mergeCell ref="E42:F42"/>
    <mergeCell ref="U42:X43"/>
    <mergeCell ref="H46:I46"/>
    <mergeCell ref="G8:J8"/>
    <mergeCell ref="B31:D31"/>
    <mergeCell ref="E31:H31"/>
    <mergeCell ref="P33:X33"/>
    <mergeCell ref="E37:F37"/>
    <mergeCell ref="E38:F38"/>
    <mergeCell ref="V38:W38"/>
    <mergeCell ref="H55:I55"/>
    <mergeCell ref="H56:I56"/>
    <mergeCell ref="H57:I57"/>
    <mergeCell ref="H58:I58"/>
    <mergeCell ref="E61:F61"/>
    <mergeCell ref="C63:D64"/>
    <mergeCell ref="H47:I47"/>
    <mergeCell ref="E48:F48"/>
    <mergeCell ref="H48:I48"/>
    <mergeCell ref="H49:I49"/>
    <mergeCell ref="H50:I50"/>
    <mergeCell ref="H51:I51"/>
    <mergeCell ref="M77:N77"/>
    <mergeCell ref="H78:I78"/>
    <mergeCell ref="K78:L78"/>
    <mergeCell ref="M78:N78"/>
    <mergeCell ref="L64:M64"/>
    <mergeCell ref="N64:P64"/>
    <mergeCell ref="H75:I75"/>
    <mergeCell ref="K75:L75"/>
    <mergeCell ref="M75:N75"/>
    <mergeCell ref="H76:I76"/>
    <mergeCell ref="K76:L76"/>
    <mergeCell ref="M76:N76"/>
    <mergeCell ref="H79:I79"/>
    <mergeCell ref="C82:D82"/>
    <mergeCell ref="E82:F82"/>
    <mergeCell ref="K82:L82"/>
    <mergeCell ref="C83:D83"/>
    <mergeCell ref="E83:F83"/>
    <mergeCell ref="K83:L83"/>
    <mergeCell ref="H77:I77"/>
    <mergeCell ref="K77:L77"/>
    <mergeCell ref="B88:X88"/>
    <mergeCell ref="M98:S98"/>
    <mergeCell ref="B99:C99"/>
    <mergeCell ref="M99:O99"/>
    <mergeCell ref="T99:U99"/>
    <mergeCell ref="B100:C100"/>
    <mergeCell ref="M100:O100"/>
    <mergeCell ref="T100:U100"/>
    <mergeCell ref="R83:T83"/>
    <mergeCell ref="C84:D84"/>
    <mergeCell ref="E84:F84"/>
    <mergeCell ref="K84:L84"/>
    <mergeCell ref="C85:D85"/>
    <mergeCell ref="E85:F85"/>
    <mergeCell ref="K85:L85"/>
    <mergeCell ref="B104:C104"/>
    <mergeCell ref="M104:O104"/>
    <mergeCell ref="T104:U104"/>
    <mergeCell ref="B105:C105"/>
    <mergeCell ref="M105:O105"/>
    <mergeCell ref="T105:U105"/>
    <mergeCell ref="B101:C101"/>
    <mergeCell ref="M101:O101"/>
    <mergeCell ref="T101:U101"/>
    <mergeCell ref="B103:C103"/>
    <mergeCell ref="M103:O103"/>
    <mergeCell ref="T103:U103"/>
    <mergeCell ref="B109:C109"/>
    <mergeCell ref="M109:O109"/>
    <mergeCell ref="T109:U109"/>
    <mergeCell ref="AD112:AH113"/>
    <mergeCell ref="AD114:AH116"/>
    <mergeCell ref="D116:G116"/>
    <mergeCell ref="B107:C107"/>
    <mergeCell ref="M107:O107"/>
    <mergeCell ref="T107:U107"/>
    <mergeCell ref="B108:C108"/>
    <mergeCell ref="M108:O108"/>
    <mergeCell ref="T108:U108"/>
    <mergeCell ref="D132:H132"/>
    <mergeCell ref="B135:X135"/>
    <mergeCell ref="K125:O125"/>
    <mergeCell ref="K126:O126"/>
    <mergeCell ref="K127:O127"/>
    <mergeCell ref="S129:X129"/>
    <mergeCell ref="S130:X130"/>
    <mergeCell ref="D131:H131"/>
    <mergeCell ref="S131:X131"/>
  </mergeCells>
  <pageMargins left="0.4" right="0.15" top="0.4" bottom="0.4" header="0.5" footer="0.5"/>
  <pageSetup scale="70" orientation="portrait" blackAndWhite="1" r:id="rId1"/>
  <headerFooter alignWithMargins="0"/>
  <rowBreaks count="1" manualBreakCount="1">
    <brk id="90"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4895745" r:id="rId4" name="Check Box 1">
              <controlPr defaultSize="0" autoFill="0" autoLine="0" autoPict="0">
                <anchor moveWithCells="1" sizeWithCells="1">
                  <from>
                    <xdr:col>8</xdr:col>
                    <xdr:colOff>38100</xdr:colOff>
                    <xdr:row>127</xdr:row>
                    <xdr:rowOff>171450</xdr:rowOff>
                  </from>
                  <to>
                    <xdr:col>12</xdr:col>
                    <xdr:colOff>200025</xdr:colOff>
                    <xdr:row>129</xdr:row>
                    <xdr:rowOff>19050</xdr:rowOff>
                  </to>
                </anchor>
              </controlPr>
            </control>
          </mc:Choice>
        </mc:AlternateContent>
        <mc:AlternateContent xmlns:mc="http://schemas.openxmlformats.org/markup-compatibility/2006">
          <mc:Choice Requires="x14">
            <control shapeId="4895746" r:id="rId5" name="Check Box 2">
              <controlPr defaultSize="0" autoFill="0" autoLine="0" autoPict="0">
                <anchor moveWithCells="1" sizeWithCells="1">
                  <from>
                    <xdr:col>8</xdr:col>
                    <xdr:colOff>38100</xdr:colOff>
                    <xdr:row>128</xdr:row>
                    <xdr:rowOff>161925</xdr:rowOff>
                  </from>
                  <to>
                    <xdr:col>12</xdr:col>
                    <xdr:colOff>133350</xdr:colOff>
                    <xdr:row>130</xdr:row>
                    <xdr:rowOff>9525</xdr:rowOff>
                  </to>
                </anchor>
              </controlPr>
            </control>
          </mc:Choice>
        </mc:AlternateContent>
        <mc:AlternateContent xmlns:mc="http://schemas.openxmlformats.org/markup-compatibility/2006">
          <mc:Choice Requires="x14">
            <control shapeId="4895747" r:id="rId6" name="Check Box 3">
              <controlPr defaultSize="0" autoFill="0" autoLine="0" autoPict="0">
                <anchor moveWithCells="1" sizeWithCells="1">
                  <from>
                    <xdr:col>8</xdr:col>
                    <xdr:colOff>38100</xdr:colOff>
                    <xdr:row>129</xdr:row>
                    <xdr:rowOff>200025</xdr:rowOff>
                  </from>
                  <to>
                    <xdr:col>12</xdr:col>
                    <xdr:colOff>104775</xdr:colOff>
                    <xdr:row>130</xdr:row>
                    <xdr:rowOff>180975</xdr:rowOff>
                  </to>
                </anchor>
              </controlPr>
            </control>
          </mc:Choice>
        </mc:AlternateContent>
        <mc:AlternateContent xmlns:mc="http://schemas.openxmlformats.org/markup-compatibility/2006">
          <mc:Choice Requires="x14">
            <control shapeId="4895748" r:id="rId7" name="Check Box 4">
              <controlPr defaultSize="0" autoFill="0" autoLine="0" autoPict="0">
                <anchor moveWithCells="1" sizeWithCells="1">
                  <from>
                    <xdr:col>8</xdr:col>
                    <xdr:colOff>38100</xdr:colOff>
                    <xdr:row>130</xdr:row>
                    <xdr:rowOff>200025</xdr:rowOff>
                  </from>
                  <to>
                    <xdr:col>15</xdr:col>
                    <xdr:colOff>9525</xdr:colOff>
                    <xdr:row>131</xdr:row>
                    <xdr:rowOff>142875</xdr:rowOff>
                  </to>
                </anchor>
              </controlPr>
            </control>
          </mc:Choice>
        </mc:AlternateContent>
        <mc:AlternateContent xmlns:mc="http://schemas.openxmlformats.org/markup-compatibility/2006">
          <mc:Choice Requires="x14">
            <control shapeId="4895749" r:id="rId8" name="Check Box 5">
              <controlPr defaultSize="0" autoFill="0" autoLine="0" autoPict="0">
                <anchor moveWithCells="1">
                  <from>
                    <xdr:col>15</xdr:col>
                    <xdr:colOff>28575</xdr:colOff>
                    <xdr:row>130</xdr:row>
                    <xdr:rowOff>47625</xdr:rowOff>
                  </from>
                  <to>
                    <xdr:col>17</xdr:col>
                    <xdr:colOff>209550</xdr:colOff>
                    <xdr:row>131</xdr:row>
                    <xdr:rowOff>28575</xdr:rowOff>
                  </to>
                </anchor>
              </controlPr>
            </control>
          </mc:Choice>
        </mc:AlternateContent>
        <mc:AlternateContent xmlns:mc="http://schemas.openxmlformats.org/markup-compatibility/2006">
          <mc:Choice Requires="x14">
            <control shapeId="4895750" r:id="rId9" name="Check Box 6">
              <controlPr defaultSize="0" autoFill="0" autoLine="0" autoPict="0">
                <anchor moveWithCells="1" sizeWithCells="1">
                  <from>
                    <xdr:col>15</xdr:col>
                    <xdr:colOff>28575</xdr:colOff>
                    <xdr:row>120</xdr:row>
                    <xdr:rowOff>28575</xdr:rowOff>
                  </from>
                  <to>
                    <xdr:col>19</xdr:col>
                    <xdr:colOff>66675</xdr:colOff>
                    <xdr:row>121</xdr:row>
                    <xdr:rowOff>66675</xdr:rowOff>
                  </to>
                </anchor>
              </controlPr>
            </control>
          </mc:Choice>
        </mc:AlternateContent>
        <mc:AlternateContent xmlns:mc="http://schemas.openxmlformats.org/markup-compatibility/2006">
          <mc:Choice Requires="x14">
            <control shapeId="4895751" r:id="rId10" name="Check Box 7">
              <controlPr defaultSize="0" autoFill="0" autoLine="0" autoPict="0">
                <anchor moveWithCells="1" sizeWithCells="1">
                  <from>
                    <xdr:col>15</xdr:col>
                    <xdr:colOff>28575</xdr:colOff>
                    <xdr:row>121</xdr:row>
                    <xdr:rowOff>133350</xdr:rowOff>
                  </from>
                  <to>
                    <xdr:col>22</xdr:col>
                    <xdr:colOff>28575</xdr:colOff>
                    <xdr:row>122</xdr:row>
                    <xdr:rowOff>133350</xdr:rowOff>
                  </to>
                </anchor>
              </controlPr>
            </control>
          </mc:Choice>
        </mc:AlternateContent>
        <mc:AlternateContent xmlns:mc="http://schemas.openxmlformats.org/markup-compatibility/2006">
          <mc:Choice Requires="x14">
            <control shapeId="4895752" r:id="rId11" name="Check Box 8">
              <controlPr defaultSize="0" autoFill="0" autoLine="0" autoPict="0">
                <anchor moveWithCells="1" sizeWithCells="1">
                  <from>
                    <xdr:col>15</xdr:col>
                    <xdr:colOff>28575</xdr:colOff>
                    <xdr:row>123</xdr:row>
                    <xdr:rowOff>0</xdr:rowOff>
                  </from>
                  <to>
                    <xdr:col>21</xdr:col>
                    <xdr:colOff>114300</xdr:colOff>
                    <xdr:row>124</xdr:row>
                    <xdr:rowOff>38100</xdr:rowOff>
                  </to>
                </anchor>
              </controlPr>
            </control>
          </mc:Choice>
        </mc:AlternateContent>
        <mc:AlternateContent xmlns:mc="http://schemas.openxmlformats.org/markup-compatibility/2006">
          <mc:Choice Requires="x14">
            <control shapeId="4895753" r:id="rId12" name="Check Box 9">
              <controlPr defaultSize="0" autoFill="0" autoLine="0" autoPict="0">
                <anchor moveWithCells="1" sizeWithCells="1">
                  <from>
                    <xdr:col>15</xdr:col>
                    <xdr:colOff>28575</xdr:colOff>
                    <xdr:row>124</xdr:row>
                    <xdr:rowOff>9525</xdr:rowOff>
                  </from>
                  <to>
                    <xdr:col>21</xdr:col>
                    <xdr:colOff>104775</xdr:colOff>
                    <xdr:row>125</xdr:row>
                    <xdr:rowOff>85725</xdr:rowOff>
                  </to>
                </anchor>
              </controlPr>
            </control>
          </mc:Choice>
        </mc:AlternateContent>
        <mc:AlternateContent xmlns:mc="http://schemas.openxmlformats.org/markup-compatibility/2006">
          <mc:Choice Requires="x14">
            <control shapeId="4895754" r:id="rId13" name="Check Box 10">
              <controlPr defaultSize="0" autoFill="0" autoLine="0" autoPict="0">
                <anchor moveWithCells="1" sizeWithCells="1">
                  <from>
                    <xdr:col>15</xdr:col>
                    <xdr:colOff>28575</xdr:colOff>
                    <xdr:row>125</xdr:row>
                    <xdr:rowOff>66675</xdr:rowOff>
                  </from>
                  <to>
                    <xdr:col>20</xdr:col>
                    <xdr:colOff>152400</xdr:colOff>
                    <xdr:row>126</xdr:row>
                    <xdr:rowOff>123825</xdr:rowOff>
                  </to>
                </anchor>
              </controlPr>
            </control>
          </mc:Choice>
        </mc:AlternateContent>
        <mc:AlternateContent xmlns:mc="http://schemas.openxmlformats.org/markup-compatibility/2006">
          <mc:Choice Requires="x14">
            <control shapeId="4895755" r:id="rId14" name="Check Box 11">
              <controlPr defaultSize="0" autoFill="0" autoLine="0" autoPict="0">
                <anchor moveWithCells="1" sizeWithCells="1">
                  <from>
                    <xdr:col>15</xdr:col>
                    <xdr:colOff>28575</xdr:colOff>
                    <xdr:row>126</xdr:row>
                    <xdr:rowOff>123825</xdr:rowOff>
                  </from>
                  <to>
                    <xdr:col>20</xdr:col>
                    <xdr:colOff>190500</xdr:colOff>
                    <xdr:row>128</xdr:row>
                    <xdr:rowOff>0</xdr:rowOff>
                  </to>
                </anchor>
              </controlPr>
            </control>
          </mc:Choice>
        </mc:AlternateContent>
        <mc:AlternateContent xmlns:mc="http://schemas.openxmlformats.org/markup-compatibility/2006">
          <mc:Choice Requires="x14">
            <control shapeId="4895756" r:id="rId15" name="Check Box 12">
              <controlPr defaultSize="0" autoFill="0" autoLine="0" autoPict="0">
                <anchor moveWithCells="1">
                  <from>
                    <xdr:col>15</xdr:col>
                    <xdr:colOff>28575</xdr:colOff>
                    <xdr:row>128</xdr:row>
                    <xdr:rowOff>9525</xdr:rowOff>
                  </from>
                  <to>
                    <xdr:col>17</xdr:col>
                    <xdr:colOff>209550</xdr:colOff>
                    <xdr:row>128</xdr:row>
                    <xdr:rowOff>190500</xdr:rowOff>
                  </to>
                </anchor>
              </controlPr>
            </control>
          </mc:Choice>
        </mc:AlternateContent>
        <mc:AlternateContent xmlns:mc="http://schemas.openxmlformats.org/markup-compatibility/2006">
          <mc:Choice Requires="x14">
            <control shapeId="4895757" r:id="rId16" name="Check Box 13">
              <controlPr defaultSize="0" autoFill="0" autoLine="0" autoPict="0">
                <anchor moveWithCells="1">
                  <from>
                    <xdr:col>15</xdr:col>
                    <xdr:colOff>28575</xdr:colOff>
                    <xdr:row>129</xdr:row>
                    <xdr:rowOff>38100</xdr:rowOff>
                  </from>
                  <to>
                    <xdr:col>17</xdr:col>
                    <xdr:colOff>209550</xdr:colOff>
                    <xdr:row>130</xdr:row>
                    <xdr:rowOff>9525</xdr:rowOff>
                  </to>
                </anchor>
              </controlPr>
            </control>
          </mc:Choice>
        </mc:AlternateContent>
        <mc:AlternateContent xmlns:mc="http://schemas.openxmlformats.org/markup-compatibility/2006">
          <mc:Choice Requires="x14">
            <control shapeId="4895758" r:id="rId17" name="Check Box 14">
              <controlPr defaultSize="0" autoFill="0" autoLine="0" autoPict="0">
                <anchor moveWithCells="1" sizeWithCells="1">
                  <from>
                    <xdr:col>8</xdr:col>
                    <xdr:colOff>0</xdr:colOff>
                    <xdr:row>120</xdr:row>
                    <xdr:rowOff>47625</xdr:rowOff>
                  </from>
                  <to>
                    <xdr:col>11</xdr:col>
                    <xdr:colOff>28575</xdr:colOff>
                    <xdr:row>121</xdr:row>
                    <xdr:rowOff>123825</xdr:rowOff>
                  </to>
                </anchor>
              </controlPr>
            </control>
          </mc:Choice>
        </mc:AlternateContent>
        <mc:AlternateContent xmlns:mc="http://schemas.openxmlformats.org/markup-compatibility/2006">
          <mc:Choice Requires="x14">
            <control shapeId="4895759" r:id="rId18" name="Check Box 15">
              <controlPr defaultSize="0" autoFill="0" autoLine="0" autoPict="0">
                <anchor moveWithCells="1" sizeWithCells="1">
                  <from>
                    <xdr:col>8</xdr:col>
                    <xdr:colOff>0</xdr:colOff>
                    <xdr:row>121</xdr:row>
                    <xdr:rowOff>104775</xdr:rowOff>
                  </from>
                  <to>
                    <xdr:col>12</xdr:col>
                    <xdr:colOff>180975</xdr:colOff>
                    <xdr:row>122</xdr:row>
                    <xdr:rowOff>133350</xdr:rowOff>
                  </to>
                </anchor>
              </controlPr>
            </control>
          </mc:Choice>
        </mc:AlternateContent>
        <mc:AlternateContent xmlns:mc="http://schemas.openxmlformats.org/markup-compatibility/2006">
          <mc:Choice Requires="x14">
            <control shapeId="4895760" r:id="rId19" name="Check Box 16">
              <controlPr defaultSize="0" autoFill="0" autoLine="0" autoPict="0">
                <anchor moveWithCells="1" sizeWithCells="1">
                  <from>
                    <xdr:col>8</xdr:col>
                    <xdr:colOff>0</xdr:colOff>
                    <xdr:row>122</xdr:row>
                    <xdr:rowOff>161925</xdr:rowOff>
                  </from>
                  <to>
                    <xdr:col>10</xdr:col>
                    <xdr:colOff>266700</xdr:colOff>
                    <xdr:row>124</xdr:row>
                    <xdr:rowOff>19050</xdr:rowOff>
                  </to>
                </anchor>
              </controlPr>
            </control>
          </mc:Choice>
        </mc:AlternateContent>
        <mc:AlternateContent xmlns:mc="http://schemas.openxmlformats.org/markup-compatibility/2006">
          <mc:Choice Requires="x14">
            <control shapeId="4895761" r:id="rId20" name="Check Box 17">
              <controlPr defaultSize="0" autoFill="0" autoLine="0" autoPict="0">
                <anchor moveWithCells="1">
                  <from>
                    <xdr:col>8</xdr:col>
                    <xdr:colOff>0</xdr:colOff>
                    <xdr:row>124</xdr:row>
                    <xdr:rowOff>28575</xdr:rowOff>
                  </from>
                  <to>
                    <xdr:col>10</xdr:col>
                    <xdr:colOff>0</xdr:colOff>
                    <xdr:row>125</xdr:row>
                    <xdr:rowOff>0</xdr:rowOff>
                  </to>
                </anchor>
              </controlPr>
            </control>
          </mc:Choice>
        </mc:AlternateContent>
        <mc:AlternateContent xmlns:mc="http://schemas.openxmlformats.org/markup-compatibility/2006">
          <mc:Choice Requires="x14">
            <control shapeId="4895762" r:id="rId21" name="Check Box 18">
              <controlPr defaultSize="0" autoFill="0" autoLine="0" autoPict="0">
                <anchor moveWithCells="1">
                  <from>
                    <xdr:col>8</xdr:col>
                    <xdr:colOff>0</xdr:colOff>
                    <xdr:row>125</xdr:row>
                    <xdr:rowOff>57150</xdr:rowOff>
                  </from>
                  <to>
                    <xdr:col>10</xdr:col>
                    <xdr:colOff>0</xdr:colOff>
                    <xdr:row>126</xdr:row>
                    <xdr:rowOff>28575</xdr:rowOff>
                  </to>
                </anchor>
              </controlPr>
            </control>
          </mc:Choice>
        </mc:AlternateContent>
        <mc:AlternateContent xmlns:mc="http://schemas.openxmlformats.org/markup-compatibility/2006">
          <mc:Choice Requires="x14">
            <control shapeId="4895763" r:id="rId22" name="Check Box 19">
              <controlPr defaultSize="0" autoFill="0" autoLine="0" autoPict="0">
                <anchor moveWithCells="1" sizeWithCells="1">
                  <from>
                    <xdr:col>1</xdr:col>
                    <xdr:colOff>0</xdr:colOff>
                    <xdr:row>120</xdr:row>
                    <xdr:rowOff>0</xdr:rowOff>
                  </from>
                  <to>
                    <xdr:col>8</xdr:col>
                    <xdr:colOff>0</xdr:colOff>
                    <xdr:row>121</xdr:row>
                    <xdr:rowOff>28575</xdr:rowOff>
                  </to>
                </anchor>
              </controlPr>
            </control>
          </mc:Choice>
        </mc:AlternateContent>
        <mc:AlternateContent xmlns:mc="http://schemas.openxmlformats.org/markup-compatibility/2006">
          <mc:Choice Requires="x14">
            <control shapeId="4895764" r:id="rId23" name="Check Box 20">
              <controlPr defaultSize="0" autoFill="0" autoLine="0" autoPict="0">
                <anchor moveWithCells="1" sizeWithCells="1">
                  <from>
                    <xdr:col>1</xdr:col>
                    <xdr:colOff>0</xdr:colOff>
                    <xdr:row>121</xdr:row>
                    <xdr:rowOff>66675</xdr:rowOff>
                  </from>
                  <to>
                    <xdr:col>8</xdr:col>
                    <xdr:colOff>0</xdr:colOff>
                    <xdr:row>122</xdr:row>
                    <xdr:rowOff>85725</xdr:rowOff>
                  </to>
                </anchor>
              </controlPr>
            </control>
          </mc:Choice>
        </mc:AlternateContent>
        <mc:AlternateContent xmlns:mc="http://schemas.openxmlformats.org/markup-compatibility/2006">
          <mc:Choice Requires="x14">
            <control shapeId="4895765" r:id="rId24" name="Check Box 21">
              <controlPr defaultSize="0" autoFill="0" autoLine="0" autoPict="0">
                <anchor moveWithCells="1" sizeWithCells="1">
                  <from>
                    <xdr:col>1</xdr:col>
                    <xdr:colOff>0</xdr:colOff>
                    <xdr:row>122</xdr:row>
                    <xdr:rowOff>114300</xdr:rowOff>
                  </from>
                  <to>
                    <xdr:col>8</xdr:col>
                    <xdr:colOff>0</xdr:colOff>
                    <xdr:row>123</xdr:row>
                    <xdr:rowOff>142875</xdr:rowOff>
                  </to>
                </anchor>
              </controlPr>
            </control>
          </mc:Choice>
        </mc:AlternateContent>
        <mc:AlternateContent xmlns:mc="http://schemas.openxmlformats.org/markup-compatibility/2006">
          <mc:Choice Requires="x14">
            <control shapeId="4895766" r:id="rId25" name="Check Box 22">
              <controlPr defaultSize="0" autoFill="0" autoLine="0" autoPict="0">
                <anchor moveWithCells="1" sizeWithCells="1">
                  <from>
                    <xdr:col>1</xdr:col>
                    <xdr:colOff>0</xdr:colOff>
                    <xdr:row>123</xdr:row>
                    <xdr:rowOff>180975</xdr:rowOff>
                  </from>
                  <to>
                    <xdr:col>8</xdr:col>
                    <xdr:colOff>0</xdr:colOff>
                    <xdr:row>125</xdr:row>
                    <xdr:rowOff>9525</xdr:rowOff>
                  </to>
                </anchor>
              </controlPr>
            </control>
          </mc:Choice>
        </mc:AlternateContent>
        <mc:AlternateContent xmlns:mc="http://schemas.openxmlformats.org/markup-compatibility/2006">
          <mc:Choice Requires="x14">
            <control shapeId="4895767" r:id="rId26" name="Check Box 23">
              <controlPr defaultSize="0" autoFill="0" autoLine="0" autoPict="0">
                <anchor moveWithCells="1" sizeWithCells="1">
                  <from>
                    <xdr:col>1</xdr:col>
                    <xdr:colOff>0</xdr:colOff>
                    <xdr:row>125</xdr:row>
                    <xdr:rowOff>38100</xdr:rowOff>
                  </from>
                  <to>
                    <xdr:col>8</xdr:col>
                    <xdr:colOff>0</xdr:colOff>
                    <xdr:row>126</xdr:row>
                    <xdr:rowOff>66675</xdr:rowOff>
                  </to>
                </anchor>
              </controlPr>
            </control>
          </mc:Choice>
        </mc:AlternateContent>
        <mc:AlternateContent xmlns:mc="http://schemas.openxmlformats.org/markup-compatibility/2006">
          <mc:Choice Requires="x14">
            <control shapeId="4895768" r:id="rId27" name="Check Box 24">
              <controlPr defaultSize="0" autoFill="0" autoLine="0" autoPict="0">
                <anchor moveWithCells="1" sizeWithCells="1">
                  <from>
                    <xdr:col>1</xdr:col>
                    <xdr:colOff>0</xdr:colOff>
                    <xdr:row>126</xdr:row>
                    <xdr:rowOff>104775</xdr:rowOff>
                  </from>
                  <to>
                    <xdr:col>8</xdr:col>
                    <xdr:colOff>0</xdr:colOff>
                    <xdr:row>127</xdr:row>
                    <xdr:rowOff>123825</xdr:rowOff>
                  </to>
                </anchor>
              </controlPr>
            </control>
          </mc:Choice>
        </mc:AlternateContent>
        <mc:AlternateContent xmlns:mc="http://schemas.openxmlformats.org/markup-compatibility/2006">
          <mc:Choice Requires="x14">
            <control shapeId="4895769" r:id="rId28" name="Check Box 25">
              <controlPr defaultSize="0" autoFill="0" autoLine="0" autoPict="0">
                <anchor moveWithCells="1" sizeWithCells="1">
                  <from>
                    <xdr:col>1</xdr:col>
                    <xdr:colOff>0</xdr:colOff>
                    <xdr:row>127</xdr:row>
                    <xdr:rowOff>152400</xdr:rowOff>
                  </from>
                  <to>
                    <xdr:col>8</xdr:col>
                    <xdr:colOff>0</xdr:colOff>
                    <xdr:row>128</xdr:row>
                    <xdr:rowOff>180975</xdr:rowOff>
                  </to>
                </anchor>
              </controlPr>
            </control>
          </mc:Choice>
        </mc:AlternateContent>
        <mc:AlternateContent xmlns:mc="http://schemas.openxmlformats.org/markup-compatibility/2006">
          <mc:Choice Requires="x14">
            <control shapeId="4895770" r:id="rId29" name="Check Box 26">
              <controlPr defaultSize="0" autoFill="0" autoLine="0" autoPict="0">
                <anchor moveWithCells="1" sizeWithCells="1">
                  <from>
                    <xdr:col>1</xdr:col>
                    <xdr:colOff>0</xdr:colOff>
                    <xdr:row>128</xdr:row>
                    <xdr:rowOff>152400</xdr:rowOff>
                  </from>
                  <to>
                    <xdr:col>8</xdr:col>
                    <xdr:colOff>0</xdr:colOff>
                    <xdr:row>130</xdr:row>
                    <xdr:rowOff>9525</xdr:rowOff>
                  </to>
                </anchor>
              </controlPr>
            </control>
          </mc:Choice>
        </mc:AlternateContent>
        <mc:AlternateContent xmlns:mc="http://schemas.openxmlformats.org/markup-compatibility/2006">
          <mc:Choice Requires="x14">
            <control shapeId="4895771" r:id="rId30" name="Check Box 27">
              <controlPr defaultSize="0" autoFill="0" autoLine="0" autoPict="0">
                <anchor moveWithCells="1">
                  <from>
                    <xdr:col>1</xdr:col>
                    <xdr:colOff>0</xdr:colOff>
                    <xdr:row>130</xdr:row>
                    <xdr:rowOff>28575</xdr:rowOff>
                  </from>
                  <to>
                    <xdr:col>2</xdr:col>
                    <xdr:colOff>247650</xdr:colOff>
                    <xdr:row>131</xdr:row>
                    <xdr:rowOff>28575</xdr:rowOff>
                  </to>
                </anchor>
              </controlPr>
            </control>
          </mc:Choice>
        </mc:AlternateContent>
        <mc:AlternateContent xmlns:mc="http://schemas.openxmlformats.org/markup-compatibility/2006">
          <mc:Choice Requires="x14">
            <control shapeId="4895772" r:id="rId31" name="Check Box 28">
              <controlPr defaultSize="0" autoFill="0" autoLine="0" autoPict="0">
                <anchor moveWithCells="1">
                  <from>
                    <xdr:col>1</xdr:col>
                    <xdr:colOff>0</xdr:colOff>
                    <xdr:row>131</xdr:row>
                    <xdr:rowOff>28575</xdr:rowOff>
                  </from>
                  <to>
                    <xdr:col>2</xdr:col>
                    <xdr:colOff>247650</xdr:colOff>
                    <xdr:row>132</xdr:row>
                    <xdr:rowOff>0</xdr:rowOff>
                  </to>
                </anchor>
              </controlPr>
            </control>
          </mc:Choice>
        </mc:AlternateContent>
        <mc:AlternateContent xmlns:mc="http://schemas.openxmlformats.org/markup-compatibility/2006">
          <mc:Choice Requires="x14">
            <control shapeId="4895773" r:id="rId32" name="Check Box 29">
              <controlPr defaultSize="0" autoFill="0" autoLine="0" autoPict="0">
                <anchor moveWithCells="1">
                  <from>
                    <xdr:col>1</xdr:col>
                    <xdr:colOff>95250</xdr:colOff>
                    <xdr:row>43</xdr:row>
                    <xdr:rowOff>152400</xdr:rowOff>
                  </from>
                  <to>
                    <xdr:col>2</xdr:col>
                    <xdr:colOff>66675</xdr:colOff>
                    <xdr:row>44</xdr:row>
                    <xdr:rowOff>171450</xdr:rowOff>
                  </to>
                </anchor>
              </controlPr>
            </control>
          </mc:Choice>
        </mc:AlternateContent>
        <mc:AlternateContent xmlns:mc="http://schemas.openxmlformats.org/markup-compatibility/2006">
          <mc:Choice Requires="x14">
            <control shapeId="4895774" r:id="rId33" name="Check Box 30">
              <controlPr defaultSize="0" autoFill="0" autoLine="0" autoPict="0">
                <anchor moveWithCells="1">
                  <from>
                    <xdr:col>1</xdr:col>
                    <xdr:colOff>95250</xdr:colOff>
                    <xdr:row>52</xdr:row>
                    <xdr:rowOff>171450</xdr:rowOff>
                  </from>
                  <to>
                    <xdr:col>2</xdr:col>
                    <xdr:colOff>66675</xdr:colOff>
                    <xdr:row>54</xdr:row>
                    <xdr:rowOff>9525</xdr:rowOff>
                  </to>
                </anchor>
              </controlPr>
            </control>
          </mc:Choice>
        </mc:AlternateContent>
        <mc:AlternateContent xmlns:mc="http://schemas.openxmlformats.org/markup-compatibility/2006">
          <mc:Choice Requires="x14">
            <control shapeId="4895775" r:id="rId34" name="Check Box 31">
              <controlPr defaultSize="0" autoFill="0" autoLine="0" autoPict="0">
                <anchor moveWithCells="1">
                  <from>
                    <xdr:col>1</xdr:col>
                    <xdr:colOff>95250</xdr:colOff>
                    <xdr:row>58</xdr:row>
                    <xdr:rowOff>171450</xdr:rowOff>
                  </from>
                  <to>
                    <xdr:col>2</xdr:col>
                    <xdr:colOff>66675</xdr:colOff>
                    <xdr:row>60</xdr:row>
                    <xdr:rowOff>0</xdr:rowOff>
                  </to>
                </anchor>
              </controlPr>
            </control>
          </mc:Choice>
        </mc:AlternateContent>
        <mc:AlternateContent xmlns:mc="http://schemas.openxmlformats.org/markup-compatibility/2006">
          <mc:Choice Requires="x14">
            <control shapeId="4895776" r:id="rId35" name="Check Box 32">
              <controlPr defaultSize="0" autoFill="0" autoLine="0" autoPict="0">
                <anchor moveWithCells="1">
                  <from>
                    <xdr:col>1</xdr:col>
                    <xdr:colOff>95250</xdr:colOff>
                    <xdr:row>72</xdr:row>
                    <xdr:rowOff>152400</xdr:rowOff>
                  </from>
                  <to>
                    <xdr:col>2</xdr:col>
                    <xdr:colOff>66675</xdr:colOff>
                    <xdr:row>74</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C00000"/>
  </sheetPr>
  <dimension ref="A1:BH46"/>
  <sheetViews>
    <sheetView showGridLines="0" view="pageBreakPreview" topLeftCell="A20" zoomScaleNormal="115" zoomScaleSheetLayoutView="100" workbookViewId="0">
      <selection sqref="A1:X46"/>
    </sheetView>
  </sheetViews>
  <sheetFormatPr defaultColWidth="4.140625" defaultRowHeight="15"/>
  <cols>
    <col min="1" max="17" width="4.140625" style="520"/>
    <col min="18" max="18" width="4.140625" style="520" customWidth="1"/>
    <col min="19" max="23" width="4.140625" style="520"/>
    <col min="24" max="24" width="4.140625" style="520" customWidth="1"/>
    <col min="25" max="16384" width="4.140625" style="520"/>
  </cols>
  <sheetData>
    <row r="1" spans="1:36" ht="54.95" customHeight="1" thickBot="1">
      <c r="B1" s="820"/>
      <c r="C1" s="820"/>
      <c r="D1" s="820"/>
      <c r="F1" s="1088"/>
      <c r="G1" s="2701" t="s">
        <v>890</v>
      </c>
      <c r="H1" s="2701"/>
      <c r="I1" s="2701"/>
      <c r="J1" s="2701"/>
      <c r="K1" s="2701"/>
      <c r="L1" s="2701"/>
      <c r="M1" s="2701"/>
      <c r="N1" s="2701"/>
      <c r="O1" s="2701"/>
      <c r="P1" s="2701"/>
      <c r="Q1" s="2701"/>
      <c r="R1" s="1089"/>
      <c r="S1" s="1089"/>
      <c r="T1" s="820"/>
      <c r="U1" s="820"/>
      <c r="V1" s="820"/>
      <c r="W1" s="820"/>
      <c r="X1" s="820"/>
      <c r="Y1" s="820"/>
      <c r="Z1" s="820"/>
      <c r="AA1" s="820"/>
      <c r="AB1" s="820"/>
      <c r="AC1" s="820"/>
      <c r="AD1" s="820"/>
      <c r="AE1" s="820"/>
      <c r="AF1" s="820"/>
      <c r="AG1" s="820"/>
      <c r="AH1" s="820"/>
      <c r="AI1" s="820"/>
      <c r="AJ1" s="820"/>
    </row>
    <row r="2" spans="1:36" ht="17.25" customHeight="1" thickBot="1">
      <c r="A2" s="822" t="s">
        <v>891</v>
      </c>
      <c r="B2" s="823"/>
      <c r="C2" s="824"/>
      <c r="D2" s="824"/>
      <c r="E2" s="824"/>
      <c r="F2" s="824"/>
      <c r="G2" s="824"/>
      <c r="H2" s="2691" t="s">
        <v>892</v>
      </c>
      <c r="I2" s="2691"/>
      <c r="J2" s="2691"/>
      <c r="K2" s="2691"/>
      <c r="L2" s="2691"/>
      <c r="M2" s="2707" t="str">
        <f>IF(ISBLANK(Prelim!S5)," ",Prelim!S5)</f>
        <v xml:space="preserve"> </v>
      </c>
      <c r="N2" s="2707"/>
      <c r="O2" s="2707"/>
      <c r="P2" s="2707"/>
      <c r="Q2" s="825"/>
      <c r="R2" s="825"/>
      <c r="S2" s="825"/>
      <c r="T2" s="2702" t="str">
        <f>'Drop-Down Lists'!A2</f>
        <v>v 05.01.2026</v>
      </c>
      <c r="U2" s="2702"/>
      <c r="V2" s="2702"/>
      <c r="W2" s="2702"/>
      <c r="X2" s="2703"/>
      <c r="Y2" s="821"/>
      <c r="Z2" s="821"/>
      <c r="AA2" s="821"/>
      <c r="AB2" s="821"/>
      <c r="AC2" s="821"/>
      <c r="AD2" s="821"/>
      <c r="AE2" s="821"/>
      <c r="AF2" s="821"/>
    </row>
    <row r="3" spans="1:36" ht="3.95" customHeight="1" thickBot="1">
      <c r="A3" s="1008"/>
      <c r="B3" s="702"/>
      <c r="C3" s="702"/>
      <c r="D3" s="1009"/>
      <c r="E3" s="1009"/>
      <c r="F3" s="1009"/>
      <c r="G3" s="1009"/>
      <c r="H3" s="1009"/>
      <c r="I3" s="1009"/>
      <c r="J3" s="1010"/>
      <c r="K3" s="1010"/>
      <c r="L3" s="1010"/>
      <c r="M3" s="1010"/>
      <c r="N3" s="1010"/>
      <c r="O3" s="1010"/>
      <c r="P3" s="1010"/>
      <c r="Q3" s="1011"/>
      <c r="R3" s="1011"/>
      <c r="S3" s="1011"/>
      <c r="T3" s="1011"/>
      <c r="U3" s="1011"/>
      <c r="V3" s="1011"/>
      <c r="W3" s="1011"/>
      <c r="X3" s="1012"/>
      <c r="Y3" s="637"/>
      <c r="Z3" s="637"/>
      <c r="AA3" s="637"/>
      <c r="AB3" s="637"/>
    </row>
    <row r="4" spans="1:36" ht="28.35" customHeight="1">
      <c r="A4" s="2695" t="s">
        <v>548</v>
      </c>
      <c r="B4" s="2696"/>
      <c r="C4" s="2696"/>
      <c r="D4" s="2696"/>
      <c r="E4" s="2696"/>
      <c r="F4" s="2696"/>
      <c r="G4" s="2696"/>
      <c r="H4" s="2696"/>
      <c r="I4" s="2704" t="str">
        <f>IF(ISBLANK(Prelim!G3),"  ", Prelim!G3)</f>
        <v xml:space="preserve">  </v>
      </c>
      <c r="J4" s="2705"/>
      <c r="K4" s="2705"/>
      <c r="L4" s="2705"/>
      <c r="M4" s="2705"/>
      <c r="N4" s="2705"/>
      <c r="O4" s="2705"/>
      <c r="P4" s="2705"/>
      <c r="Q4" s="2705"/>
      <c r="R4" s="2705"/>
      <c r="S4" s="2705"/>
      <c r="T4" s="2705"/>
      <c r="U4" s="2705"/>
      <c r="V4" s="2705"/>
      <c r="W4" s="2706"/>
      <c r="X4" s="839"/>
      <c r="Y4" s="818"/>
      <c r="Z4" s="818"/>
      <c r="AA4" s="818"/>
      <c r="AB4" s="818"/>
      <c r="AC4" s="818"/>
      <c r="AD4" s="818"/>
      <c r="AE4" s="818"/>
      <c r="AF4" s="818"/>
      <c r="AG4" s="818"/>
      <c r="AH4" s="818"/>
      <c r="AI4" s="818"/>
      <c r="AJ4" s="818"/>
    </row>
    <row r="5" spans="1:36" ht="3.95" customHeight="1">
      <c r="A5" s="554"/>
      <c r="X5" s="526"/>
    </row>
    <row r="6" spans="1:36" ht="26.1" customHeight="1">
      <c r="A6" s="554"/>
      <c r="B6" s="840"/>
      <c r="C6" s="841"/>
      <c r="D6" s="841"/>
      <c r="E6" s="841"/>
      <c r="F6" s="841"/>
      <c r="G6" s="841"/>
      <c r="H6" s="841"/>
      <c r="I6" s="841"/>
      <c r="J6" s="841"/>
      <c r="K6" s="841"/>
      <c r="L6" s="841"/>
      <c r="M6" s="841"/>
      <c r="N6" s="841"/>
      <c r="O6" s="841"/>
      <c r="P6" s="841"/>
      <c r="Q6" s="841"/>
      <c r="R6" s="841"/>
      <c r="S6" s="841"/>
      <c r="T6" s="841"/>
      <c r="U6" s="841"/>
      <c r="V6" s="841"/>
      <c r="W6" s="842"/>
      <c r="X6" s="526"/>
    </row>
    <row r="7" spans="1:36" ht="26.1" customHeight="1">
      <c r="A7" s="554"/>
      <c r="B7" s="607"/>
      <c r="W7" s="521"/>
      <c r="X7" s="526"/>
    </row>
    <row r="8" spans="1:36" ht="26.1" customHeight="1">
      <c r="A8" s="554"/>
      <c r="B8" s="607"/>
      <c r="W8" s="521"/>
      <c r="X8" s="526"/>
    </row>
    <row r="9" spans="1:36" ht="26.1" customHeight="1">
      <c r="A9" s="554"/>
      <c r="B9" s="607"/>
      <c r="W9" s="521"/>
      <c r="X9" s="526"/>
    </row>
    <row r="10" spans="1:36" ht="26.1" customHeight="1">
      <c r="A10" s="554"/>
      <c r="B10" s="607"/>
      <c r="W10" s="521"/>
      <c r="X10" s="526"/>
    </row>
    <row r="11" spans="1:36" ht="26.1" customHeight="1">
      <c r="A11" s="554"/>
      <c r="B11" s="607"/>
      <c r="W11" s="521"/>
      <c r="X11" s="526"/>
    </row>
    <row r="12" spans="1:36" ht="26.1" customHeight="1">
      <c r="A12" s="554"/>
      <c r="B12" s="607"/>
      <c r="W12" s="521"/>
      <c r="X12" s="526"/>
    </row>
    <row r="13" spans="1:36" ht="26.1" customHeight="1">
      <c r="A13" s="554"/>
      <c r="B13" s="607"/>
      <c r="W13" s="521"/>
      <c r="X13" s="526"/>
    </row>
    <row r="14" spans="1:36" ht="26.1" customHeight="1">
      <c r="A14" s="554"/>
      <c r="B14" s="607"/>
      <c r="W14" s="521"/>
      <c r="X14" s="526"/>
    </row>
    <row r="15" spans="1:36" ht="26.1" customHeight="1">
      <c r="A15" s="554"/>
      <c r="B15" s="607"/>
      <c r="W15" s="521"/>
      <c r="X15" s="526"/>
    </row>
    <row r="16" spans="1:36" ht="26.1" customHeight="1">
      <c r="A16" s="554"/>
      <c r="B16" s="607"/>
      <c r="W16" s="521"/>
      <c r="X16" s="526"/>
    </row>
    <row r="17" spans="1:36" ht="26.1" customHeight="1">
      <c r="A17" s="554"/>
      <c r="B17" s="607"/>
      <c r="W17" s="521"/>
      <c r="X17" s="526"/>
    </row>
    <row r="18" spans="1:36" ht="26.1" customHeight="1">
      <c r="A18" s="554"/>
      <c r="B18" s="607"/>
      <c r="W18" s="521"/>
      <c r="X18" s="526"/>
    </row>
    <row r="19" spans="1:36" ht="26.1" customHeight="1">
      <c r="A19" s="554"/>
      <c r="B19" s="607"/>
      <c r="W19" s="521"/>
      <c r="X19" s="526"/>
    </row>
    <row r="20" spans="1:36" ht="26.1" customHeight="1">
      <c r="A20" s="554"/>
      <c r="B20" s="607"/>
      <c r="W20" s="521"/>
      <c r="X20" s="526"/>
    </row>
    <row r="21" spans="1:36" ht="26.1" customHeight="1">
      <c r="A21" s="554"/>
      <c r="B21" s="607"/>
      <c r="W21" s="521"/>
      <c r="X21" s="526"/>
    </row>
    <row r="22" spans="1:36" ht="26.1" customHeight="1">
      <c r="A22" s="554"/>
      <c r="B22" s="607"/>
      <c r="W22" s="521"/>
      <c r="X22" s="526"/>
    </row>
    <row r="23" spans="1:36" ht="26.1" customHeight="1">
      <c r="A23" s="554"/>
      <c r="B23" s="607"/>
      <c r="W23" s="521"/>
      <c r="X23" s="526"/>
    </row>
    <row r="24" spans="1:36" ht="26.1" customHeight="1">
      <c r="A24" s="554"/>
      <c r="B24" s="607"/>
      <c r="W24" s="521"/>
      <c r="X24" s="526"/>
    </row>
    <row r="25" spans="1:36" ht="26.1" customHeight="1">
      <c r="A25" s="554"/>
      <c r="B25" s="607"/>
      <c r="W25" s="521"/>
      <c r="X25" s="526"/>
    </row>
    <row r="26" spans="1:36" ht="26.1" customHeight="1">
      <c r="A26" s="554"/>
      <c r="B26" s="843"/>
      <c r="C26" s="844"/>
      <c r="D26" s="844"/>
      <c r="E26" s="844"/>
      <c r="F26" s="844"/>
      <c r="G26" s="844"/>
      <c r="H26" s="844"/>
      <c r="I26" s="844"/>
      <c r="J26" s="844"/>
      <c r="K26" s="844"/>
      <c r="L26" s="844"/>
      <c r="M26" s="844"/>
      <c r="N26" s="844"/>
      <c r="O26" s="844"/>
      <c r="P26" s="844"/>
      <c r="Q26" s="844"/>
      <c r="R26" s="844"/>
      <c r="S26" s="844"/>
      <c r="T26" s="844"/>
      <c r="U26" s="844"/>
      <c r="V26" s="844"/>
      <c r="W26" s="845"/>
      <c r="X26" s="526"/>
    </row>
    <row r="27" spans="1:36" ht="6" customHeight="1">
      <c r="A27" s="554"/>
      <c r="X27" s="526"/>
    </row>
    <row r="28" spans="1:36" ht="26.1" customHeight="1">
      <c r="A28" s="2679" t="s">
        <v>752</v>
      </c>
      <c r="B28" s="2656"/>
      <c r="C28" s="2656"/>
      <c r="D28" s="2680"/>
      <c r="E28" s="2681"/>
      <c r="F28" s="2681"/>
      <c r="G28" s="2682"/>
      <c r="H28" s="819"/>
      <c r="I28" s="819"/>
      <c r="J28" s="819"/>
      <c r="T28" s="819"/>
      <c r="X28" s="526"/>
      <c r="Y28" s="819"/>
      <c r="Z28" s="819"/>
      <c r="AE28" s="819"/>
    </row>
    <row r="29" spans="1:36" ht="12" customHeight="1">
      <c r="A29" s="1095"/>
      <c r="B29" s="1096"/>
      <c r="C29" s="1096"/>
      <c r="D29" s="1096"/>
      <c r="E29" s="1096"/>
      <c r="F29" s="1096"/>
      <c r="G29" s="1096"/>
      <c r="H29" s="819"/>
      <c r="I29" s="819"/>
      <c r="J29" s="819"/>
      <c r="T29" s="819"/>
      <c r="X29" s="526"/>
      <c r="Y29" s="819"/>
      <c r="Z29" s="819"/>
      <c r="AE29" s="819"/>
    </row>
    <row r="30" spans="1:36" ht="18.75" customHeight="1">
      <c r="A30" s="2697" t="s">
        <v>549</v>
      </c>
      <c r="B30" s="2465"/>
      <c r="C30" s="2465"/>
      <c r="D30" s="2465"/>
      <c r="E30" s="2465"/>
      <c r="F30" s="2698"/>
      <c r="G30" s="2699"/>
      <c r="H30" s="2699"/>
      <c r="I30" s="2699"/>
      <c r="J30" s="2700"/>
      <c r="K30" s="818"/>
      <c r="L30" s="818"/>
      <c r="M30" s="818"/>
      <c r="N30" s="818"/>
      <c r="O30" s="818"/>
      <c r="P30" s="818"/>
      <c r="Q30" s="818"/>
      <c r="R30" s="818"/>
      <c r="S30" s="818"/>
      <c r="T30" s="818"/>
      <c r="U30" s="818"/>
      <c r="V30" s="818"/>
      <c r="W30" s="818"/>
      <c r="X30" s="833"/>
      <c r="Y30" s="818"/>
      <c r="Z30" s="818"/>
      <c r="AA30" s="818"/>
      <c r="AB30" s="818"/>
      <c r="AC30" s="818"/>
      <c r="AD30" s="818"/>
      <c r="AE30" s="818"/>
      <c r="AF30" s="818"/>
      <c r="AG30" s="818"/>
      <c r="AH30" s="818"/>
      <c r="AI30" s="818"/>
      <c r="AJ30" s="818"/>
    </row>
    <row r="31" spans="1:36" ht="30.75" customHeight="1" thickBot="1">
      <c r="A31" s="829"/>
      <c r="B31" s="830"/>
      <c r="C31" s="830"/>
      <c r="D31" s="830"/>
      <c r="E31" s="830"/>
      <c r="F31" s="830"/>
      <c r="G31" s="830"/>
      <c r="H31" s="830"/>
      <c r="I31" s="830"/>
      <c r="J31" s="830"/>
      <c r="K31" s="830"/>
      <c r="L31" s="830"/>
      <c r="M31" s="830"/>
      <c r="N31" s="830"/>
      <c r="O31" s="830"/>
      <c r="P31" s="830"/>
      <c r="Q31" s="830"/>
      <c r="R31" s="830"/>
      <c r="S31" s="830"/>
      <c r="T31" s="830"/>
      <c r="U31" s="830"/>
      <c r="V31" s="830"/>
      <c r="W31" s="830"/>
      <c r="X31" s="831"/>
    </row>
    <row r="32" spans="1:36" ht="15.75" thickBot="1">
      <c r="A32" s="836" t="s">
        <v>854</v>
      </c>
      <c r="B32" s="837"/>
      <c r="C32" s="837"/>
      <c r="D32" s="837"/>
      <c r="E32" s="837"/>
      <c r="F32" s="837"/>
      <c r="G32" s="837"/>
      <c r="H32" s="837"/>
      <c r="I32" s="837"/>
      <c r="J32" s="837"/>
      <c r="K32" s="837"/>
      <c r="L32" s="837"/>
      <c r="M32" s="837"/>
      <c r="N32" s="837"/>
      <c r="O32" s="837"/>
      <c r="P32" s="837"/>
      <c r="Q32" s="837"/>
      <c r="R32" s="837"/>
      <c r="S32" s="837"/>
      <c r="T32" s="837"/>
      <c r="U32" s="837"/>
      <c r="V32" s="837"/>
      <c r="W32" s="837"/>
      <c r="X32" s="838"/>
      <c r="Y32" s="551"/>
      <c r="Z32" s="551"/>
      <c r="AA32" s="551"/>
      <c r="AB32" s="551"/>
      <c r="AC32" s="551"/>
      <c r="AD32" s="551"/>
      <c r="AE32" s="551"/>
      <c r="AF32" s="551"/>
    </row>
    <row r="33" spans="1:60">
      <c r="A33" s="834" t="s">
        <v>856</v>
      </c>
      <c r="B33" s="551"/>
      <c r="C33" s="551"/>
      <c r="D33" s="551"/>
      <c r="E33" s="551"/>
      <c r="F33" s="551"/>
      <c r="G33" s="551"/>
      <c r="I33" s="551" t="s">
        <v>857</v>
      </c>
      <c r="J33" s="551"/>
      <c r="K33" s="551"/>
      <c r="L33" s="551"/>
      <c r="M33" s="551"/>
      <c r="N33" s="551"/>
      <c r="P33" s="551"/>
      <c r="Q33" s="551"/>
      <c r="R33" s="551"/>
      <c r="S33" s="551"/>
      <c r="T33" s="551" t="s">
        <v>858</v>
      </c>
      <c r="U33" s="551"/>
      <c r="V33" s="551"/>
      <c r="W33" s="551"/>
      <c r="X33" s="835"/>
      <c r="Y33" s="551"/>
      <c r="Z33" s="551"/>
      <c r="AA33" s="551"/>
      <c r="AB33" s="551"/>
      <c r="AD33" s="551"/>
      <c r="AE33" s="551"/>
      <c r="AF33" s="551"/>
    </row>
    <row r="34" spans="1:60" ht="18" customHeight="1">
      <c r="A34" s="554"/>
      <c r="X34" s="526"/>
      <c r="AN34" s="551"/>
      <c r="AO34" s="551"/>
      <c r="AP34" s="551"/>
      <c r="AQ34" s="551"/>
      <c r="AR34" s="551"/>
      <c r="AS34" s="551"/>
      <c r="AT34" s="551"/>
      <c r="AV34" s="551"/>
      <c r="AW34" s="551"/>
      <c r="AX34" s="551"/>
      <c r="AY34" s="551"/>
      <c r="AZ34" s="551"/>
      <c r="BA34" s="551"/>
      <c r="BB34" s="551"/>
      <c r="BC34" s="551"/>
      <c r="BD34" s="551"/>
      <c r="BE34" s="551"/>
      <c r="BF34" s="551"/>
      <c r="BG34" s="551"/>
      <c r="BH34" s="551"/>
    </row>
    <row r="35" spans="1:60" ht="18" customHeight="1">
      <c r="A35" s="554"/>
      <c r="X35" s="526"/>
    </row>
    <row r="36" spans="1:60" ht="18" customHeight="1">
      <c r="A36" s="554"/>
      <c r="X36" s="526"/>
    </row>
    <row r="37" spans="1:60" ht="18" customHeight="1">
      <c r="A37" s="554"/>
      <c r="X37" s="526"/>
    </row>
    <row r="38" spans="1:60" ht="18" customHeight="1">
      <c r="A38" s="554"/>
      <c r="H38" s="551"/>
      <c r="I38" s="551" t="s">
        <v>862</v>
      </c>
      <c r="X38" s="526"/>
    </row>
    <row r="39" spans="1:60" ht="18" customHeight="1">
      <c r="A39" s="554"/>
      <c r="X39" s="526"/>
      <c r="AU39" s="551"/>
    </row>
    <row r="40" spans="1:60" ht="18" customHeight="1">
      <c r="A40" s="554"/>
      <c r="X40" s="526"/>
    </row>
    <row r="41" spans="1:60" ht="18" customHeight="1">
      <c r="A41" s="554"/>
      <c r="X41" s="526"/>
    </row>
    <row r="42" spans="1:60" ht="18" customHeight="1">
      <c r="A42" s="554"/>
      <c r="X42" s="526"/>
    </row>
    <row r="43" spans="1:60" ht="15" customHeight="1">
      <c r="A43" s="554"/>
      <c r="X43" s="526"/>
    </row>
    <row r="44" spans="1:60" ht="15" customHeight="1">
      <c r="A44" s="554"/>
      <c r="X44" s="526"/>
    </row>
    <row r="45" spans="1:60">
      <c r="A45" s="554"/>
      <c r="X45" s="526"/>
    </row>
    <row r="46" spans="1:60" ht="6.6" customHeight="1" thickBot="1">
      <c r="A46" s="829"/>
      <c r="B46" s="830"/>
      <c r="C46" s="830"/>
      <c r="D46" s="830"/>
      <c r="E46" s="830"/>
      <c r="F46" s="830"/>
      <c r="G46" s="830"/>
      <c r="H46" s="830"/>
      <c r="I46" s="830"/>
      <c r="J46" s="830"/>
      <c r="K46" s="830"/>
      <c r="L46" s="830"/>
      <c r="M46" s="830"/>
      <c r="N46" s="830"/>
      <c r="O46" s="830"/>
      <c r="P46" s="830"/>
      <c r="Q46" s="830"/>
      <c r="R46" s="830"/>
      <c r="S46" s="830"/>
      <c r="T46" s="830"/>
      <c r="U46" s="830"/>
      <c r="V46" s="830"/>
      <c r="W46" s="830"/>
      <c r="X46" s="831"/>
    </row>
  </sheetData>
  <customSheetViews>
    <customSheetView guid="{D1431318-1DB8-4C45-813B-5A8065DFC797}" fitToPage="1">
      <selection activeCell="AG46" sqref="AG46"/>
      <pageMargins left="0" right="0" top="0" bottom="0" header="0" footer="0"/>
      <printOptions horizontalCentered="1"/>
      <pageSetup scale="94" orientation="portrait" blackAndWhite="1" r:id="rId1"/>
      <headerFooter alignWithMargins="0"/>
    </customSheetView>
  </customSheetViews>
  <mergeCells count="10">
    <mergeCell ref="G1:Q1"/>
    <mergeCell ref="H2:L2"/>
    <mergeCell ref="T2:X2"/>
    <mergeCell ref="I4:W4"/>
    <mergeCell ref="M2:P2"/>
    <mergeCell ref="A28:C28"/>
    <mergeCell ref="D28:G28"/>
    <mergeCell ref="A4:H4"/>
    <mergeCell ref="A30:E30"/>
    <mergeCell ref="F30:J30"/>
  </mergeCells>
  <printOptions horizontalCentered="1"/>
  <pageMargins left="0.4" right="0.4" top="0.4" bottom="0.4" header="0.5" footer="0.5"/>
  <pageSetup orientation="portrait" blackAndWhite="1"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162836" r:id="rId5" name="Check Box 1172">
              <controlPr defaultSize="0" autoFill="0" autoLine="0" autoPict="0">
                <anchor moveWithCells="1" sizeWithCells="1">
                  <from>
                    <xdr:col>9</xdr:col>
                    <xdr:colOff>161925</xdr:colOff>
                    <xdr:row>26</xdr:row>
                    <xdr:rowOff>66675</xdr:rowOff>
                  </from>
                  <to>
                    <xdr:col>13</xdr:col>
                    <xdr:colOff>28575</xdr:colOff>
                    <xdr:row>29</xdr:row>
                    <xdr:rowOff>28575</xdr:rowOff>
                  </to>
                </anchor>
              </controlPr>
            </control>
          </mc:Choice>
        </mc:AlternateContent>
        <mc:AlternateContent xmlns:mc="http://schemas.openxmlformats.org/markup-compatibility/2006">
          <mc:Choice Requires="x14">
            <control shapeId="2162837" r:id="rId6" name="Check Box 1173">
              <controlPr defaultSize="0" autoFill="0" autoLine="0" autoPict="0">
                <anchor moveWithCells="1" sizeWithCells="1">
                  <from>
                    <xdr:col>13</xdr:col>
                    <xdr:colOff>85725</xdr:colOff>
                    <xdr:row>26</xdr:row>
                    <xdr:rowOff>47625</xdr:rowOff>
                  </from>
                  <to>
                    <xdr:col>17</xdr:col>
                    <xdr:colOff>142875</xdr:colOff>
                    <xdr:row>29</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8C142-5006-49A6-9F53-FAAA3CE9DD7B}">
  <sheetPr>
    <tabColor rgb="FFFF6600"/>
    <pageSetUpPr fitToPage="1"/>
  </sheetPr>
  <dimension ref="A1:AS314"/>
  <sheetViews>
    <sheetView view="pageBreakPreview" zoomScaleNormal="100" zoomScaleSheetLayoutView="100" workbookViewId="0">
      <selection activeCell="C4" sqref="C4:E4"/>
    </sheetView>
  </sheetViews>
  <sheetFormatPr defaultColWidth="9.140625" defaultRowHeight="15"/>
  <cols>
    <col min="1" max="1" width="10.42578125" style="613" customWidth="1"/>
    <col min="2" max="2" width="11.42578125" style="613" customWidth="1"/>
    <col min="3" max="3" width="7.85546875" style="613" customWidth="1"/>
    <col min="4" max="7" width="7.42578125" style="613" customWidth="1"/>
    <col min="8" max="8" width="14" style="613" customWidth="1"/>
    <col min="9" max="9" width="11.140625" style="613" customWidth="1"/>
    <col min="10" max="10" width="11.42578125" style="613" customWidth="1"/>
    <col min="11" max="11" width="14.7109375" style="613" customWidth="1"/>
    <col min="12" max="12" width="12.7109375" style="613" customWidth="1"/>
    <col min="13" max="13" width="9.140625" style="613"/>
    <col min="14" max="14" width="13.140625" style="614" customWidth="1"/>
    <col min="15" max="15" width="7.85546875" style="614" customWidth="1"/>
    <col min="16" max="27" width="9.140625" style="614"/>
    <col min="28" max="16384" width="9.140625" style="613"/>
  </cols>
  <sheetData>
    <row r="1" spans="1:45" ht="45.75" customHeight="1" thickBot="1">
      <c r="B1" s="1623"/>
      <c r="C1" s="2503" t="s">
        <v>682</v>
      </c>
      <c r="D1" s="2503"/>
      <c r="E1" s="2503"/>
      <c r="F1" s="2503"/>
      <c r="G1" s="2503"/>
      <c r="H1" s="2503"/>
      <c r="I1" s="1139" t="s">
        <v>551</v>
      </c>
      <c r="J1" s="2504" t="str">
        <f>IF(ISBLANK(Prelim!S5)," ",Prelim!S5)</f>
        <v xml:space="preserve"> </v>
      </c>
      <c r="K1" s="2504"/>
      <c r="L1" s="2504" t="str">
        <f>'Drop-Down Lists'!A2</f>
        <v>v 05.01.2026</v>
      </c>
      <c r="M1" s="2504"/>
      <c r="AB1" s="615"/>
      <c r="AC1" s="615"/>
      <c r="AD1" s="615"/>
      <c r="AE1" s="615"/>
      <c r="AF1" s="615"/>
      <c r="AG1" s="615"/>
      <c r="AH1" s="615"/>
      <c r="AI1" s="615"/>
      <c r="AJ1" s="615"/>
      <c r="AK1" s="615"/>
      <c r="AL1" s="615"/>
      <c r="AM1" s="615"/>
      <c r="AN1" s="615"/>
      <c r="AO1" s="615"/>
      <c r="AP1" s="615"/>
      <c r="AQ1" s="615"/>
      <c r="AR1" s="615"/>
      <c r="AS1" s="615"/>
    </row>
    <row r="2" spans="1:45" ht="18" customHeight="1">
      <c r="A2" s="1188" t="s">
        <v>683</v>
      </c>
      <c r="B2" s="2617" t="str">
        <f>IF(ISBLANK(Prelim!G3),"  ", Prelim!G3)</f>
        <v xml:space="preserve">  </v>
      </c>
      <c r="C2" s="2617"/>
      <c r="D2" s="2617"/>
      <c r="E2" s="2617"/>
      <c r="F2" s="2617"/>
      <c r="G2" s="2617"/>
      <c r="H2" s="2506" t="s">
        <v>684</v>
      </c>
      <c r="I2" s="2507"/>
      <c r="J2" s="2618" t="str">
        <f>IF(ISBLANK(Prelim!G5), " ", Prelim!G5)</f>
        <v xml:space="preserve"> </v>
      </c>
      <c r="K2" s="2618"/>
      <c r="L2" s="2618"/>
      <c r="M2" s="2619"/>
      <c r="O2" s="2556" t="s">
        <v>707</v>
      </c>
      <c r="P2" s="2557"/>
      <c r="Q2" s="2557"/>
      <c r="R2" s="2557"/>
      <c r="S2" s="2557"/>
      <c r="T2" s="2557"/>
      <c r="U2" s="1471"/>
      <c r="V2" s="1471"/>
      <c r="W2" s="1472"/>
      <c r="AB2" s="615"/>
      <c r="AC2" s="615"/>
      <c r="AD2" s="615"/>
      <c r="AE2" s="615"/>
      <c r="AF2" s="615"/>
      <c r="AG2" s="615"/>
      <c r="AH2" s="615"/>
      <c r="AI2" s="615"/>
      <c r="AJ2" s="615"/>
      <c r="AK2" s="615"/>
      <c r="AL2" s="615"/>
      <c r="AM2" s="615"/>
      <c r="AN2" s="615"/>
      <c r="AO2" s="615"/>
      <c r="AP2" s="615"/>
      <c r="AQ2" s="615"/>
      <c r="AR2" s="615"/>
      <c r="AS2" s="615"/>
    </row>
    <row r="3" spans="1:45" ht="20.100000000000001" customHeight="1">
      <c r="A3" s="1140" t="s">
        <v>685</v>
      </c>
      <c r="M3" s="1141"/>
      <c r="O3" s="627" t="s">
        <v>708</v>
      </c>
      <c r="P3" s="1226"/>
      <c r="Q3" s="1226"/>
      <c r="R3" s="1238"/>
      <c r="S3" s="1238"/>
      <c r="T3" s="1238"/>
      <c r="W3" s="1473"/>
      <c r="AB3" s="615"/>
      <c r="AC3" s="615"/>
      <c r="AD3" s="615"/>
      <c r="AE3" s="615"/>
      <c r="AF3" s="615"/>
      <c r="AG3" s="615"/>
      <c r="AH3" s="615"/>
      <c r="AI3" s="615"/>
      <c r="AJ3" s="615"/>
      <c r="AK3" s="615"/>
      <c r="AL3" s="615"/>
      <c r="AM3" s="615"/>
      <c r="AN3" s="615"/>
      <c r="AO3" s="615"/>
      <c r="AP3" s="615"/>
      <c r="AQ3" s="615"/>
      <c r="AR3" s="615"/>
      <c r="AS3" s="615"/>
    </row>
    <row r="4" spans="1:45" ht="19.5" customHeight="1">
      <c r="A4" s="2517" t="s">
        <v>686</v>
      </c>
      <c r="B4" s="2518"/>
      <c r="C4" s="2519"/>
      <c r="D4" s="2519"/>
      <c r="E4" s="2520"/>
      <c r="F4" s="1142" t="s">
        <v>687</v>
      </c>
      <c r="G4" s="1143"/>
      <c r="H4" s="1624" t="s">
        <v>650</v>
      </c>
      <c r="I4" s="2510"/>
      <c r="J4" s="2511"/>
      <c r="K4" s="2612" t="s">
        <v>688</v>
      </c>
      <c r="L4" s="2612"/>
      <c r="M4" s="1219"/>
      <c r="O4" s="627" t="s">
        <v>709</v>
      </c>
      <c r="P4" s="1226"/>
      <c r="Q4" s="1226"/>
      <c r="R4" s="1238"/>
      <c r="S4" s="1238"/>
      <c r="T4" s="1238"/>
      <c r="W4" s="1473"/>
      <c r="AB4" s="615"/>
      <c r="AC4" s="615"/>
      <c r="AD4" s="615"/>
      <c r="AE4" s="615"/>
      <c r="AF4" s="615"/>
      <c r="AG4" s="615"/>
      <c r="AH4" s="615"/>
      <c r="AI4" s="615"/>
      <c r="AJ4" s="615"/>
      <c r="AK4" s="615"/>
      <c r="AL4" s="615"/>
      <c r="AM4" s="615"/>
      <c r="AN4" s="615"/>
      <c r="AO4" s="615"/>
      <c r="AP4" s="615"/>
      <c r="AQ4" s="615"/>
      <c r="AR4" s="615"/>
      <c r="AS4" s="615"/>
    </row>
    <row r="5" spans="1:45" ht="19.5" customHeight="1">
      <c r="A5" s="1218" t="s">
        <v>689</v>
      </c>
      <c r="B5" s="2510"/>
      <c r="C5" s="2510"/>
      <c r="D5" s="2511"/>
      <c r="E5" s="2512" t="s">
        <v>690</v>
      </c>
      <c r="F5" s="2513"/>
      <c r="G5" s="2513"/>
      <c r="H5" s="2615" t="str">
        <f>IF(ISBLANK(Prelim!G84)," ",Prelim!G84)</f>
        <v xml:space="preserve"> </v>
      </c>
      <c r="I5" s="2616"/>
      <c r="J5" s="2613" t="s">
        <v>691</v>
      </c>
      <c r="K5" s="2614"/>
      <c r="L5" s="2614"/>
      <c r="M5" s="2210"/>
      <c r="O5" s="627" t="s">
        <v>710</v>
      </c>
      <c r="P5" s="1226"/>
      <c r="Q5" s="1226"/>
      <c r="R5" s="1238"/>
      <c r="S5" s="1238"/>
      <c r="T5" s="1238"/>
      <c r="W5" s="1473"/>
      <c r="Y5" s="615"/>
      <c r="Z5" s="615"/>
      <c r="AA5" s="615"/>
      <c r="AB5" s="615"/>
      <c r="AC5" s="615"/>
      <c r="AD5" s="615"/>
      <c r="AE5" s="615"/>
      <c r="AF5" s="615"/>
      <c r="AG5" s="615"/>
      <c r="AH5" s="615"/>
      <c r="AI5" s="615"/>
      <c r="AJ5" s="615"/>
      <c r="AK5" s="615"/>
      <c r="AL5" s="615"/>
      <c r="AM5" s="615"/>
      <c r="AN5" s="615"/>
      <c r="AO5" s="615"/>
      <c r="AP5" s="615"/>
      <c r="AQ5" s="615"/>
      <c r="AR5" s="615"/>
      <c r="AS5" s="615"/>
    </row>
    <row r="6" spans="1:45" ht="19.5" customHeight="1">
      <c r="A6" s="2517" t="s">
        <v>692</v>
      </c>
      <c r="B6" s="2518"/>
      <c r="C6" s="2518"/>
      <c r="D6" s="2529"/>
      <c r="E6" s="2621"/>
      <c r="F6" s="2511"/>
      <c r="G6" s="2622"/>
      <c r="H6" s="2511"/>
      <c r="I6" s="2530"/>
      <c r="J6" s="2511"/>
      <c r="K6" s="2620" t="s">
        <v>693</v>
      </c>
      <c r="L6" s="2612"/>
      <c r="M6" s="2211"/>
      <c r="O6" s="1630" t="s">
        <v>711</v>
      </c>
      <c r="P6" s="1226"/>
      <c r="Q6" s="1226"/>
      <c r="R6" s="1238"/>
      <c r="S6" s="629"/>
      <c r="T6" s="629"/>
      <c r="U6" s="1474"/>
      <c r="V6" s="1474"/>
      <c r="W6" s="1475"/>
      <c r="AB6" s="615"/>
      <c r="AC6" s="615"/>
      <c r="AD6" s="615"/>
      <c r="AE6" s="615"/>
      <c r="AF6" s="615"/>
      <c r="AG6" s="615"/>
      <c r="AH6" s="615"/>
      <c r="AI6" s="615"/>
      <c r="AJ6" s="615"/>
      <c r="AK6" s="615"/>
      <c r="AL6" s="615"/>
      <c r="AM6" s="615"/>
      <c r="AN6" s="615"/>
      <c r="AO6" s="615"/>
      <c r="AP6" s="615"/>
      <c r="AQ6" s="615"/>
      <c r="AR6" s="615"/>
      <c r="AS6" s="615"/>
    </row>
    <row r="7" spans="1:45" ht="19.5" customHeight="1" thickBot="1">
      <c r="A7" s="2610" t="s">
        <v>725</v>
      </c>
      <c r="B7" s="2611"/>
      <c r="C7" s="2611"/>
      <c r="D7" s="2623"/>
      <c r="E7" s="2624"/>
      <c r="F7" s="2623"/>
      <c r="G7" s="2624"/>
      <c r="H7" s="2575"/>
      <c r="I7" s="2575"/>
      <c r="J7" s="2575"/>
      <c r="K7" s="2609" t="s">
        <v>726</v>
      </c>
      <c r="L7" s="2609"/>
      <c r="M7" s="2306"/>
      <c r="O7" s="1632" t="s">
        <v>712</v>
      </c>
      <c r="P7" s="1626"/>
      <c r="Q7" s="1626"/>
      <c r="R7" s="1631"/>
      <c r="S7" s="1633" t="s">
        <v>727</v>
      </c>
      <c r="T7" s="1628"/>
      <c r="U7" s="1628"/>
      <c r="V7" s="1232"/>
      <c r="W7" s="1232"/>
      <c r="X7" s="1232"/>
      <c r="Y7" s="624"/>
      <c r="Z7" s="624"/>
      <c r="AA7" s="1231"/>
      <c r="AB7" s="615"/>
      <c r="AC7" s="615"/>
      <c r="AD7" s="615"/>
      <c r="AE7" s="615"/>
      <c r="AF7" s="615"/>
      <c r="AG7" s="615"/>
      <c r="AH7" s="615"/>
      <c r="AI7" s="615"/>
      <c r="AJ7" s="615"/>
      <c r="AK7" s="615"/>
      <c r="AL7" s="615"/>
      <c r="AM7" s="615"/>
      <c r="AN7" s="615"/>
      <c r="AO7" s="615"/>
    </row>
    <row r="8" spans="1:45" ht="14.1" customHeight="1">
      <c r="A8" s="2545" t="s">
        <v>696</v>
      </c>
      <c r="B8" s="2531" t="s">
        <v>697</v>
      </c>
      <c r="C8" s="2547" t="s">
        <v>698</v>
      </c>
      <c r="D8" s="2549" t="s">
        <v>699</v>
      </c>
      <c r="E8" s="2550"/>
      <c r="F8" s="2549" t="s">
        <v>700</v>
      </c>
      <c r="G8" s="2553"/>
      <c r="H8" s="2625" t="s">
        <v>701</v>
      </c>
      <c r="I8" s="2625" t="s">
        <v>702</v>
      </c>
      <c r="J8" s="2626" t="s">
        <v>703</v>
      </c>
      <c r="K8" s="2533"/>
      <c r="L8" s="2533"/>
      <c r="M8" s="2534"/>
      <c r="O8" s="2564" t="s">
        <v>713</v>
      </c>
      <c r="P8" s="2565"/>
      <c r="Q8" s="2565"/>
      <c r="R8" s="2566"/>
      <c r="S8" s="2591" t="s">
        <v>96</v>
      </c>
      <c r="T8" s="2591"/>
      <c r="U8" s="2591"/>
      <c r="V8" s="1230"/>
      <c r="W8" s="2565" t="s">
        <v>728</v>
      </c>
      <c r="X8" s="2565"/>
      <c r="Y8" s="2565"/>
      <c r="Z8" s="2565"/>
      <c r="AA8" s="2566"/>
      <c r="AB8" s="615"/>
      <c r="AC8" s="615"/>
      <c r="AD8" s="615"/>
      <c r="AE8" s="615"/>
      <c r="AF8" s="615"/>
      <c r="AG8" s="615"/>
      <c r="AH8" s="615"/>
      <c r="AI8" s="615"/>
      <c r="AJ8" s="615"/>
      <c r="AK8" s="615"/>
      <c r="AL8" s="615"/>
      <c r="AM8" s="615"/>
      <c r="AN8" s="615"/>
      <c r="AO8" s="615"/>
      <c r="AP8" s="615"/>
      <c r="AQ8" s="615"/>
      <c r="AR8" s="615"/>
    </row>
    <row r="9" spans="1:45" ht="14.1" customHeight="1" thickBot="1">
      <c r="A9" s="2546"/>
      <c r="B9" s="2532"/>
      <c r="C9" s="2548"/>
      <c r="D9" s="2551"/>
      <c r="E9" s="2552"/>
      <c r="F9" s="2554"/>
      <c r="G9" s="2555"/>
      <c r="H9" s="2532"/>
      <c r="I9" s="2532"/>
      <c r="J9" s="1217" t="s">
        <v>704</v>
      </c>
      <c r="K9" s="1217" t="s">
        <v>705</v>
      </c>
      <c r="L9" s="2627" t="s">
        <v>706</v>
      </c>
      <c r="M9" s="2628"/>
      <c r="O9" s="2564" t="s">
        <v>714</v>
      </c>
      <c r="P9" s="2565"/>
      <c r="Q9" s="2565"/>
      <c r="R9" s="2566"/>
      <c r="S9" s="2591" t="s">
        <v>152</v>
      </c>
      <c r="T9" s="2591"/>
      <c r="U9" s="2591"/>
      <c r="V9" s="1230"/>
      <c r="W9" s="2565" t="s">
        <v>729</v>
      </c>
      <c r="X9" s="2565"/>
      <c r="Y9" s="2565"/>
      <c r="Z9" s="2565"/>
      <c r="AA9" s="2566"/>
      <c r="AB9" s="615"/>
      <c r="AC9" s="615"/>
      <c r="AD9" s="615"/>
      <c r="AE9" s="615"/>
      <c r="AF9" s="615"/>
      <c r="AG9" s="615"/>
      <c r="AH9" s="615"/>
      <c r="AI9" s="615"/>
      <c r="AJ9" s="615"/>
      <c r="AK9" s="615"/>
      <c r="AL9" s="615"/>
      <c r="AM9" s="615"/>
      <c r="AN9" s="615"/>
      <c r="AO9" s="615"/>
      <c r="AP9" s="615"/>
      <c r="AQ9" s="615"/>
      <c r="AR9" s="615"/>
    </row>
    <row r="10" spans="1:45" ht="18" customHeight="1" thickTop="1">
      <c r="A10" s="2536"/>
      <c r="B10" s="2538"/>
      <c r="C10" s="2538"/>
      <c r="D10" s="1403"/>
      <c r="E10" s="1404"/>
      <c r="F10" s="1403"/>
      <c r="G10" s="1404"/>
      <c r="H10" s="2267"/>
      <c r="I10" s="1400"/>
      <c r="J10" s="2541"/>
      <c r="K10" s="2541"/>
      <c r="L10" s="2541"/>
      <c r="M10" s="2543"/>
      <c r="N10" s="617"/>
      <c r="O10" s="2564" t="s">
        <v>715</v>
      </c>
      <c r="P10" s="2565"/>
      <c r="Q10" s="2565"/>
      <c r="R10" s="2566"/>
      <c r="S10" s="2591" t="s">
        <v>208</v>
      </c>
      <c r="T10" s="2591"/>
      <c r="U10" s="2591"/>
      <c r="V10" s="1230"/>
      <c r="W10" s="2565" t="s">
        <v>730</v>
      </c>
      <c r="X10" s="2565"/>
      <c r="Y10" s="2565"/>
      <c r="Z10" s="2565"/>
      <c r="AA10" s="2566"/>
      <c r="AB10" s="615"/>
      <c r="AC10" s="615"/>
      <c r="AD10" s="615"/>
      <c r="AE10" s="615"/>
      <c r="AF10" s="615"/>
      <c r="AG10" s="615"/>
      <c r="AH10" s="615"/>
      <c r="AI10" s="615"/>
      <c r="AJ10" s="615"/>
      <c r="AK10" s="615"/>
      <c r="AL10" s="615"/>
      <c r="AM10" s="615"/>
      <c r="AN10" s="615"/>
      <c r="AO10" s="615"/>
      <c r="AP10" s="615"/>
      <c r="AQ10" s="615"/>
      <c r="AR10" s="615"/>
    </row>
    <row r="11" spans="1:45" ht="18" customHeight="1">
      <c r="A11" s="2537"/>
      <c r="B11" s="2539"/>
      <c r="C11" s="2540"/>
      <c r="D11" s="1401"/>
      <c r="E11" s="1402"/>
      <c r="F11" s="1403"/>
      <c r="G11" s="1402"/>
      <c r="H11" s="1400"/>
      <c r="I11" s="1400"/>
      <c r="J11" s="2542"/>
      <c r="K11" s="2542"/>
      <c r="L11" s="2542"/>
      <c r="M11" s="2544"/>
      <c r="N11" s="617"/>
      <c r="O11" s="2564" t="s">
        <v>716</v>
      </c>
      <c r="P11" s="2565"/>
      <c r="Q11" s="2565"/>
      <c r="R11" s="2566"/>
      <c r="S11" s="2629" t="s">
        <v>249</v>
      </c>
      <c r="T11" s="2629"/>
      <c r="U11" s="2629"/>
      <c r="V11" s="1230"/>
      <c r="W11" s="2593" t="s">
        <v>731</v>
      </c>
      <c r="X11" s="2593"/>
      <c r="Y11" s="2593"/>
      <c r="Z11" s="2593"/>
      <c r="AA11" s="2594"/>
      <c r="AB11" s="615"/>
      <c r="AC11" s="615"/>
      <c r="AD11" s="615"/>
      <c r="AE11" s="615"/>
      <c r="AF11" s="615"/>
      <c r="AG11" s="615"/>
      <c r="AH11" s="615"/>
      <c r="AI11" s="615"/>
      <c r="AJ11" s="615"/>
      <c r="AK11" s="615"/>
      <c r="AL11" s="615"/>
      <c r="AM11" s="615"/>
      <c r="AN11" s="615"/>
      <c r="AO11" s="615"/>
      <c r="AP11" s="615"/>
      <c r="AQ11" s="615"/>
      <c r="AR11" s="615"/>
    </row>
    <row r="12" spans="1:45" ht="18" customHeight="1">
      <c r="A12" s="2537"/>
      <c r="B12" s="2539"/>
      <c r="C12" s="2538"/>
      <c r="D12" s="1401"/>
      <c r="E12" s="1402"/>
      <c r="F12" s="1403"/>
      <c r="G12" s="1402"/>
      <c r="H12" s="1400"/>
      <c r="I12" s="1400"/>
      <c r="J12" s="2542"/>
      <c r="K12" s="2542"/>
      <c r="L12" s="2542"/>
      <c r="M12" s="2544"/>
      <c r="N12" s="617"/>
      <c r="O12" s="2564" t="s">
        <v>717</v>
      </c>
      <c r="P12" s="2565"/>
      <c r="Q12" s="2565"/>
      <c r="R12" s="2566"/>
      <c r="S12" s="2629"/>
      <c r="T12" s="2629"/>
      <c r="U12" s="2629"/>
      <c r="V12" s="1230"/>
      <c r="W12" s="2593"/>
      <c r="X12" s="2593"/>
      <c r="Y12" s="2593"/>
      <c r="Z12" s="2593"/>
      <c r="AA12" s="2594"/>
      <c r="AB12" s="615"/>
      <c r="AC12" s="615"/>
      <c r="AD12" s="615"/>
      <c r="AE12" s="615"/>
      <c r="AF12" s="615"/>
      <c r="AG12" s="615"/>
      <c r="AH12" s="615"/>
      <c r="AI12" s="615"/>
      <c r="AJ12" s="615"/>
      <c r="AK12" s="615"/>
      <c r="AL12" s="615"/>
      <c r="AM12" s="615"/>
      <c r="AN12" s="615"/>
      <c r="AO12" s="615"/>
      <c r="AP12" s="615"/>
      <c r="AQ12" s="615"/>
      <c r="AR12" s="615"/>
    </row>
    <row r="13" spans="1:45" ht="18" customHeight="1">
      <c r="A13" s="2537"/>
      <c r="B13" s="2539"/>
      <c r="C13" s="2540"/>
      <c r="D13" s="1401"/>
      <c r="E13" s="1402"/>
      <c r="F13" s="1403"/>
      <c r="G13" s="1402"/>
      <c r="H13" s="1400"/>
      <c r="I13" s="1400"/>
      <c r="J13" s="2542"/>
      <c r="K13" s="2542"/>
      <c r="L13" s="2542"/>
      <c r="M13" s="2544"/>
      <c r="N13" s="617"/>
      <c r="O13" s="2567" t="s">
        <v>718</v>
      </c>
      <c r="P13" s="2568"/>
      <c r="Q13" s="2568"/>
      <c r="R13" s="2569"/>
      <c r="S13" s="2596" t="s">
        <v>277</v>
      </c>
      <c r="T13" s="2596"/>
      <c r="U13" s="2596"/>
      <c r="V13" s="1229"/>
      <c r="W13" s="2597" t="s">
        <v>732</v>
      </c>
      <c r="X13" s="2597"/>
      <c r="Y13" s="2597"/>
      <c r="Z13" s="2597"/>
      <c r="AA13" s="2598"/>
      <c r="AC13" s="615"/>
      <c r="AD13" s="615"/>
      <c r="AE13" s="615"/>
      <c r="AF13" s="615"/>
      <c r="AG13" s="615"/>
      <c r="AH13" s="615"/>
      <c r="AI13" s="615"/>
      <c r="AJ13" s="615"/>
      <c r="AK13" s="615"/>
      <c r="AL13" s="615"/>
      <c r="AM13" s="615"/>
      <c r="AN13" s="615"/>
      <c r="AO13" s="615"/>
      <c r="AP13" s="615"/>
      <c r="AQ13" s="615"/>
      <c r="AR13" s="615"/>
    </row>
    <row r="14" spans="1:45" ht="18" customHeight="1">
      <c r="A14" s="2537"/>
      <c r="B14" s="2539"/>
      <c r="C14" s="2538"/>
      <c r="D14" s="1401"/>
      <c r="E14" s="1402"/>
      <c r="F14" s="1403"/>
      <c r="G14" s="1402"/>
      <c r="H14" s="1400"/>
      <c r="I14" s="1400"/>
      <c r="J14" s="2542"/>
      <c r="K14" s="2542"/>
      <c r="L14" s="2542"/>
      <c r="M14" s="2544"/>
      <c r="N14" s="617"/>
      <c r="O14" s="1627" t="s">
        <v>733</v>
      </c>
      <c r="P14" s="1628"/>
      <c r="Q14" s="1628"/>
      <c r="R14" s="1232"/>
      <c r="S14" s="1241"/>
      <c r="T14" s="1241"/>
      <c r="U14" s="632"/>
      <c r="V14" s="632"/>
      <c r="W14" s="632"/>
      <c r="X14" s="632"/>
      <c r="Y14" s="632"/>
      <c r="Z14" s="632"/>
      <c r="AA14" s="623"/>
      <c r="AD14" s="615"/>
      <c r="AE14" s="615"/>
      <c r="AF14" s="615"/>
      <c r="AG14" s="615"/>
      <c r="AH14" s="615"/>
      <c r="AI14" s="615"/>
      <c r="AJ14" s="615"/>
      <c r="AK14" s="615"/>
      <c r="AL14" s="615"/>
      <c r="AM14" s="615"/>
      <c r="AN14" s="615"/>
      <c r="AO14" s="615"/>
      <c r="AP14" s="615"/>
      <c r="AQ14" s="615"/>
      <c r="AR14" s="615"/>
      <c r="AS14" s="615"/>
    </row>
    <row r="15" spans="1:45" ht="18" customHeight="1">
      <c r="A15" s="2537"/>
      <c r="B15" s="2539"/>
      <c r="C15" s="2540"/>
      <c r="D15" s="1401"/>
      <c r="E15" s="1402"/>
      <c r="F15" s="1403"/>
      <c r="G15" s="1402"/>
      <c r="H15" s="1400"/>
      <c r="I15" s="1400"/>
      <c r="J15" s="2542"/>
      <c r="K15" s="2542"/>
      <c r="L15" s="2542"/>
      <c r="M15" s="2544"/>
      <c r="N15" s="617"/>
      <c r="O15" s="2592" t="s">
        <v>150</v>
      </c>
      <c r="P15" s="2591"/>
      <c r="Q15" s="2591"/>
      <c r="R15" s="1230"/>
      <c r="S15" s="2605" t="s">
        <v>734</v>
      </c>
      <c r="T15" s="2605"/>
      <c r="U15" s="2605"/>
      <c r="V15" s="2605"/>
      <c r="W15" s="2605"/>
      <c r="X15" s="2605"/>
      <c r="Y15" s="2605"/>
      <c r="Z15" s="2605"/>
      <c r="AA15" s="2606"/>
      <c r="AF15" s="615"/>
      <c r="AG15" s="615"/>
      <c r="AH15" s="615"/>
      <c r="AI15" s="615"/>
      <c r="AJ15" s="615"/>
      <c r="AK15" s="615"/>
      <c r="AL15" s="615"/>
      <c r="AM15" s="615"/>
      <c r="AN15" s="615"/>
      <c r="AO15" s="615"/>
      <c r="AP15" s="615"/>
      <c r="AQ15" s="615"/>
      <c r="AR15" s="615"/>
      <c r="AS15" s="615"/>
    </row>
    <row r="16" spans="1:45" ht="18" customHeight="1">
      <c r="A16" s="2537"/>
      <c r="B16" s="2539"/>
      <c r="C16" s="2538"/>
      <c r="D16" s="1401"/>
      <c r="E16" s="1402"/>
      <c r="F16" s="1403"/>
      <c r="G16" s="1402"/>
      <c r="H16" s="1400"/>
      <c r="I16" s="1400"/>
      <c r="J16" s="2542"/>
      <c r="K16" s="2542"/>
      <c r="L16" s="2542"/>
      <c r="M16" s="2544"/>
      <c r="N16" s="617"/>
      <c r="O16" s="2592"/>
      <c r="P16" s="2591"/>
      <c r="Q16" s="2591"/>
      <c r="R16" s="1230"/>
      <c r="S16" s="2605"/>
      <c r="T16" s="2605"/>
      <c r="U16" s="2605"/>
      <c r="V16" s="2605"/>
      <c r="W16" s="2605"/>
      <c r="X16" s="2605"/>
      <c r="Y16" s="2605"/>
      <c r="Z16" s="2605"/>
      <c r="AA16" s="2606"/>
      <c r="AF16" s="615"/>
      <c r="AG16" s="615"/>
      <c r="AH16" s="615"/>
      <c r="AI16" s="615"/>
      <c r="AJ16" s="615"/>
      <c r="AK16" s="615"/>
      <c r="AL16" s="615"/>
      <c r="AM16" s="615"/>
      <c r="AN16" s="615"/>
      <c r="AO16" s="615"/>
      <c r="AP16" s="615"/>
      <c r="AQ16" s="615"/>
      <c r="AR16" s="615"/>
      <c r="AS16" s="615"/>
    </row>
    <row r="17" spans="1:45" ht="18" customHeight="1">
      <c r="A17" s="2537"/>
      <c r="B17" s="2539"/>
      <c r="C17" s="2540"/>
      <c r="D17" s="1401"/>
      <c r="E17" s="1402"/>
      <c r="F17" s="1403"/>
      <c r="G17" s="1402"/>
      <c r="H17" s="1400"/>
      <c r="I17" s="1400"/>
      <c r="J17" s="2542"/>
      <c r="K17" s="2542"/>
      <c r="L17" s="2542"/>
      <c r="M17" s="2544"/>
      <c r="N17" s="617"/>
      <c r="O17" s="2592" t="s">
        <v>206</v>
      </c>
      <c r="P17" s="2591"/>
      <c r="Q17" s="2591"/>
      <c r="R17" s="1230"/>
      <c r="S17" s="2605" t="s">
        <v>735</v>
      </c>
      <c r="T17" s="2605"/>
      <c r="U17" s="2605"/>
      <c r="V17" s="2605"/>
      <c r="W17" s="2605"/>
      <c r="X17" s="2605"/>
      <c r="Y17" s="2605"/>
      <c r="Z17" s="2605"/>
      <c r="AA17" s="2606"/>
      <c r="AF17" s="615"/>
      <c r="AG17" s="615"/>
      <c r="AH17" s="615"/>
      <c r="AI17" s="615"/>
      <c r="AJ17" s="615"/>
      <c r="AK17" s="615"/>
      <c r="AL17" s="615"/>
      <c r="AM17" s="615"/>
      <c r="AN17" s="615"/>
      <c r="AO17" s="615"/>
      <c r="AP17" s="615"/>
      <c r="AQ17" s="615"/>
      <c r="AR17" s="615"/>
      <c r="AS17" s="615"/>
    </row>
    <row r="18" spans="1:45" ht="18" customHeight="1">
      <c r="A18" s="2537"/>
      <c r="B18" s="2539"/>
      <c r="C18" s="2538"/>
      <c r="D18" s="1401"/>
      <c r="E18" s="1402"/>
      <c r="F18" s="1403"/>
      <c r="G18" s="1402"/>
      <c r="H18" s="1400"/>
      <c r="I18" s="1400"/>
      <c r="J18" s="2542"/>
      <c r="K18" s="2542"/>
      <c r="L18" s="2542"/>
      <c r="M18" s="2544"/>
      <c r="N18" s="617"/>
      <c r="O18" s="2592"/>
      <c r="P18" s="2591"/>
      <c r="Q18" s="2591"/>
      <c r="R18" s="1230"/>
      <c r="S18" s="2605"/>
      <c r="T18" s="2605"/>
      <c r="U18" s="2605"/>
      <c r="V18" s="2605"/>
      <c r="W18" s="2605"/>
      <c r="X18" s="2605"/>
      <c r="Y18" s="2605"/>
      <c r="Z18" s="2605"/>
      <c r="AA18" s="2606"/>
      <c r="AF18" s="615"/>
      <c r="AG18" s="615"/>
      <c r="AH18" s="615"/>
      <c r="AI18" s="615"/>
      <c r="AJ18" s="615"/>
      <c r="AK18" s="615"/>
      <c r="AL18" s="615"/>
      <c r="AM18" s="615"/>
      <c r="AN18" s="615"/>
      <c r="AO18" s="615"/>
      <c r="AP18" s="615"/>
      <c r="AQ18" s="615"/>
      <c r="AR18" s="615"/>
      <c r="AS18" s="615"/>
    </row>
    <row r="19" spans="1:45" ht="18" customHeight="1">
      <c r="A19" s="2537"/>
      <c r="B19" s="2539"/>
      <c r="C19" s="2540"/>
      <c r="D19" s="1401"/>
      <c r="E19" s="1402"/>
      <c r="F19" s="1403"/>
      <c r="G19" s="1402"/>
      <c r="H19" s="1400"/>
      <c r="I19" s="1400"/>
      <c r="J19" s="2542"/>
      <c r="K19" s="2542"/>
      <c r="L19" s="2542"/>
      <c r="M19" s="2544"/>
      <c r="N19" s="617"/>
      <c r="O19" s="2592"/>
      <c r="P19" s="2591"/>
      <c r="Q19" s="2591"/>
      <c r="R19" s="1230"/>
      <c r="S19" s="2605"/>
      <c r="T19" s="2605"/>
      <c r="U19" s="2605"/>
      <c r="V19" s="2605"/>
      <c r="W19" s="2605"/>
      <c r="X19" s="2605"/>
      <c r="Y19" s="2605"/>
      <c r="Z19" s="2605"/>
      <c r="AA19" s="2606"/>
      <c r="AF19" s="615"/>
      <c r="AG19" s="615"/>
      <c r="AH19" s="615"/>
      <c r="AI19" s="615"/>
      <c r="AJ19" s="615"/>
      <c r="AK19" s="615"/>
      <c r="AL19" s="615"/>
      <c r="AM19" s="615"/>
      <c r="AN19" s="615"/>
      <c r="AO19" s="615"/>
      <c r="AP19" s="615"/>
      <c r="AQ19" s="615"/>
      <c r="AR19" s="615"/>
      <c r="AS19" s="615"/>
    </row>
    <row r="20" spans="1:45" ht="18" customHeight="1">
      <c r="A20" s="2537"/>
      <c r="B20" s="2539"/>
      <c r="C20" s="2538"/>
      <c r="D20" s="1401"/>
      <c r="E20" s="1402"/>
      <c r="F20" s="1403"/>
      <c r="G20" s="1402"/>
      <c r="H20" s="1400"/>
      <c r="I20" s="1400"/>
      <c r="J20" s="2542"/>
      <c r="K20" s="2542"/>
      <c r="L20" s="2542"/>
      <c r="M20" s="2544"/>
      <c r="N20" s="617"/>
      <c r="O20" s="2592" t="s">
        <v>247</v>
      </c>
      <c r="P20" s="2591"/>
      <c r="Q20" s="2591"/>
      <c r="R20" s="1230"/>
      <c r="S20" s="2605" t="s">
        <v>736</v>
      </c>
      <c r="T20" s="2605"/>
      <c r="U20" s="2605"/>
      <c r="V20" s="2605"/>
      <c r="W20" s="2605"/>
      <c r="X20" s="2605"/>
      <c r="Y20" s="2605"/>
      <c r="Z20" s="2605"/>
      <c r="AA20" s="2606"/>
      <c r="AF20" s="615"/>
      <c r="AG20" s="615"/>
      <c r="AH20" s="615"/>
      <c r="AI20" s="615"/>
      <c r="AJ20" s="615"/>
      <c r="AK20" s="615"/>
      <c r="AL20" s="615"/>
      <c r="AM20" s="615"/>
      <c r="AN20" s="615"/>
      <c r="AO20" s="615"/>
      <c r="AP20" s="615"/>
      <c r="AQ20" s="615"/>
      <c r="AR20" s="615"/>
      <c r="AS20" s="615"/>
    </row>
    <row r="21" spans="1:45" ht="18" customHeight="1">
      <c r="A21" s="2537"/>
      <c r="B21" s="2539"/>
      <c r="C21" s="2540"/>
      <c r="D21" s="1401"/>
      <c r="E21" s="1402"/>
      <c r="F21" s="1403"/>
      <c r="G21" s="1402"/>
      <c r="H21" s="1400"/>
      <c r="I21" s="1400"/>
      <c r="J21" s="2542"/>
      <c r="K21" s="2542"/>
      <c r="L21" s="2542"/>
      <c r="M21" s="2544"/>
      <c r="N21" s="617"/>
      <c r="O21" s="2592"/>
      <c r="P21" s="2591"/>
      <c r="Q21" s="2591"/>
      <c r="R21" s="1230"/>
      <c r="S21" s="2605"/>
      <c r="T21" s="2605"/>
      <c r="U21" s="2605"/>
      <c r="V21" s="2605"/>
      <c r="W21" s="2605"/>
      <c r="X21" s="2605"/>
      <c r="Y21" s="2605"/>
      <c r="Z21" s="2605"/>
      <c r="AA21" s="2606"/>
      <c r="AF21" s="615"/>
      <c r="AG21" s="615"/>
      <c r="AH21" s="615"/>
      <c r="AI21" s="615"/>
      <c r="AJ21" s="615"/>
      <c r="AK21" s="615"/>
      <c r="AL21" s="615"/>
      <c r="AM21" s="615"/>
      <c r="AN21" s="615"/>
      <c r="AO21" s="615"/>
      <c r="AP21" s="615"/>
      <c r="AQ21" s="615"/>
      <c r="AR21" s="615"/>
      <c r="AS21" s="615"/>
    </row>
    <row r="22" spans="1:45" ht="18" customHeight="1">
      <c r="A22" s="2537"/>
      <c r="B22" s="2539"/>
      <c r="C22" s="2538"/>
      <c r="D22" s="1401"/>
      <c r="E22" s="1402"/>
      <c r="F22" s="1403"/>
      <c r="G22" s="1402"/>
      <c r="H22" s="1400"/>
      <c r="I22" s="1400"/>
      <c r="J22" s="2542"/>
      <c r="K22" s="2542"/>
      <c r="L22" s="2542"/>
      <c r="M22" s="2544"/>
      <c r="N22" s="617"/>
      <c r="O22" s="2592"/>
      <c r="P22" s="2591"/>
      <c r="Q22" s="2591"/>
      <c r="R22" s="1230"/>
      <c r="S22" s="2605"/>
      <c r="T22" s="2605"/>
      <c r="U22" s="2605"/>
      <c r="V22" s="2605"/>
      <c r="W22" s="2605"/>
      <c r="X22" s="2605"/>
      <c r="Y22" s="2605"/>
      <c r="Z22" s="2605"/>
      <c r="AA22" s="2606"/>
      <c r="AB22" s="621"/>
      <c r="AC22" s="621"/>
      <c r="AF22" s="615"/>
      <c r="AG22" s="615"/>
      <c r="AH22" s="615"/>
      <c r="AI22" s="615"/>
      <c r="AJ22" s="615"/>
      <c r="AK22" s="615"/>
      <c r="AL22" s="615"/>
      <c r="AM22" s="615"/>
      <c r="AN22" s="615"/>
      <c r="AO22" s="615"/>
      <c r="AP22" s="615"/>
      <c r="AQ22" s="615"/>
      <c r="AR22" s="615"/>
      <c r="AS22" s="615"/>
    </row>
    <row r="23" spans="1:45" ht="18" customHeight="1" thickBot="1">
      <c r="A23" s="2574"/>
      <c r="B23" s="2575"/>
      <c r="C23" s="2540"/>
      <c r="D23" s="1405"/>
      <c r="E23" s="1402"/>
      <c r="F23" s="1403"/>
      <c r="G23" s="1406"/>
      <c r="H23" s="1400"/>
      <c r="I23" s="1400"/>
      <c r="J23" s="2576"/>
      <c r="K23" s="2576"/>
      <c r="L23" s="2576"/>
      <c r="M23" s="2577"/>
      <c r="N23" s="617"/>
      <c r="O23" s="2592" t="s">
        <v>275</v>
      </c>
      <c r="P23" s="2591"/>
      <c r="Q23" s="2591"/>
      <c r="R23" s="1230"/>
      <c r="S23" s="2605" t="s">
        <v>737</v>
      </c>
      <c r="T23" s="2605"/>
      <c r="U23" s="2605"/>
      <c r="V23" s="2605"/>
      <c r="W23" s="2605"/>
      <c r="X23" s="2605"/>
      <c r="Y23" s="2605"/>
      <c r="Z23" s="2605"/>
      <c r="AA23" s="2606"/>
      <c r="AF23" s="615"/>
      <c r="AG23" s="615"/>
      <c r="AH23" s="615"/>
      <c r="AI23" s="615"/>
      <c r="AJ23" s="615"/>
      <c r="AK23" s="615"/>
      <c r="AL23" s="615"/>
      <c r="AM23" s="615"/>
      <c r="AN23" s="615"/>
      <c r="AO23" s="615"/>
      <c r="AP23" s="615"/>
      <c r="AQ23" s="615"/>
      <c r="AR23" s="615"/>
      <c r="AS23" s="615"/>
    </row>
    <row r="24" spans="1:45" s="621" customFormat="1" ht="6" customHeight="1">
      <c r="A24" s="2578" t="s">
        <v>719</v>
      </c>
      <c r="B24" s="2580"/>
      <c r="C24" s="2580"/>
      <c r="D24" s="2580"/>
      <c r="E24" s="2580"/>
      <c r="F24" s="2580"/>
      <c r="G24" s="2580"/>
      <c r="H24" s="2580"/>
      <c r="I24" s="2580"/>
      <c r="J24" s="2580"/>
      <c r="K24" s="2580"/>
      <c r="L24" s="2580"/>
      <c r="M24" s="2581"/>
      <c r="N24" s="618"/>
      <c r="O24" s="2592"/>
      <c r="P24" s="2591"/>
      <c r="Q24" s="2591"/>
      <c r="R24" s="1230"/>
      <c r="S24" s="2605"/>
      <c r="T24" s="2605"/>
      <c r="U24" s="2605"/>
      <c r="V24" s="2605"/>
      <c r="W24" s="2605"/>
      <c r="X24" s="2605"/>
      <c r="Y24" s="2605"/>
      <c r="Z24" s="2605"/>
      <c r="AA24" s="2606"/>
      <c r="AB24" s="608"/>
      <c r="AC24" s="608"/>
      <c r="AF24" s="620"/>
      <c r="AG24" s="620"/>
      <c r="AH24" s="620"/>
      <c r="AI24" s="620"/>
      <c r="AJ24" s="620"/>
      <c r="AK24" s="620"/>
      <c r="AL24" s="620"/>
      <c r="AM24" s="620"/>
      <c r="AN24" s="620"/>
      <c r="AO24" s="620"/>
      <c r="AP24" s="620"/>
      <c r="AQ24" s="620"/>
      <c r="AR24" s="620"/>
      <c r="AS24" s="620"/>
    </row>
    <row r="25" spans="1:45" ht="21.95" customHeight="1" thickBot="1">
      <c r="A25" s="2579"/>
      <c r="B25" s="2582"/>
      <c r="C25" s="2582"/>
      <c r="D25" s="2582"/>
      <c r="E25" s="2582"/>
      <c r="F25" s="2582"/>
      <c r="G25" s="2582"/>
      <c r="H25" s="2582"/>
      <c r="I25" s="2582"/>
      <c r="J25" s="2582"/>
      <c r="K25" s="2582"/>
      <c r="L25" s="2582"/>
      <c r="M25" s="2583"/>
      <c r="N25" s="617"/>
      <c r="O25" s="2592"/>
      <c r="P25" s="2591"/>
      <c r="Q25" s="2591"/>
      <c r="R25" s="1230"/>
      <c r="S25" s="2605"/>
      <c r="T25" s="2605"/>
      <c r="U25" s="2605"/>
      <c r="V25" s="2605"/>
      <c r="W25" s="2605"/>
      <c r="X25" s="2605"/>
      <c r="Y25" s="2605"/>
      <c r="Z25" s="2605"/>
      <c r="AA25" s="2606"/>
      <c r="AB25" s="608"/>
      <c r="AC25" s="608"/>
      <c r="AF25" s="615"/>
      <c r="AG25" s="615"/>
      <c r="AH25" s="615"/>
      <c r="AI25" s="615"/>
      <c r="AJ25" s="615"/>
      <c r="AK25" s="615"/>
      <c r="AL25" s="615"/>
      <c r="AM25" s="615"/>
      <c r="AN25" s="615"/>
      <c r="AO25" s="615"/>
      <c r="AP25" s="615"/>
      <c r="AQ25" s="615"/>
      <c r="AR25" s="615"/>
      <c r="AS25" s="615"/>
    </row>
    <row r="26" spans="1:45" s="608" customFormat="1" ht="14.1" customHeight="1">
      <c r="A26" s="1407" t="s">
        <v>720</v>
      </c>
      <c r="B26" s="1408"/>
      <c r="D26" s="1116"/>
      <c r="E26" s="1116"/>
      <c r="F26" s="1116"/>
      <c r="G26" s="1116"/>
      <c r="H26" s="1116"/>
      <c r="I26" s="1116"/>
      <c r="J26" s="1116"/>
      <c r="K26" s="1116"/>
      <c r="L26" s="1116"/>
      <c r="M26" s="1409"/>
      <c r="N26" s="1116"/>
      <c r="O26" s="2601" t="s">
        <v>738</v>
      </c>
      <c r="P26" s="2602"/>
      <c r="Q26" s="2602"/>
      <c r="R26" s="1229"/>
      <c r="S26" s="2603" t="s">
        <v>739</v>
      </c>
      <c r="T26" s="2603"/>
      <c r="U26" s="2603"/>
      <c r="V26" s="2603"/>
      <c r="W26" s="2603"/>
      <c r="X26" s="2603"/>
      <c r="Y26" s="2603"/>
      <c r="Z26" s="2603"/>
      <c r="AA26" s="2604"/>
    </row>
    <row r="27" spans="1:45" s="608" customFormat="1" ht="21.95" customHeight="1" thickBot="1">
      <c r="A27" s="2584"/>
      <c r="B27" s="2585"/>
      <c r="C27" s="2585"/>
      <c r="D27" s="610"/>
      <c r="E27" s="2586"/>
      <c r="F27" s="2586"/>
      <c r="G27" s="2586"/>
      <c r="H27" s="2586"/>
      <c r="J27" s="1564"/>
      <c r="L27" s="2634"/>
      <c r="M27" s="2588"/>
      <c r="N27" s="622"/>
      <c r="O27" s="1635" t="s">
        <v>740</v>
      </c>
      <c r="P27" s="1628"/>
      <c r="Q27" s="2607" t="s">
        <v>96</v>
      </c>
      <c r="R27" s="1232"/>
      <c r="S27" s="2589" t="s">
        <v>741</v>
      </c>
      <c r="T27" s="2589"/>
      <c r="U27" s="2589"/>
      <c r="V27" s="2589"/>
      <c r="W27" s="2589"/>
      <c r="X27" s="2589"/>
      <c r="Y27" s="2589"/>
      <c r="Z27" s="632"/>
      <c r="AA27" s="623"/>
    </row>
    <row r="28" spans="1:45" s="608" customFormat="1" ht="12" customHeight="1">
      <c r="A28" s="2570" t="s">
        <v>721</v>
      </c>
      <c r="B28" s="2571"/>
      <c r="C28" s="2571"/>
      <c r="D28" s="611"/>
      <c r="E28" s="2571" t="s">
        <v>722</v>
      </c>
      <c r="F28" s="2571"/>
      <c r="G28" s="2571"/>
      <c r="H28" s="2572"/>
      <c r="J28" s="1491" t="s">
        <v>723</v>
      </c>
      <c r="L28" s="2465" t="s">
        <v>724</v>
      </c>
      <c r="M28" s="2573"/>
      <c r="N28" s="622"/>
      <c r="O28" s="1634"/>
      <c r="P28" s="1629"/>
      <c r="Q28" s="2608"/>
      <c r="R28" s="1230"/>
      <c r="S28" s="2590"/>
      <c r="T28" s="2590"/>
      <c r="U28" s="2590"/>
      <c r="V28" s="2590"/>
      <c r="W28" s="2590"/>
      <c r="X28" s="2590"/>
      <c r="Y28" s="2590"/>
      <c r="Z28" s="1226"/>
      <c r="AA28" s="1240"/>
    </row>
    <row r="29" spans="1:45" s="608" customFormat="1" ht="27" customHeight="1">
      <c r="A29" s="2639" t="s">
        <v>2661</v>
      </c>
      <c r="B29" s="2640"/>
      <c r="C29" s="2640"/>
      <c r="D29" s="2640"/>
      <c r="E29" s="2640"/>
      <c r="F29" s="2640"/>
      <c r="G29" s="2640"/>
      <c r="H29" s="2640"/>
      <c r="I29" s="2640"/>
      <c r="J29" s="2640"/>
      <c r="K29" s="2640"/>
      <c r="L29" s="2640"/>
      <c r="M29" s="2641"/>
      <c r="N29" s="622"/>
      <c r="O29" s="2592" t="s">
        <v>151</v>
      </c>
      <c r="P29" s="2591"/>
      <c r="Q29" s="2591"/>
      <c r="R29" s="1230"/>
      <c r="S29" s="1239" t="s">
        <v>742</v>
      </c>
      <c r="T29" s="1239"/>
      <c r="U29" s="1239"/>
      <c r="V29" s="1239"/>
      <c r="W29" s="1239"/>
      <c r="X29" s="1239"/>
      <c r="Y29" s="1239"/>
      <c r="Z29" s="1238"/>
      <c r="AA29" s="626"/>
    </row>
    <row r="30" spans="1:45" s="608" customFormat="1" ht="21.95" customHeight="1" thickBot="1">
      <c r="A30" s="2635"/>
      <c r="B30" s="2636"/>
      <c r="C30" s="2636"/>
      <c r="D30" s="610"/>
      <c r="E30" s="2637"/>
      <c r="F30" s="2637"/>
      <c r="G30" s="2637"/>
      <c r="H30" s="2637"/>
      <c r="J30" s="1259"/>
      <c r="L30" s="2634"/>
      <c r="M30" s="2638"/>
      <c r="N30" s="622"/>
      <c r="O30" s="2592" t="s">
        <v>207</v>
      </c>
      <c r="P30" s="2591"/>
      <c r="Q30" s="2591"/>
      <c r="R30" s="1230"/>
      <c r="S30" s="2599" t="s">
        <v>743</v>
      </c>
      <c r="T30" s="2599"/>
      <c r="U30" s="2599"/>
      <c r="V30" s="2599"/>
      <c r="W30" s="2599"/>
      <c r="X30" s="2599"/>
      <c r="Y30" s="2599"/>
      <c r="Z30" s="2599"/>
      <c r="AA30" s="2600"/>
      <c r="AB30" s="613"/>
      <c r="AC30" s="613"/>
    </row>
    <row r="31" spans="1:45" s="608" customFormat="1" ht="14.1" customHeight="1" thickBot="1">
      <c r="A31" s="2630" t="s">
        <v>744</v>
      </c>
      <c r="B31" s="2631"/>
      <c r="C31" s="2631"/>
      <c r="D31" s="894"/>
      <c r="E31" s="2631" t="s">
        <v>722</v>
      </c>
      <c r="F31" s="2631"/>
      <c r="G31" s="2631"/>
      <c r="H31" s="2632"/>
      <c r="I31" s="612"/>
      <c r="J31" s="894" t="s">
        <v>745</v>
      </c>
      <c r="K31" s="612"/>
      <c r="L31" s="2631" t="s">
        <v>724</v>
      </c>
      <c r="M31" s="2633"/>
      <c r="O31" s="1237"/>
      <c r="P31" s="1236"/>
      <c r="Q31" s="1236"/>
      <c r="R31" s="1230"/>
      <c r="S31" s="2599"/>
      <c r="T31" s="2599"/>
      <c r="U31" s="2599"/>
      <c r="V31" s="2599"/>
      <c r="W31" s="2599"/>
      <c r="X31" s="2599"/>
      <c r="Y31" s="2599"/>
      <c r="Z31" s="2599"/>
      <c r="AA31" s="2600"/>
      <c r="AB31" s="613"/>
      <c r="AC31" s="613"/>
    </row>
    <row r="32" spans="1:45">
      <c r="L32" s="615"/>
      <c r="M32" s="615"/>
      <c r="O32" s="2592" t="s">
        <v>248</v>
      </c>
      <c r="P32" s="2591"/>
      <c r="Q32" s="2591"/>
      <c r="R32" s="1230"/>
      <c r="S32" s="2593" t="s">
        <v>746</v>
      </c>
      <c r="T32" s="2593"/>
      <c r="U32" s="2593"/>
      <c r="V32" s="2593"/>
      <c r="W32" s="2593"/>
      <c r="X32" s="2593"/>
      <c r="Y32" s="2593"/>
      <c r="Z32" s="2593"/>
      <c r="AA32" s="2594"/>
      <c r="AF32" s="615"/>
      <c r="AG32" s="615"/>
      <c r="AH32" s="615"/>
      <c r="AI32" s="615"/>
      <c r="AJ32" s="615"/>
      <c r="AK32" s="615"/>
      <c r="AL32" s="615"/>
      <c r="AM32" s="615"/>
      <c r="AN32" s="615"/>
      <c r="AO32" s="615"/>
      <c r="AP32" s="615"/>
      <c r="AQ32" s="615"/>
      <c r="AR32" s="615"/>
      <c r="AS32" s="615"/>
    </row>
    <row r="33" spans="12:45">
      <c r="L33" s="615"/>
      <c r="M33" s="615"/>
      <c r="O33" s="2592"/>
      <c r="P33" s="2591"/>
      <c r="Q33" s="2591"/>
      <c r="R33" s="1230"/>
      <c r="S33" s="2593"/>
      <c r="T33" s="2593"/>
      <c r="U33" s="2593"/>
      <c r="V33" s="2593"/>
      <c r="W33" s="2593"/>
      <c r="X33" s="2593"/>
      <c r="Y33" s="2593"/>
      <c r="Z33" s="2593"/>
      <c r="AA33" s="2594"/>
      <c r="AF33" s="615"/>
      <c r="AG33" s="615"/>
      <c r="AH33" s="615"/>
      <c r="AI33" s="615"/>
      <c r="AJ33" s="615"/>
      <c r="AK33" s="615"/>
      <c r="AL33" s="615"/>
      <c r="AM33" s="615"/>
      <c r="AN33" s="615"/>
      <c r="AO33" s="615"/>
      <c r="AP33" s="615"/>
      <c r="AQ33" s="615"/>
      <c r="AR33" s="615"/>
      <c r="AS33" s="615"/>
    </row>
    <row r="34" spans="12:45">
      <c r="L34" s="615"/>
      <c r="M34" s="615"/>
      <c r="O34" s="2595" t="s">
        <v>276</v>
      </c>
      <c r="P34" s="2596"/>
      <c r="Q34" s="2596"/>
      <c r="R34" s="1229"/>
      <c r="S34" s="631" t="s">
        <v>747</v>
      </c>
      <c r="T34" s="631"/>
      <c r="U34" s="631"/>
      <c r="V34" s="631"/>
      <c r="W34" s="631"/>
      <c r="X34" s="631"/>
      <c r="Y34" s="631"/>
      <c r="Z34" s="629"/>
      <c r="AA34" s="630"/>
      <c r="AF34" s="615"/>
      <c r="AG34" s="615"/>
      <c r="AH34" s="615"/>
      <c r="AI34" s="615"/>
      <c r="AJ34" s="615"/>
      <c r="AK34" s="615"/>
      <c r="AL34" s="615"/>
      <c r="AM34" s="615"/>
      <c r="AN34" s="615"/>
      <c r="AO34" s="615"/>
      <c r="AP34" s="615"/>
      <c r="AQ34" s="615"/>
      <c r="AR34" s="615"/>
      <c r="AS34" s="615"/>
    </row>
    <row r="35" spans="12:45">
      <c r="L35" s="615"/>
      <c r="M35" s="615"/>
      <c r="AF35" s="615"/>
      <c r="AG35" s="615"/>
      <c r="AH35" s="615"/>
      <c r="AI35" s="615"/>
      <c r="AJ35" s="615"/>
      <c r="AK35" s="615"/>
      <c r="AL35" s="615"/>
      <c r="AM35" s="615"/>
      <c r="AN35" s="615"/>
      <c r="AO35" s="615"/>
      <c r="AP35" s="615"/>
      <c r="AQ35" s="615"/>
      <c r="AR35" s="615"/>
      <c r="AS35" s="615"/>
    </row>
    <row r="36" spans="12:45">
      <c r="L36" s="615"/>
      <c r="M36" s="615"/>
      <c r="AF36" s="615"/>
      <c r="AG36" s="615"/>
      <c r="AH36" s="615"/>
      <c r="AI36" s="615"/>
      <c r="AJ36" s="615"/>
      <c r="AK36" s="615"/>
      <c r="AL36" s="615"/>
      <c r="AM36" s="615"/>
      <c r="AN36" s="615"/>
      <c r="AO36" s="615"/>
      <c r="AP36" s="615"/>
      <c r="AQ36" s="615"/>
      <c r="AR36" s="615"/>
      <c r="AS36" s="615"/>
    </row>
    <row r="37" spans="12:45">
      <c r="L37" s="615"/>
      <c r="AF37" s="615"/>
      <c r="AG37" s="615"/>
      <c r="AH37" s="615"/>
      <c r="AI37" s="615"/>
      <c r="AJ37" s="615"/>
      <c r="AK37" s="615"/>
      <c r="AL37" s="615"/>
      <c r="AM37" s="615"/>
      <c r="AN37" s="615"/>
      <c r="AO37" s="615"/>
      <c r="AP37" s="615"/>
      <c r="AQ37" s="615"/>
      <c r="AR37" s="615"/>
      <c r="AS37" s="615"/>
    </row>
    <row r="38" spans="12:45">
      <c r="L38" s="615"/>
      <c r="AF38" s="615"/>
      <c r="AG38" s="615"/>
      <c r="AH38" s="615"/>
      <c r="AI38" s="615"/>
      <c r="AJ38" s="615"/>
      <c r="AK38" s="615"/>
      <c r="AL38" s="615"/>
      <c r="AM38" s="615"/>
      <c r="AN38" s="615"/>
      <c r="AO38" s="615"/>
      <c r="AP38" s="615"/>
      <c r="AQ38" s="615"/>
      <c r="AR38" s="615"/>
      <c r="AS38" s="615"/>
    </row>
    <row r="39" spans="12:45">
      <c r="L39" s="615"/>
      <c r="M39" s="615"/>
      <c r="AF39" s="615"/>
      <c r="AG39" s="615"/>
      <c r="AH39" s="615"/>
      <c r="AI39" s="615"/>
      <c r="AJ39" s="615"/>
      <c r="AK39" s="615"/>
      <c r="AL39" s="615"/>
      <c r="AM39" s="615"/>
      <c r="AN39" s="615"/>
      <c r="AO39" s="615"/>
      <c r="AP39" s="615"/>
      <c r="AQ39" s="615"/>
      <c r="AR39" s="615"/>
      <c r="AS39" s="615"/>
    </row>
    <row r="40" spans="12:45">
      <c r="L40" s="615"/>
      <c r="M40" s="615"/>
      <c r="AB40" s="615"/>
      <c r="AC40" s="615"/>
      <c r="AF40" s="615"/>
      <c r="AG40" s="615"/>
      <c r="AH40" s="615"/>
      <c r="AI40" s="615"/>
      <c r="AJ40" s="615"/>
      <c r="AK40" s="615"/>
      <c r="AL40" s="615"/>
      <c r="AM40" s="615"/>
      <c r="AN40" s="615"/>
      <c r="AO40" s="615"/>
      <c r="AP40" s="615"/>
      <c r="AQ40" s="615"/>
      <c r="AR40" s="615"/>
      <c r="AS40" s="615"/>
    </row>
    <row r="41" spans="12:45">
      <c r="L41" s="615"/>
      <c r="M41" s="615"/>
      <c r="AB41" s="615"/>
      <c r="AC41" s="615"/>
      <c r="AF41" s="615"/>
      <c r="AG41" s="615"/>
      <c r="AH41" s="615"/>
      <c r="AI41" s="615"/>
      <c r="AJ41" s="615"/>
      <c r="AK41" s="615"/>
      <c r="AL41" s="615"/>
      <c r="AM41" s="615"/>
      <c r="AN41" s="615"/>
      <c r="AO41" s="615"/>
      <c r="AP41" s="615"/>
      <c r="AQ41" s="615"/>
      <c r="AR41" s="615"/>
      <c r="AS41" s="615"/>
    </row>
    <row r="42" spans="12:45">
      <c r="L42" s="615"/>
      <c r="M42" s="615"/>
      <c r="AB42" s="615"/>
      <c r="AC42" s="615"/>
      <c r="AD42" s="615"/>
      <c r="AE42" s="615"/>
      <c r="AF42" s="615"/>
      <c r="AG42" s="615"/>
      <c r="AH42" s="615"/>
      <c r="AI42" s="615"/>
      <c r="AJ42" s="615"/>
      <c r="AK42" s="615"/>
      <c r="AL42" s="615"/>
      <c r="AM42" s="615"/>
      <c r="AN42" s="615"/>
      <c r="AO42" s="615"/>
      <c r="AP42" s="615"/>
      <c r="AQ42" s="615"/>
      <c r="AR42" s="615"/>
      <c r="AS42" s="615"/>
    </row>
    <row r="43" spans="12:45">
      <c r="L43" s="615"/>
      <c r="M43" s="615"/>
      <c r="AB43" s="615"/>
      <c r="AC43" s="615"/>
      <c r="AD43" s="615"/>
      <c r="AE43" s="615"/>
      <c r="AF43" s="615"/>
      <c r="AG43" s="615"/>
      <c r="AH43" s="615"/>
      <c r="AI43" s="615"/>
      <c r="AJ43" s="615"/>
      <c r="AK43" s="615"/>
      <c r="AL43" s="615"/>
      <c r="AM43" s="615"/>
      <c r="AN43" s="615"/>
      <c r="AO43" s="615"/>
      <c r="AP43" s="615"/>
      <c r="AQ43" s="615"/>
      <c r="AR43" s="615"/>
      <c r="AS43" s="615"/>
    </row>
    <row r="44" spans="12:45">
      <c r="L44" s="615"/>
      <c r="M44" s="615"/>
      <c r="AB44" s="615"/>
      <c r="AC44" s="615"/>
      <c r="AD44" s="615"/>
      <c r="AE44" s="615"/>
      <c r="AF44" s="615"/>
      <c r="AG44" s="615"/>
      <c r="AH44" s="615"/>
      <c r="AI44" s="615"/>
      <c r="AJ44" s="615"/>
      <c r="AK44" s="615"/>
      <c r="AL44" s="615"/>
      <c r="AM44" s="615"/>
      <c r="AN44" s="615"/>
      <c r="AO44" s="615"/>
      <c r="AP44" s="615"/>
      <c r="AQ44" s="615"/>
      <c r="AR44" s="615"/>
      <c r="AS44" s="615"/>
    </row>
    <row r="45" spans="12:45">
      <c r="L45" s="615"/>
      <c r="M45" s="615"/>
      <c r="AB45" s="615"/>
      <c r="AC45" s="615"/>
      <c r="AD45" s="615"/>
      <c r="AE45" s="615"/>
      <c r="AF45" s="615"/>
      <c r="AG45" s="615"/>
      <c r="AH45" s="615"/>
      <c r="AI45" s="615"/>
      <c r="AJ45" s="615"/>
      <c r="AK45" s="615"/>
      <c r="AL45" s="615"/>
      <c r="AM45" s="615"/>
      <c r="AN45" s="615"/>
      <c r="AO45" s="615"/>
      <c r="AP45" s="615"/>
      <c r="AQ45" s="615"/>
      <c r="AR45" s="615"/>
      <c r="AS45" s="615"/>
    </row>
    <row r="46" spans="12:45">
      <c r="L46" s="615"/>
      <c r="M46" s="615"/>
      <c r="AB46" s="615"/>
      <c r="AC46" s="615"/>
      <c r="AD46" s="615"/>
      <c r="AE46" s="615"/>
      <c r="AF46" s="615"/>
      <c r="AG46" s="615"/>
      <c r="AH46" s="615"/>
      <c r="AI46" s="615"/>
      <c r="AJ46" s="615"/>
      <c r="AK46" s="615"/>
      <c r="AL46" s="615"/>
      <c r="AM46" s="615"/>
      <c r="AN46" s="615"/>
      <c r="AO46" s="615"/>
      <c r="AP46" s="615"/>
      <c r="AQ46" s="615"/>
      <c r="AR46" s="615"/>
      <c r="AS46" s="615"/>
    </row>
    <row r="47" spans="12:45">
      <c r="L47" s="615"/>
      <c r="M47" s="615"/>
      <c r="AB47" s="615"/>
      <c r="AC47" s="615"/>
      <c r="AD47" s="615"/>
      <c r="AE47" s="615"/>
      <c r="AF47" s="615"/>
      <c r="AG47" s="615"/>
      <c r="AH47" s="615"/>
      <c r="AI47" s="615"/>
      <c r="AJ47" s="615"/>
      <c r="AK47" s="615"/>
      <c r="AL47" s="615"/>
      <c r="AM47" s="615"/>
      <c r="AN47" s="615"/>
      <c r="AO47" s="615"/>
      <c r="AP47" s="615"/>
      <c r="AQ47" s="615"/>
      <c r="AR47" s="615"/>
      <c r="AS47" s="615"/>
    </row>
    <row r="48" spans="12:45">
      <c r="L48" s="615"/>
      <c r="M48" s="615"/>
      <c r="AB48" s="615"/>
      <c r="AC48" s="615"/>
      <c r="AD48" s="615"/>
      <c r="AE48" s="615"/>
      <c r="AF48" s="615"/>
      <c r="AG48" s="615"/>
      <c r="AH48" s="615"/>
      <c r="AI48" s="615"/>
      <c r="AJ48" s="615"/>
      <c r="AK48" s="615"/>
      <c r="AL48" s="615"/>
      <c r="AM48" s="615"/>
      <c r="AN48" s="615"/>
      <c r="AO48" s="615"/>
      <c r="AP48" s="615"/>
      <c r="AQ48" s="615"/>
      <c r="AR48" s="615"/>
      <c r="AS48" s="615"/>
    </row>
    <row r="49" spans="12:45">
      <c r="L49" s="615"/>
      <c r="M49" s="615"/>
      <c r="AB49" s="615"/>
      <c r="AC49" s="615"/>
      <c r="AD49" s="615"/>
      <c r="AE49" s="615"/>
      <c r="AF49" s="615"/>
      <c r="AG49" s="615"/>
      <c r="AH49" s="615"/>
      <c r="AI49" s="615"/>
      <c r="AJ49" s="615"/>
      <c r="AK49" s="615"/>
      <c r="AL49" s="615"/>
      <c r="AM49" s="615"/>
      <c r="AN49" s="615"/>
      <c r="AO49" s="615"/>
      <c r="AP49" s="615"/>
      <c r="AQ49" s="615"/>
      <c r="AR49" s="615"/>
      <c r="AS49" s="615"/>
    </row>
    <row r="50" spans="12:45">
      <c r="L50" s="615"/>
      <c r="M50" s="615"/>
      <c r="AB50" s="615"/>
      <c r="AC50" s="615"/>
      <c r="AD50" s="615"/>
      <c r="AE50" s="615"/>
      <c r="AF50" s="615"/>
      <c r="AG50" s="615"/>
      <c r="AH50" s="615"/>
      <c r="AI50" s="615"/>
      <c r="AJ50" s="615"/>
      <c r="AK50" s="615"/>
      <c r="AL50" s="615"/>
      <c r="AM50" s="615"/>
      <c r="AN50" s="615"/>
      <c r="AO50" s="615"/>
      <c r="AP50" s="615"/>
      <c r="AQ50" s="615"/>
      <c r="AR50" s="615"/>
      <c r="AS50" s="615"/>
    </row>
    <row r="51" spans="12:45">
      <c r="L51" s="615"/>
      <c r="M51" s="615"/>
      <c r="AB51" s="615"/>
      <c r="AC51" s="615"/>
      <c r="AD51" s="615"/>
      <c r="AE51" s="615"/>
      <c r="AF51" s="615"/>
      <c r="AG51" s="615"/>
      <c r="AH51" s="615"/>
      <c r="AI51" s="615"/>
      <c r="AJ51" s="615"/>
      <c r="AK51" s="615"/>
      <c r="AL51" s="615"/>
      <c r="AM51" s="615"/>
      <c r="AN51" s="615"/>
      <c r="AO51" s="615"/>
      <c r="AP51" s="615"/>
      <c r="AQ51" s="615"/>
      <c r="AR51" s="615"/>
      <c r="AS51" s="615"/>
    </row>
    <row r="52" spans="12:45">
      <c r="L52" s="615"/>
      <c r="M52" s="615"/>
      <c r="AB52" s="615"/>
      <c r="AC52" s="615"/>
      <c r="AD52" s="615"/>
      <c r="AE52" s="615"/>
      <c r="AF52" s="615"/>
      <c r="AG52" s="615"/>
      <c r="AH52" s="615"/>
      <c r="AI52" s="615"/>
      <c r="AJ52" s="615"/>
      <c r="AK52" s="615"/>
      <c r="AL52" s="615"/>
      <c r="AM52" s="615"/>
      <c r="AN52" s="615"/>
      <c r="AO52" s="615"/>
      <c r="AP52" s="615"/>
      <c r="AQ52" s="615"/>
      <c r="AR52" s="615"/>
      <c r="AS52" s="615"/>
    </row>
    <row r="53" spans="12:45">
      <c r="L53" s="615"/>
      <c r="M53" s="615"/>
      <c r="AB53" s="615"/>
      <c r="AC53" s="615"/>
      <c r="AD53" s="615"/>
      <c r="AE53" s="615"/>
      <c r="AF53" s="615"/>
      <c r="AG53" s="615"/>
      <c r="AH53" s="615"/>
      <c r="AI53" s="615"/>
      <c r="AJ53" s="615"/>
      <c r="AK53" s="615"/>
      <c r="AL53" s="615"/>
      <c r="AM53" s="615"/>
      <c r="AN53" s="615"/>
      <c r="AO53" s="615"/>
      <c r="AP53" s="615"/>
      <c r="AQ53" s="615"/>
      <c r="AR53" s="615"/>
      <c r="AS53" s="615"/>
    </row>
    <row r="54" spans="12:45">
      <c r="L54" s="615"/>
      <c r="M54" s="615"/>
      <c r="AB54" s="615"/>
      <c r="AC54" s="615"/>
      <c r="AD54" s="615"/>
      <c r="AE54" s="615"/>
      <c r="AF54" s="615"/>
      <c r="AG54" s="615"/>
      <c r="AH54" s="615"/>
      <c r="AI54" s="615"/>
      <c r="AJ54" s="615"/>
      <c r="AK54" s="615"/>
      <c r="AL54" s="615"/>
      <c r="AM54" s="615"/>
      <c r="AN54" s="615"/>
      <c r="AO54" s="615"/>
      <c r="AP54" s="615"/>
      <c r="AQ54" s="615"/>
      <c r="AR54" s="615"/>
      <c r="AS54" s="615"/>
    </row>
    <row r="55" spans="12:45">
      <c r="L55" s="615"/>
      <c r="M55" s="615"/>
      <c r="AB55" s="615"/>
      <c r="AC55" s="615"/>
      <c r="AD55" s="615"/>
      <c r="AE55" s="615"/>
      <c r="AF55" s="615"/>
      <c r="AG55" s="615"/>
      <c r="AH55" s="615"/>
      <c r="AI55" s="615"/>
      <c r="AJ55" s="615"/>
      <c r="AK55" s="615"/>
      <c r="AL55" s="615"/>
      <c r="AM55" s="615"/>
      <c r="AN55" s="615"/>
      <c r="AO55" s="615"/>
      <c r="AP55" s="615"/>
      <c r="AQ55" s="615"/>
      <c r="AR55" s="615"/>
      <c r="AS55" s="615"/>
    </row>
    <row r="56" spans="12:45">
      <c r="L56" s="615"/>
      <c r="M56" s="615"/>
      <c r="AB56" s="615"/>
      <c r="AC56" s="615"/>
      <c r="AD56" s="615"/>
      <c r="AE56" s="615"/>
      <c r="AF56" s="615"/>
      <c r="AG56" s="615"/>
      <c r="AH56" s="615"/>
      <c r="AI56" s="615"/>
      <c r="AJ56" s="615"/>
      <c r="AK56" s="615"/>
      <c r="AL56" s="615"/>
      <c r="AM56" s="615"/>
      <c r="AN56" s="615"/>
      <c r="AO56" s="615"/>
      <c r="AP56" s="615"/>
      <c r="AQ56" s="615"/>
      <c r="AR56" s="615"/>
      <c r="AS56" s="615"/>
    </row>
    <row r="57" spans="12:45">
      <c r="L57" s="615"/>
      <c r="M57" s="615"/>
      <c r="AB57" s="615"/>
      <c r="AC57" s="615"/>
      <c r="AD57" s="615"/>
      <c r="AE57" s="615"/>
      <c r="AF57" s="615"/>
      <c r="AG57" s="615"/>
      <c r="AH57" s="615"/>
      <c r="AI57" s="615"/>
      <c r="AJ57" s="615"/>
      <c r="AK57" s="615"/>
      <c r="AL57" s="615"/>
      <c r="AM57" s="615"/>
      <c r="AN57" s="615"/>
      <c r="AO57" s="615"/>
      <c r="AP57" s="615"/>
      <c r="AQ57" s="615"/>
      <c r="AR57" s="615"/>
      <c r="AS57" s="615"/>
    </row>
    <row r="58" spans="12:45">
      <c r="L58" s="615"/>
      <c r="M58" s="615"/>
      <c r="AB58" s="615"/>
      <c r="AC58" s="615"/>
      <c r="AD58" s="615"/>
      <c r="AE58" s="615"/>
      <c r="AF58" s="615"/>
      <c r="AG58" s="615"/>
      <c r="AH58" s="615"/>
      <c r="AI58" s="615"/>
      <c r="AJ58" s="615"/>
      <c r="AK58" s="615"/>
      <c r="AL58" s="615"/>
      <c r="AM58" s="615"/>
      <c r="AN58" s="615"/>
      <c r="AO58" s="615"/>
      <c r="AP58" s="615"/>
      <c r="AQ58" s="615"/>
      <c r="AR58" s="615"/>
      <c r="AS58" s="615"/>
    </row>
    <row r="59" spans="12:45">
      <c r="L59" s="615"/>
      <c r="M59" s="615"/>
      <c r="AB59" s="615"/>
      <c r="AC59" s="615"/>
      <c r="AD59" s="615"/>
      <c r="AE59" s="615"/>
      <c r="AF59" s="615"/>
      <c r="AG59" s="615"/>
      <c r="AH59" s="615"/>
      <c r="AI59" s="615"/>
      <c r="AJ59" s="615"/>
      <c r="AK59" s="615"/>
      <c r="AL59" s="615"/>
      <c r="AM59" s="615"/>
      <c r="AN59" s="615"/>
      <c r="AO59" s="615"/>
      <c r="AP59" s="615"/>
      <c r="AQ59" s="615"/>
      <c r="AR59" s="615"/>
      <c r="AS59" s="615"/>
    </row>
    <row r="60" spans="12:45">
      <c r="L60" s="615"/>
      <c r="M60" s="615"/>
      <c r="AB60" s="615"/>
      <c r="AC60" s="615"/>
      <c r="AD60" s="615"/>
      <c r="AE60" s="615"/>
      <c r="AF60" s="615"/>
      <c r="AG60" s="615"/>
      <c r="AH60" s="615"/>
      <c r="AI60" s="615"/>
      <c r="AJ60" s="615"/>
      <c r="AK60" s="615"/>
      <c r="AL60" s="615"/>
      <c r="AM60" s="615"/>
      <c r="AN60" s="615"/>
      <c r="AO60" s="615"/>
      <c r="AP60" s="615"/>
      <c r="AQ60" s="615"/>
      <c r="AR60" s="615"/>
      <c r="AS60" s="615"/>
    </row>
    <row r="61" spans="12:45">
      <c r="L61" s="615"/>
      <c r="M61" s="615"/>
      <c r="AB61" s="615"/>
      <c r="AC61" s="615"/>
      <c r="AD61" s="615"/>
      <c r="AE61" s="615"/>
      <c r="AF61" s="615"/>
      <c r="AG61" s="615"/>
      <c r="AH61" s="615"/>
      <c r="AI61" s="615"/>
      <c r="AJ61" s="615"/>
      <c r="AK61" s="615"/>
      <c r="AL61" s="615"/>
      <c r="AM61" s="615"/>
      <c r="AN61" s="615"/>
      <c r="AO61" s="615"/>
      <c r="AP61" s="615"/>
      <c r="AQ61" s="615"/>
      <c r="AR61" s="615"/>
      <c r="AS61" s="615"/>
    </row>
    <row r="62" spans="12:45">
      <c r="L62" s="615"/>
      <c r="M62" s="615"/>
      <c r="AB62" s="615"/>
      <c r="AC62" s="615"/>
      <c r="AD62" s="615"/>
      <c r="AE62" s="615"/>
      <c r="AF62" s="615"/>
      <c r="AG62" s="615"/>
      <c r="AH62" s="615"/>
      <c r="AI62" s="615"/>
      <c r="AJ62" s="615"/>
      <c r="AK62" s="615"/>
      <c r="AL62" s="615"/>
      <c r="AM62" s="615"/>
      <c r="AN62" s="615"/>
      <c r="AO62" s="615"/>
      <c r="AP62" s="615"/>
      <c r="AQ62" s="615"/>
      <c r="AR62" s="615"/>
      <c r="AS62" s="615"/>
    </row>
    <row r="63" spans="12:45">
      <c r="L63" s="615"/>
      <c r="M63" s="615"/>
      <c r="AB63" s="615"/>
      <c r="AC63" s="615"/>
      <c r="AD63" s="615"/>
      <c r="AE63" s="615"/>
      <c r="AF63" s="615"/>
      <c r="AG63" s="615"/>
      <c r="AH63" s="615"/>
      <c r="AI63" s="615"/>
      <c r="AJ63" s="615"/>
      <c r="AK63" s="615"/>
      <c r="AL63" s="615"/>
      <c r="AM63" s="615"/>
      <c r="AN63" s="615"/>
      <c r="AO63" s="615"/>
      <c r="AP63" s="615"/>
      <c r="AQ63" s="615"/>
      <c r="AR63" s="615"/>
      <c r="AS63" s="615"/>
    </row>
    <row r="64" spans="12:45">
      <c r="L64" s="615"/>
      <c r="M64" s="615"/>
      <c r="AB64" s="615"/>
      <c r="AC64" s="615"/>
      <c r="AD64" s="615"/>
      <c r="AE64" s="615"/>
      <c r="AF64" s="615"/>
      <c r="AG64" s="615"/>
      <c r="AH64" s="615"/>
      <c r="AI64" s="615"/>
      <c r="AJ64" s="615"/>
      <c r="AK64" s="615"/>
      <c r="AL64" s="615"/>
      <c r="AM64" s="615"/>
      <c r="AN64" s="615"/>
      <c r="AO64" s="615"/>
      <c r="AP64" s="615"/>
      <c r="AQ64" s="615"/>
      <c r="AR64" s="615"/>
      <c r="AS64" s="615"/>
    </row>
    <row r="65" spans="12:45">
      <c r="L65" s="615"/>
      <c r="M65" s="615"/>
      <c r="AB65" s="615"/>
      <c r="AC65" s="615"/>
      <c r="AD65" s="615"/>
      <c r="AE65" s="615"/>
      <c r="AF65" s="615"/>
      <c r="AG65" s="615"/>
      <c r="AH65" s="615"/>
      <c r="AI65" s="615"/>
      <c r="AJ65" s="615"/>
      <c r="AK65" s="615"/>
      <c r="AL65" s="615"/>
      <c r="AM65" s="615"/>
      <c r="AN65" s="615"/>
      <c r="AO65" s="615"/>
      <c r="AP65" s="615"/>
      <c r="AQ65" s="615"/>
      <c r="AR65" s="615"/>
      <c r="AS65" s="615"/>
    </row>
    <row r="66" spans="12:45">
      <c r="L66" s="615"/>
      <c r="M66" s="615"/>
      <c r="AB66" s="615"/>
      <c r="AC66" s="615"/>
      <c r="AD66" s="615"/>
      <c r="AE66" s="615"/>
      <c r="AF66" s="615"/>
      <c r="AG66" s="615"/>
      <c r="AH66" s="615"/>
      <c r="AI66" s="615"/>
      <c r="AJ66" s="615"/>
      <c r="AK66" s="615"/>
      <c r="AL66" s="615"/>
      <c r="AM66" s="615"/>
      <c r="AN66" s="615"/>
      <c r="AO66" s="615"/>
      <c r="AP66" s="615"/>
      <c r="AQ66" s="615"/>
      <c r="AR66" s="615"/>
      <c r="AS66" s="615"/>
    </row>
    <row r="67" spans="12:45">
      <c r="L67" s="615"/>
      <c r="M67" s="615"/>
      <c r="AB67" s="615"/>
      <c r="AC67" s="615"/>
      <c r="AD67" s="615"/>
      <c r="AE67" s="615"/>
      <c r="AF67" s="615"/>
      <c r="AG67" s="615"/>
      <c r="AH67" s="615"/>
      <c r="AI67" s="615"/>
      <c r="AJ67" s="615"/>
      <c r="AK67" s="615"/>
      <c r="AL67" s="615"/>
      <c r="AM67" s="615"/>
      <c r="AN67" s="615"/>
      <c r="AO67" s="615"/>
      <c r="AP67" s="615"/>
      <c r="AQ67" s="615"/>
      <c r="AR67" s="615"/>
      <c r="AS67" s="615"/>
    </row>
    <row r="68" spans="12:45">
      <c r="L68" s="615"/>
      <c r="M68" s="615"/>
      <c r="AB68" s="615"/>
      <c r="AC68" s="615"/>
      <c r="AD68" s="615"/>
      <c r="AE68" s="615"/>
      <c r="AF68" s="615"/>
      <c r="AG68" s="615"/>
      <c r="AH68" s="615"/>
      <c r="AI68" s="615"/>
      <c r="AJ68" s="615"/>
      <c r="AK68" s="615"/>
      <c r="AL68" s="615"/>
      <c r="AM68" s="615"/>
      <c r="AN68" s="615"/>
      <c r="AO68" s="615"/>
      <c r="AP68" s="615"/>
      <c r="AQ68" s="615"/>
      <c r="AR68" s="615"/>
      <c r="AS68" s="615"/>
    </row>
    <row r="69" spans="12:45">
      <c r="L69" s="615"/>
      <c r="M69" s="615"/>
      <c r="AB69" s="615"/>
      <c r="AC69" s="615"/>
      <c r="AD69" s="615"/>
      <c r="AE69" s="615"/>
      <c r="AF69" s="615"/>
      <c r="AG69" s="615"/>
      <c r="AH69" s="615"/>
      <c r="AI69" s="615"/>
      <c r="AJ69" s="615"/>
      <c r="AK69" s="615"/>
      <c r="AL69" s="615"/>
      <c r="AM69" s="615"/>
      <c r="AN69" s="615"/>
      <c r="AO69" s="615"/>
      <c r="AP69" s="615"/>
      <c r="AQ69" s="615"/>
      <c r="AR69" s="615"/>
      <c r="AS69" s="615"/>
    </row>
    <row r="70" spans="12:45">
      <c r="L70" s="615"/>
      <c r="M70" s="615"/>
      <c r="AB70" s="615"/>
      <c r="AC70" s="615"/>
      <c r="AD70" s="615"/>
      <c r="AE70" s="615"/>
      <c r="AF70" s="615"/>
      <c r="AG70" s="615"/>
      <c r="AH70" s="615"/>
      <c r="AI70" s="615"/>
      <c r="AJ70" s="615"/>
      <c r="AK70" s="615"/>
      <c r="AL70" s="615"/>
      <c r="AM70" s="615"/>
      <c r="AN70" s="615"/>
      <c r="AO70" s="615"/>
      <c r="AP70" s="615"/>
      <c r="AQ70" s="615"/>
      <c r="AR70" s="615"/>
      <c r="AS70" s="615"/>
    </row>
    <row r="71" spans="12:45">
      <c r="L71" s="615"/>
      <c r="M71" s="615"/>
      <c r="AB71" s="615"/>
      <c r="AC71" s="615"/>
      <c r="AD71" s="615"/>
      <c r="AE71" s="615"/>
      <c r="AF71" s="615"/>
      <c r="AG71" s="615"/>
      <c r="AH71" s="615"/>
      <c r="AI71" s="615"/>
      <c r="AJ71" s="615"/>
      <c r="AK71" s="615"/>
      <c r="AL71" s="615"/>
      <c r="AM71" s="615"/>
      <c r="AN71" s="615"/>
      <c r="AO71" s="615"/>
      <c r="AP71" s="615"/>
      <c r="AQ71" s="615"/>
      <c r="AR71" s="615"/>
      <c r="AS71" s="615"/>
    </row>
    <row r="72" spans="12:45">
      <c r="L72" s="615"/>
      <c r="M72" s="615"/>
      <c r="AB72" s="615"/>
      <c r="AC72" s="615"/>
      <c r="AD72" s="615"/>
      <c r="AE72" s="615"/>
      <c r="AF72" s="615"/>
      <c r="AG72" s="615"/>
      <c r="AH72" s="615"/>
      <c r="AI72" s="615"/>
      <c r="AJ72" s="615"/>
      <c r="AK72" s="615"/>
      <c r="AL72" s="615"/>
      <c r="AM72" s="615"/>
      <c r="AN72" s="615"/>
      <c r="AO72" s="615"/>
      <c r="AP72" s="615"/>
      <c r="AQ72" s="615"/>
      <c r="AR72" s="615"/>
      <c r="AS72" s="615"/>
    </row>
    <row r="73" spans="12:45">
      <c r="L73" s="615"/>
      <c r="M73" s="615"/>
      <c r="AB73" s="615"/>
      <c r="AC73" s="615"/>
      <c r="AD73" s="615"/>
      <c r="AE73" s="615"/>
      <c r="AF73" s="615"/>
      <c r="AG73" s="615"/>
      <c r="AH73" s="615"/>
      <c r="AI73" s="615"/>
      <c r="AJ73" s="615"/>
      <c r="AK73" s="615"/>
      <c r="AL73" s="615"/>
      <c r="AM73" s="615"/>
      <c r="AN73" s="615"/>
      <c r="AO73" s="615"/>
      <c r="AP73" s="615"/>
      <c r="AQ73" s="615"/>
      <c r="AR73" s="615"/>
      <c r="AS73" s="615"/>
    </row>
    <row r="74" spans="12:45">
      <c r="L74" s="615"/>
      <c r="M74" s="615"/>
      <c r="AB74" s="615"/>
      <c r="AC74" s="615"/>
      <c r="AD74" s="615"/>
      <c r="AE74" s="615"/>
      <c r="AF74" s="615"/>
      <c r="AG74" s="615"/>
      <c r="AH74" s="615"/>
      <c r="AI74" s="615"/>
      <c r="AJ74" s="615"/>
      <c r="AK74" s="615"/>
      <c r="AL74" s="615"/>
      <c r="AM74" s="615"/>
      <c r="AN74" s="615"/>
      <c r="AO74" s="615"/>
      <c r="AP74" s="615"/>
      <c r="AQ74" s="615"/>
      <c r="AR74" s="615"/>
      <c r="AS74" s="615"/>
    </row>
    <row r="75" spans="12:45">
      <c r="L75" s="615"/>
      <c r="M75" s="615"/>
      <c r="AB75" s="615"/>
      <c r="AC75" s="615"/>
      <c r="AD75" s="615"/>
      <c r="AE75" s="615"/>
      <c r="AF75" s="615"/>
      <c r="AG75" s="615"/>
      <c r="AH75" s="615"/>
      <c r="AI75" s="615"/>
      <c r="AJ75" s="615"/>
      <c r="AK75" s="615"/>
      <c r="AL75" s="615"/>
      <c r="AM75" s="615"/>
      <c r="AN75" s="615"/>
      <c r="AO75" s="615"/>
      <c r="AP75" s="615"/>
      <c r="AQ75" s="615"/>
      <c r="AR75" s="615"/>
      <c r="AS75" s="615"/>
    </row>
    <row r="76" spans="12:45">
      <c r="L76" s="615"/>
      <c r="M76" s="615"/>
      <c r="AB76" s="615"/>
      <c r="AC76" s="615"/>
      <c r="AD76" s="615"/>
      <c r="AE76" s="615"/>
      <c r="AF76" s="615"/>
      <c r="AG76" s="615"/>
      <c r="AH76" s="615"/>
      <c r="AI76" s="615"/>
      <c r="AJ76" s="615"/>
      <c r="AK76" s="615"/>
      <c r="AL76" s="615"/>
      <c r="AM76" s="615"/>
      <c r="AN76" s="615"/>
      <c r="AO76" s="615"/>
      <c r="AP76" s="615"/>
      <c r="AQ76" s="615"/>
      <c r="AR76" s="615"/>
      <c r="AS76" s="615"/>
    </row>
    <row r="77" spans="12:45">
      <c r="L77" s="615"/>
      <c r="M77" s="615"/>
      <c r="AB77" s="615"/>
      <c r="AC77" s="615"/>
      <c r="AD77" s="615"/>
      <c r="AE77" s="615"/>
      <c r="AF77" s="615"/>
      <c r="AG77" s="615"/>
      <c r="AH77" s="615"/>
      <c r="AI77" s="615"/>
      <c r="AJ77" s="615"/>
      <c r="AK77" s="615"/>
      <c r="AL77" s="615"/>
      <c r="AM77" s="615"/>
      <c r="AN77" s="615"/>
      <c r="AO77" s="615"/>
      <c r="AP77" s="615"/>
      <c r="AQ77" s="615"/>
      <c r="AR77" s="615"/>
      <c r="AS77" s="615"/>
    </row>
    <row r="78" spans="12:45">
      <c r="L78" s="615"/>
      <c r="M78" s="615"/>
      <c r="AB78" s="615"/>
      <c r="AC78" s="615"/>
      <c r="AD78" s="615"/>
      <c r="AE78" s="615"/>
      <c r="AF78" s="615"/>
      <c r="AG78" s="615"/>
      <c r="AH78" s="615"/>
      <c r="AI78" s="615"/>
      <c r="AJ78" s="615"/>
      <c r="AK78" s="615"/>
      <c r="AL78" s="615"/>
      <c r="AM78" s="615"/>
      <c r="AN78" s="615"/>
      <c r="AO78" s="615"/>
      <c r="AP78" s="615"/>
      <c r="AQ78" s="615"/>
      <c r="AR78" s="615"/>
      <c r="AS78" s="615"/>
    </row>
    <row r="79" spans="12:45">
      <c r="L79" s="615"/>
      <c r="M79" s="615"/>
      <c r="AB79" s="615"/>
      <c r="AC79" s="615"/>
      <c r="AD79" s="615"/>
      <c r="AE79" s="615"/>
      <c r="AF79" s="615"/>
      <c r="AG79" s="615"/>
      <c r="AH79" s="615"/>
      <c r="AI79" s="615"/>
      <c r="AJ79" s="615"/>
      <c r="AK79" s="615"/>
      <c r="AL79" s="615"/>
      <c r="AM79" s="615"/>
      <c r="AN79" s="615"/>
      <c r="AO79" s="615"/>
      <c r="AP79" s="615"/>
      <c r="AQ79" s="615"/>
      <c r="AR79" s="615"/>
      <c r="AS79" s="615"/>
    </row>
    <row r="80" spans="12:45">
      <c r="L80" s="615"/>
      <c r="M80" s="615"/>
      <c r="AB80" s="615"/>
      <c r="AC80" s="615"/>
      <c r="AD80" s="615"/>
      <c r="AE80" s="615"/>
      <c r="AF80" s="615"/>
      <c r="AG80" s="615"/>
      <c r="AH80" s="615"/>
      <c r="AI80" s="615"/>
      <c r="AJ80" s="615"/>
      <c r="AK80" s="615"/>
      <c r="AL80" s="615"/>
      <c r="AM80" s="615"/>
      <c r="AN80" s="615"/>
      <c r="AO80" s="615"/>
      <c r="AP80" s="615"/>
      <c r="AQ80" s="615"/>
      <c r="AR80" s="615"/>
      <c r="AS80" s="615"/>
    </row>
    <row r="81" spans="12:45">
      <c r="L81" s="615"/>
      <c r="M81" s="615"/>
      <c r="AB81" s="615"/>
      <c r="AC81" s="615"/>
      <c r="AD81" s="615"/>
      <c r="AE81" s="615"/>
      <c r="AF81" s="615"/>
      <c r="AG81" s="615"/>
      <c r="AH81" s="615"/>
      <c r="AI81" s="615"/>
      <c r="AJ81" s="615"/>
      <c r="AK81" s="615"/>
      <c r="AL81" s="615"/>
      <c r="AM81" s="615"/>
      <c r="AN81" s="615"/>
      <c r="AO81" s="615"/>
      <c r="AP81" s="615"/>
      <c r="AQ81" s="615"/>
      <c r="AR81" s="615"/>
      <c r="AS81" s="615"/>
    </row>
    <row r="82" spans="12:45">
      <c r="L82" s="615"/>
      <c r="M82" s="615"/>
      <c r="AB82" s="615"/>
      <c r="AC82" s="615"/>
      <c r="AD82" s="615"/>
      <c r="AE82" s="615"/>
      <c r="AF82" s="615"/>
      <c r="AG82" s="615"/>
      <c r="AH82" s="615"/>
      <c r="AI82" s="615"/>
      <c r="AJ82" s="615"/>
      <c r="AK82" s="615"/>
      <c r="AL82" s="615"/>
      <c r="AM82" s="615"/>
      <c r="AN82" s="615"/>
      <c r="AO82" s="615"/>
      <c r="AP82" s="615"/>
      <c r="AQ82" s="615"/>
      <c r="AR82" s="615"/>
      <c r="AS82" s="615"/>
    </row>
    <row r="83" spans="12:45">
      <c r="L83" s="615"/>
      <c r="M83" s="615"/>
      <c r="AB83" s="615"/>
      <c r="AC83" s="615"/>
      <c r="AD83" s="615"/>
      <c r="AE83" s="615"/>
      <c r="AF83" s="615"/>
      <c r="AG83" s="615"/>
      <c r="AH83" s="615"/>
      <c r="AI83" s="615"/>
      <c r="AJ83" s="615"/>
      <c r="AK83" s="615"/>
      <c r="AL83" s="615"/>
      <c r="AM83" s="615"/>
      <c r="AN83" s="615"/>
      <c r="AO83" s="615"/>
      <c r="AP83" s="615"/>
      <c r="AQ83" s="615"/>
      <c r="AR83" s="615"/>
      <c r="AS83" s="615"/>
    </row>
    <row r="84" spans="12:45">
      <c r="L84" s="615"/>
      <c r="M84" s="615"/>
      <c r="AB84" s="615"/>
      <c r="AC84" s="615"/>
      <c r="AD84" s="615"/>
      <c r="AE84" s="615"/>
      <c r="AF84" s="615"/>
      <c r="AG84" s="615"/>
      <c r="AH84" s="615"/>
      <c r="AI84" s="615"/>
      <c r="AJ84" s="615"/>
      <c r="AK84" s="615"/>
      <c r="AL84" s="615"/>
      <c r="AM84" s="615"/>
      <c r="AN84" s="615"/>
      <c r="AO84" s="615"/>
      <c r="AP84" s="615"/>
      <c r="AQ84" s="615"/>
      <c r="AR84" s="615"/>
      <c r="AS84" s="615"/>
    </row>
    <row r="85" spans="12:45">
      <c r="L85" s="615"/>
      <c r="M85" s="615"/>
      <c r="AB85" s="615"/>
      <c r="AC85" s="615"/>
      <c r="AD85" s="615"/>
      <c r="AE85" s="615"/>
      <c r="AF85" s="615"/>
      <c r="AG85" s="615"/>
      <c r="AH85" s="615"/>
      <c r="AI85" s="615"/>
      <c r="AJ85" s="615"/>
      <c r="AK85" s="615"/>
      <c r="AL85" s="615"/>
      <c r="AM85" s="615"/>
      <c r="AN85" s="615"/>
      <c r="AO85" s="615"/>
      <c r="AP85" s="615"/>
      <c r="AQ85" s="615"/>
      <c r="AR85" s="615"/>
      <c r="AS85" s="615"/>
    </row>
    <row r="86" spans="12:45">
      <c r="L86" s="615"/>
      <c r="M86" s="615"/>
      <c r="AB86" s="615"/>
      <c r="AC86" s="615"/>
      <c r="AD86" s="615"/>
      <c r="AE86" s="615"/>
      <c r="AF86" s="615"/>
      <c r="AG86" s="615"/>
      <c r="AH86" s="615"/>
      <c r="AI86" s="615"/>
      <c r="AJ86" s="615"/>
      <c r="AK86" s="615"/>
      <c r="AL86" s="615"/>
      <c r="AM86" s="615"/>
      <c r="AN86" s="615"/>
      <c r="AO86" s="615"/>
      <c r="AP86" s="615"/>
      <c r="AQ86" s="615"/>
      <c r="AR86" s="615"/>
      <c r="AS86" s="615"/>
    </row>
    <row r="87" spans="12:45">
      <c r="L87" s="615"/>
      <c r="M87" s="615"/>
      <c r="AB87" s="615"/>
      <c r="AC87" s="615"/>
      <c r="AD87" s="615"/>
      <c r="AE87" s="615"/>
      <c r="AF87" s="615"/>
      <c r="AG87" s="615"/>
      <c r="AH87" s="615"/>
      <c r="AI87" s="615"/>
      <c r="AJ87" s="615"/>
      <c r="AK87" s="615"/>
      <c r="AL87" s="615"/>
      <c r="AM87" s="615"/>
      <c r="AN87" s="615"/>
      <c r="AO87" s="615"/>
      <c r="AP87" s="615"/>
      <c r="AQ87" s="615"/>
      <c r="AR87" s="615"/>
      <c r="AS87" s="615"/>
    </row>
    <row r="88" spans="12:45">
      <c r="L88" s="615"/>
      <c r="M88" s="615"/>
      <c r="AB88" s="615"/>
      <c r="AC88" s="615"/>
      <c r="AD88" s="615"/>
      <c r="AE88" s="615"/>
      <c r="AF88" s="615"/>
      <c r="AG88" s="615"/>
      <c r="AH88" s="615"/>
      <c r="AI88" s="615"/>
      <c r="AJ88" s="615"/>
      <c r="AK88" s="615"/>
      <c r="AL88" s="615"/>
      <c r="AM88" s="615"/>
      <c r="AN88" s="615"/>
      <c r="AO88" s="615"/>
      <c r="AP88" s="615"/>
      <c r="AQ88" s="615"/>
      <c r="AR88" s="615"/>
      <c r="AS88" s="615"/>
    </row>
    <row r="89" spans="12:45">
      <c r="L89" s="615"/>
      <c r="M89" s="615"/>
      <c r="AB89" s="615"/>
      <c r="AC89" s="615"/>
      <c r="AD89" s="615"/>
      <c r="AE89" s="615"/>
      <c r="AF89" s="615"/>
      <c r="AG89" s="615"/>
      <c r="AH89" s="615"/>
      <c r="AI89" s="615"/>
      <c r="AJ89" s="615"/>
      <c r="AK89" s="615"/>
      <c r="AL89" s="615"/>
      <c r="AM89" s="615"/>
      <c r="AN89" s="615"/>
      <c r="AO89" s="615"/>
      <c r="AP89" s="615"/>
      <c r="AQ89" s="615"/>
      <c r="AR89" s="615"/>
      <c r="AS89" s="615"/>
    </row>
    <row r="90" spans="12:45">
      <c r="L90" s="615"/>
      <c r="M90" s="615"/>
      <c r="AB90" s="615"/>
      <c r="AC90" s="615"/>
      <c r="AD90" s="615"/>
      <c r="AE90" s="615"/>
      <c r="AF90" s="615"/>
      <c r="AG90" s="615"/>
      <c r="AH90" s="615"/>
      <c r="AI90" s="615"/>
      <c r="AJ90" s="615"/>
      <c r="AK90" s="615"/>
      <c r="AL90" s="615"/>
      <c r="AM90" s="615"/>
      <c r="AN90" s="615"/>
      <c r="AO90" s="615"/>
      <c r="AP90" s="615"/>
      <c r="AQ90" s="615"/>
      <c r="AR90" s="615"/>
      <c r="AS90" s="615"/>
    </row>
    <row r="91" spans="12:45">
      <c r="L91" s="615"/>
      <c r="M91" s="615"/>
      <c r="AB91" s="615"/>
      <c r="AC91" s="615"/>
      <c r="AD91" s="615"/>
      <c r="AE91" s="615"/>
      <c r="AF91" s="615"/>
      <c r="AG91" s="615"/>
      <c r="AH91" s="615"/>
      <c r="AI91" s="615"/>
      <c r="AJ91" s="615"/>
      <c r="AK91" s="615"/>
      <c r="AL91" s="615"/>
      <c r="AM91" s="615"/>
      <c r="AN91" s="615"/>
      <c r="AO91" s="615"/>
      <c r="AP91" s="615"/>
      <c r="AQ91" s="615"/>
      <c r="AR91" s="615"/>
      <c r="AS91" s="615"/>
    </row>
    <row r="92" spans="12:45">
      <c r="L92" s="615"/>
      <c r="M92" s="615"/>
      <c r="AB92" s="615"/>
      <c r="AC92" s="615"/>
      <c r="AD92" s="615"/>
      <c r="AE92" s="615"/>
      <c r="AF92" s="615"/>
      <c r="AG92" s="615"/>
      <c r="AH92" s="615"/>
      <c r="AI92" s="615"/>
      <c r="AJ92" s="615"/>
      <c r="AK92" s="615"/>
      <c r="AL92" s="615"/>
      <c r="AM92" s="615"/>
      <c r="AN92" s="615"/>
      <c r="AO92" s="615"/>
      <c r="AP92" s="615"/>
      <c r="AQ92" s="615"/>
      <c r="AR92" s="615"/>
      <c r="AS92" s="615"/>
    </row>
    <row r="93" spans="12:45">
      <c r="L93" s="615"/>
      <c r="M93" s="615"/>
      <c r="AB93" s="615"/>
      <c r="AC93" s="615"/>
      <c r="AD93" s="615"/>
      <c r="AE93" s="615"/>
      <c r="AF93" s="615"/>
      <c r="AG93" s="615"/>
      <c r="AH93" s="615"/>
      <c r="AI93" s="615"/>
      <c r="AJ93" s="615"/>
      <c r="AK93" s="615"/>
      <c r="AL93" s="615"/>
      <c r="AM93" s="615"/>
      <c r="AN93" s="615"/>
      <c r="AO93" s="615"/>
      <c r="AP93" s="615"/>
      <c r="AQ93" s="615"/>
      <c r="AR93" s="615"/>
      <c r="AS93" s="615"/>
    </row>
    <row r="94" spans="12:45">
      <c r="L94" s="615"/>
      <c r="M94" s="615"/>
      <c r="AB94" s="615"/>
      <c r="AC94" s="615"/>
      <c r="AD94" s="615"/>
      <c r="AE94" s="615"/>
      <c r="AF94" s="615"/>
      <c r="AG94" s="615"/>
      <c r="AH94" s="615"/>
      <c r="AI94" s="615"/>
      <c r="AJ94" s="615"/>
      <c r="AK94" s="615"/>
      <c r="AL94" s="615"/>
      <c r="AM94" s="615"/>
      <c r="AN94" s="615"/>
      <c r="AO94" s="615"/>
      <c r="AP94" s="615"/>
      <c r="AQ94" s="615"/>
      <c r="AR94" s="615"/>
      <c r="AS94" s="615"/>
    </row>
    <row r="95" spans="12:45">
      <c r="L95" s="615"/>
      <c r="M95" s="615"/>
      <c r="AB95" s="615"/>
      <c r="AC95" s="615"/>
      <c r="AD95" s="615"/>
      <c r="AE95" s="615"/>
      <c r="AF95" s="615"/>
      <c r="AG95" s="615"/>
      <c r="AH95" s="615"/>
      <c r="AI95" s="615"/>
      <c r="AJ95" s="615"/>
      <c r="AK95" s="615"/>
      <c r="AL95" s="615"/>
      <c r="AM95" s="615"/>
      <c r="AN95" s="615"/>
      <c r="AO95" s="615"/>
      <c r="AP95" s="615"/>
      <c r="AQ95" s="615"/>
      <c r="AR95" s="615"/>
      <c r="AS95" s="615"/>
    </row>
    <row r="96" spans="12:45">
      <c r="L96" s="615"/>
      <c r="M96" s="615"/>
      <c r="AB96" s="615"/>
      <c r="AC96" s="615"/>
      <c r="AD96" s="615"/>
      <c r="AE96" s="615"/>
      <c r="AF96" s="615"/>
      <c r="AG96" s="615"/>
      <c r="AH96" s="615"/>
      <c r="AI96" s="615"/>
      <c r="AJ96" s="615"/>
      <c r="AK96" s="615"/>
      <c r="AL96" s="615"/>
      <c r="AM96" s="615"/>
      <c r="AN96" s="615"/>
      <c r="AO96" s="615"/>
      <c r="AP96" s="615"/>
      <c r="AQ96" s="615"/>
      <c r="AR96" s="615"/>
      <c r="AS96" s="615"/>
    </row>
    <row r="97" spans="12:45">
      <c r="L97" s="615"/>
      <c r="M97" s="615"/>
      <c r="AB97" s="615"/>
      <c r="AC97" s="615"/>
      <c r="AD97" s="615"/>
      <c r="AE97" s="615"/>
      <c r="AF97" s="615"/>
      <c r="AG97" s="615"/>
      <c r="AH97" s="615"/>
      <c r="AI97" s="615"/>
      <c r="AJ97" s="615"/>
      <c r="AK97" s="615"/>
      <c r="AL97" s="615"/>
      <c r="AM97" s="615"/>
      <c r="AN97" s="615"/>
      <c r="AO97" s="615"/>
      <c r="AP97" s="615"/>
      <c r="AQ97" s="615"/>
      <c r="AR97" s="615"/>
      <c r="AS97" s="615"/>
    </row>
    <row r="98" spans="12:45">
      <c r="L98" s="615"/>
      <c r="M98" s="615"/>
      <c r="AB98" s="615"/>
      <c r="AC98" s="615"/>
      <c r="AD98" s="615"/>
      <c r="AE98" s="615"/>
      <c r="AF98" s="615"/>
      <c r="AG98" s="615"/>
      <c r="AH98" s="615"/>
      <c r="AI98" s="615"/>
      <c r="AJ98" s="615"/>
      <c r="AK98" s="615"/>
      <c r="AL98" s="615"/>
      <c r="AM98" s="615"/>
      <c r="AN98" s="615"/>
      <c r="AO98" s="615"/>
      <c r="AP98" s="615"/>
      <c r="AQ98" s="615"/>
      <c r="AR98" s="615"/>
      <c r="AS98" s="615"/>
    </row>
    <row r="99" spans="12:45">
      <c r="L99" s="615"/>
      <c r="M99" s="615"/>
      <c r="AB99" s="615"/>
      <c r="AC99" s="615"/>
      <c r="AD99" s="615"/>
      <c r="AE99" s="615"/>
      <c r="AF99" s="615"/>
      <c r="AG99" s="615"/>
      <c r="AH99" s="615"/>
      <c r="AI99" s="615"/>
      <c r="AJ99" s="615"/>
      <c r="AK99" s="615"/>
      <c r="AL99" s="615"/>
      <c r="AM99" s="615"/>
      <c r="AN99" s="615"/>
      <c r="AO99" s="615"/>
      <c r="AP99" s="615"/>
      <c r="AQ99" s="615"/>
      <c r="AR99" s="615"/>
      <c r="AS99" s="615"/>
    </row>
    <row r="100" spans="12:45">
      <c r="L100" s="615"/>
      <c r="M100" s="615"/>
      <c r="AB100" s="615"/>
      <c r="AC100" s="615"/>
      <c r="AD100" s="615"/>
      <c r="AE100" s="615"/>
      <c r="AF100" s="615"/>
      <c r="AG100" s="615"/>
      <c r="AH100" s="615"/>
      <c r="AI100" s="615"/>
      <c r="AJ100" s="615"/>
      <c r="AK100" s="615"/>
      <c r="AL100" s="615"/>
      <c r="AM100" s="615"/>
      <c r="AN100" s="615"/>
      <c r="AO100" s="615"/>
      <c r="AP100" s="615"/>
      <c r="AQ100" s="615"/>
      <c r="AR100" s="615"/>
      <c r="AS100" s="615"/>
    </row>
    <row r="101" spans="12:45">
      <c r="L101" s="615"/>
      <c r="M101" s="615"/>
      <c r="AB101" s="615"/>
      <c r="AC101" s="615"/>
      <c r="AD101" s="615"/>
      <c r="AE101" s="615"/>
      <c r="AF101" s="615"/>
      <c r="AG101" s="615"/>
      <c r="AH101" s="615"/>
      <c r="AI101" s="615"/>
      <c r="AJ101" s="615"/>
      <c r="AK101" s="615"/>
      <c r="AL101" s="615"/>
      <c r="AM101" s="615"/>
      <c r="AN101" s="615"/>
      <c r="AO101" s="615"/>
      <c r="AP101" s="615"/>
      <c r="AQ101" s="615"/>
      <c r="AR101" s="615"/>
      <c r="AS101" s="615"/>
    </row>
    <row r="102" spans="12:45">
      <c r="L102" s="615"/>
      <c r="M102" s="615"/>
      <c r="AB102" s="615"/>
      <c r="AC102" s="615"/>
      <c r="AD102" s="615"/>
      <c r="AE102" s="615"/>
      <c r="AF102" s="615"/>
      <c r="AG102" s="615"/>
      <c r="AH102" s="615"/>
      <c r="AI102" s="615"/>
      <c r="AJ102" s="615"/>
      <c r="AK102" s="615"/>
      <c r="AL102" s="615"/>
      <c r="AM102" s="615"/>
      <c r="AN102" s="615"/>
      <c r="AO102" s="615"/>
      <c r="AP102" s="615"/>
      <c r="AQ102" s="615"/>
      <c r="AR102" s="615"/>
      <c r="AS102" s="615"/>
    </row>
    <row r="103" spans="12:45">
      <c r="L103" s="615"/>
      <c r="M103" s="615"/>
      <c r="AB103" s="615"/>
      <c r="AC103" s="615"/>
      <c r="AD103" s="615"/>
      <c r="AE103" s="615"/>
      <c r="AF103" s="615"/>
      <c r="AG103" s="615"/>
      <c r="AH103" s="615"/>
      <c r="AI103" s="615"/>
      <c r="AJ103" s="615"/>
      <c r="AK103" s="615"/>
      <c r="AL103" s="615"/>
      <c r="AM103" s="615"/>
      <c r="AN103" s="615"/>
      <c r="AO103" s="615"/>
      <c r="AP103" s="615"/>
      <c r="AQ103" s="615"/>
      <c r="AR103" s="615"/>
      <c r="AS103" s="615"/>
    </row>
    <row r="104" spans="12:45">
      <c r="L104" s="615"/>
      <c r="M104" s="615"/>
      <c r="AB104" s="615"/>
      <c r="AC104" s="615"/>
      <c r="AD104" s="615"/>
      <c r="AE104" s="615"/>
      <c r="AF104" s="615"/>
      <c r="AG104" s="615"/>
      <c r="AH104" s="615"/>
      <c r="AI104" s="615"/>
      <c r="AJ104" s="615"/>
      <c r="AK104" s="615"/>
      <c r="AL104" s="615"/>
      <c r="AM104" s="615"/>
      <c r="AN104" s="615"/>
      <c r="AO104" s="615"/>
      <c r="AP104" s="615"/>
      <c r="AQ104" s="615"/>
      <c r="AR104" s="615"/>
      <c r="AS104" s="615"/>
    </row>
    <row r="105" spans="12:45">
      <c r="L105" s="615"/>
      <c r="M105" s="615"/>
      <c r="AB105" s="615"/>
      <c r="AC105" s="615"/>
      <c r="AD105" s="615"/>
      <c r="AE105" s="615"/>
      <c r="AF105" s="615"/>
      <c r="AG105" s="615"/>
      <c r="AH105" s="615"/>
      <c r="AI105" s="615"/>
      <c r="AJ105" s="615"/>
      <c r="AK105" s="615"/>
      <c r="AL105" s="615"/>
      <c r="AM105" s="615"/>
      <c r="AN105" s="615"/>
      <c r="AO105" s="615"/>
      <c r="AP105" s="615"/>
      <c r="AQ105" s="615"/>
      <c r="AR105" s="615"/>
      <c r="AS105" s="615"/>
    </row>
    <row r="106" spans="12:45">
      <c r="L106" s="615"/>
      <c r="M106" s="615"/>
      <c r="AB106" s="615"/>
      <c r="AC106" s="615"/>
      <c r="AD106" s="615"/>
      <c r="AE106" s="615"/>
      <c r="AF106" s="615"/>
      <c r="AG106" s="615"/>
      <c r="AH106" s="615"/>
      <c r="AI106" s="615"/>
      <c r="AJ106" s="615"/>
      <c r="AK106" s="615"/>
      <c r="AL106" s="615"/>
      <c r="AM106" s="615"/>
      <c r="AN106" s="615"/>
      <c r="AO106" s="615"/>
      <c r="AP106" s="615"/>
      <c r="AQ106" s="615"/>
      <c r="AR106" s="615"/>
      <c r="AS106" s="615"/>
    </row>
    <row r="107" spans="12:45">
      <c r="L107" s="615"/>
      <c r="M107" s="615"/>
      <c r="AB107" s="615"/>
      <c r="AC107" s="615"/>
      <c r="AD107" s="615"/>
      <c r="AE107" s="615"/>
      <c r="AF107" s="615"/>
      <c r="AG107" s="615"/>
      <c r="AH107" s="615"/>
      <c r="AI107" s="615"/>
      <c r="AJ107" s="615"/>
      <c r="AK107" s="615"/>
      <c r="AL107" s="615"/>
      <c r="AM107" s="615"/>
      <c r="AN107" s="615"/>
      <c r="AO107" s="615"/>
      <c r="AP107" s="615"/>
      <c r="AQ107" s="615"/>
      <c r="AR107" s="615"/>
      <c r="AS107" s="615"/>
    </row>
    <row r="108" spans="12:45">
      <c r="L108" s="615"/>
      <c r="M108" s="615"/>
      <c r="AB108" s="615"/>
      <c r="AC108" s="615"/>
      <c r="AD108" s="615"/>
      <c r="AE108" s="615"/>
      <c r="AF108" s="615"/>
      <c r="AG108" s="615"/>
      <c r="AH108" s="615"/>
      <c r="AI108" s="615"/>
      <c r="AJ108" s="615"/>
      <c r="AK108" s="615"/>
      <c r="AL108" s="615"/>
      <c r="AM108" s="615"/>
      <c r="AN108" s="615"/>
      <c r="AO108" s="615"/>
      <c r="AP108" s="615"/>
      <c r="AQ108" s="615"/>
      <c r="AR108" s="615"/>
      <c r="AS108" s="615"/>
    </row>
    <row r="109" spans="12:45">
      <c r="L109" s="615"/>
      <c r="M109" s="615"/>
      <c r="AB109" s="615"/>
      <c r="AC109" s="615"/>
      <c r="AD109" s="615"/>
      <c r="AE109" s="615"/>
      <c r="AF109" s="615"/>
      <c r="AG109" s="615"/>
      <c r="AH109" s="615"/>
      <c r="AI109" s="615"/>
      <c r="AJ109" s="615"/>
      <c r="AK109" s="615"/>
      <c r="AL109" s="615"/>
      <c r="AM109" s="615"/>
      <c r="AN109" s="615"/>
      <c r="AO109" s="615"/>
      <c r="AP109" s="615"/>
      <c r="AQ109" s="615"/>
      <c r="AR109" s="615"/>
      <c r="AS109" s="615"/>
    </row>
    <row r="110" spans="12:45">
      <c r="L110" s="615"/>
      <c r="M110" s="615"/>
      <c r="AB110" s="615"/>
      <c r="AC110" s="615"/>
      <c r="AD110" s="615"/>
      <c r="AE110" s="615"/>
      <c r="AF110" s="615"/>
      <c r="AG110" s="615"/>
      <c r="AH110" s="615"/>
      <c r="AI110" s="615"/>
      <c r="AJ110" s="615"/>
      <c r="AK110" s="615"/>
      <c r="AL110" s="615"/>
      <c r="AM110" s="615"/>
      <c r="AN110" s="615"/>
      <c r="AO110" s="615"/>
      <c r="AP110" s="615"/>
      <c r="AQ110" s="615"/>
      <c r="AR110" s="615"/>
      <c r="AS110" s="615"/>
    </row>
    <row r="111" spans="12:45">
      <c r="L111" s="615"/>
      <c r="M111" s="615"/>
      <c r="AB111" s="615"/>
      <c r="AC111" s="615"/>
      <c r="AD111" s="615"/>
      <c r="AE111" s="615"/>
      <c r="AF111" s="615"/>
      <c r="AG111" s="615"/>
      <c r="AH111" s="615"/>
      <c r="AI111" s="615"/>
      <c r="AJ111" s="615"/>
      <c r="AK111" s="615"/>
      <c r="AL111" s="615"/>
      <c r="AM111" s="615"/>
      <c r="AN111" s="615"/>
      <c r="AO111" s="615"/>
      <c r="AP111" s="615"/>
      <c r="AQ111" s="615"/>
      <c r="AR111" s="615"/>
      <c r="AS111" s="615"/>
    </row>
    <row r="112" spans="12:45">
      <c r="L112" s="615"/>
      <c r="M112" s="615"/>
      <c r="AB112" s="615"/>
      <c r="AC112" s="615"/>
      <c r="AD112" s="615"/>
      <c r="AE112" s="615"/>
      <c r="AF112" s="615"/>
      <c r="AG112" s="615"/>
      <c r="AH112" s="615"/>
      <c r="AI112" s="615"/>
      <c r="AJ112" s="615"/>
      <c r="AK112" s="615"/>
      <c r="AL112" s="615"/>
      <c r="AM112" s="615"/>
      <c r="AN112" s="615"/>
      <c r="AO112" s="615"/>
      <c r="AP112" s="615"/>
      <c r="AQ112" s="615"/>
      <c r="AR112" s="615"/>
      <c r="AS112" s="615"/>
    </row>
    <row r="113" spans="12:45">
      <c r="L113" s="615"/>
      <c r="M113" s="615"/>
      <c r="AB113" s="615"/>
      <c r="AC113" s="615"/>
      <c r="AD113" s="615"/>
      <c r="AE113" s="615"/>
      <c r="AF113" s="615"/>
      <c r="AG113" s="615"/>
      <c r="AH113" s="615"/>
      <c r="AI113" s="615"/>
      <c r="AJ113" s="615"/>
      <c r="AK113" s="615"/>
      <c r="AL113" s="615"/>
      <c r="AM113" s="615"/>
      <c r="AN113" s="615"/>
      <c r="AO113" s="615"/>
      <c r="AP113" s="615"/>
      <c r="AQ113" s="615"/>
      <c r="AR113" s="615"/>
      <c r="AS113" s="615"/>
    </row>
    <row r="114" spans="12:45">
      <c r="L114" s="615"/>
      <c r="M114" s="615"/>
      <c r="AB114" s="615"/>
      <c r="AC114" s="615"/>
      <c r="AD114" s="615"/>
      <c r="AE114" s="615"/>
      <c r="AF114" s="615"/>
      <c r="AG114" s="615"/>
      <c r="AH114" s="615"/>
      <c r="AI114" s="615"/>
      <c r="AJ114" s="615"/>
      <c r="AK114" s="615"/>
      <c r="AL114" s="615"/>
      <c r="AM114" s="615"/>
      <c r="AN114" s="615"/>
      <c r="AO114" s="615"/>
      <c r="AP114" s="615"/>
      <c r="AQ114" s="615"/>
      <c r="AR114" s="615"/>
      <c r="AS114" s="615"/>
    </row>
    <row r="115" spans="12:45">
      <c r="L115" s="615"/>
      <c r="M115" s="615"/>
      <c r="AB115" s="615"/>
      <c r="AC115" s="615"/>
      <c r="AD115" s="615"/>
      <c r="AE115" s="615"/>
      <c r="AF115" s="615"/>
      <c r="AG115" s="615"/>
      <c r="AH115" s="615"/>
      <c r="AI115" s="615"/>
      <c r="AJ115" s="615"/>
      <c r="AK115" s="615"/>
      <c r="AL115" s="615"/>
      <c r="AM115" s="615"/>
      <c r="AN115" s="615"/>
      <c r="AO115" s="615"/>
      <c r="AP115" s="615"/>
      <c r="AQ115" s="615"/>
      <c r="AR115" s="615"/>
      <c r="AS115" s="615"/>
    </row>
    <row r="116" spans="12:45">
      <c r="L116" s="615"/>
      <c r="M116" s="615"/>
      <c r="AB116" s="615"/>
      <c r="AC116" s="615"/>
      <c r="AD116" s="615"/>
      <c r="AE116" s="615"/>
      <c r="AF116" s="615"/>
      <c r="AG116" s="615"/>
      <c r="AH116" s="615"/>
      <c r="AI116" s="615"/>
      <c r="AJ116" s="615"/>
      <c r="AK116" s="615"/>
      <c r="AL116" s="615"/>
      <c r="AM116" s="615"/>
      <c r="AN116" s="615"/>
      <c r="AO116" s="615"/>
      <c r="AP116" s="615"/>
      <c r="AQ116" s="615"/>
      <c r="AR116" s="615"/>
      <c r="AS116" s="615"/>
    </row>
    <row r="117" spans="12:45">
      <c r="L117" s="615"/>
      <c r="M117" s="615"/>
      <c r="AB117" s="615"/>
      <c r="AC117" s="615"/>
      <c r="AD117" s="615"/>
      <c r="AE117" s="615"/>
      <c r="AF117" s="615"/>
      <c r="AG117" s="615"/>
      <c r="AH117" s="615"/>
      <c r="AI117" s="615"/>
      <c r="AJ117" s="615"/>
      <c r="AK117" s="615"/>
      <c r="AL117" s="615"/>
      <c r="AM117" s="615"/>
      <c r="AN117" s="615"/>
      <c r="AO117" s="615"/>
      <c r="AP117" s="615"/>
      <c r="AQ117" s="615"/>
      <c r="AR117" s="615"/>
      <c r="AS117" s="615"/>
    </row>
    <row r="118" spans="12:45">
      <c r="L118" s="615"/>
      <c r="M118" s="615"/>
      <c r="AB118" s="615"/>
      <c r="AC118" s="615"/>
      <c r="AD118" s="615"/>
      <c r="AE118" s="615"/>
      <c r="AF118" s="615"/>
      <c r="AG118" s="615"/>
      <c r="AH118" s="615"/>
      <c r="AI118" s="615"/>
      <c r="AJ118" s="615"/>
      <c r="AK118" s="615"/>
      <c r="AL118" s="615"/>
      <c r="AM118" s="615"/>
      <c r="AN118" s="615"/>
      <c r="AO118" s="615"/>
      <c r="AP118" s="615"/>
      <c r="AQ118" s="615"/>
      <c r="AR118" s="615"/>
      <c r="AS118" s="615"/>
    </row>
    <row r="119" spans="12:45">
      <c r="L119" s="615"/>
      <c r="M119" s="615"/>
      <c r="AB119" s="615"/>
      <c r="AC119" s="615"/>
      <c r="AD119" s="615"/>
      <c r="AE119" s="615"/>
      <c r="AF119" s="615"/>
      <c r="AG119" s="615"/>
      <c r="AH119" s="615"/>
      <c r="AI119" s="615"/>
      <c r="AJ119" s="615"/>
      <c r="AK119" s="615"/>
      <c r="AL119" s="615"/>
      <c r="AM119" s="615"/>
      <c r="AN119" s="615"/>
      <c r="AO119" s="615"/>
      <c r="AP119" s="615"/>
      <c r="AQ119" s="615"/>
      <c r="AR119" s="615"/>
      <c r="AS119" s="615"/>
    </row>
    <row r="120" spans="12:45">
      <c r="L120" s="615"/>
      <c r="M120" s="615"/>
      <c r="AB120" s="615"/>
      <c r="AC120" s="615"/>
      <c r="AD120" s="615"/>
      <c r="AE120" s="615"/>
      <c r="AF120" s="615"/>
      <c r="AG120" s="615"/>
      <c r="AH120" s="615"/>
      <c r="AI120" s="615"/>
      <c r="AJ120" s="615"/>
      <c r="AK120" s="615"/>
      <c r="AL120" s="615"/>
      <c r="AM120" s="615"/>
      <c r="AN120" s="615"/>
      <c r="AO120" s="615"/>
      <c r="AP120" s="615"/>
      <c r="AQ120" s="615"/>
      <c r="AR120" s="615"/>
      <c r="AS120" s="615"/>
    </row>
    <row r="121" spans="12:45">
      <c r="L121" s="615"/>
      <c r="M121" s="615"/>
      <c r="AB121" s="615"/>
      <c r="AC121" s="615"/>
      <c r="AD121" s="615"/>
      <c r="AE121" s="615"/>
      <c r="AF121" s="615"/>
      <c r="AG121" s="615"/>
      <c r="AH121" s="615"/>
      <c r="AI121" s="615"/>
      <c r="AJ121" s="615"/>
      <c r="AK121" s="615"/>
      <c r="AL121" s="615"/>
      <c r="AM121" s="615"/>
      <c r="AN121" s="615"/>
      <c r="AO121" s="615"/>
      <c r="AP121" s="615"/>
      <c r="AQ121" s="615"/>
      <c r="AR121" s="615"/>
      <c r="AS121" s="615"/>
    </row>
    <row r="122" spans="12:45">
      <c r="L122" s="615"/>
      <c r="M122" s="615"/>
      <c r="AB122" s="615"/>
      <c r="AC122" s="615"/>
      <c r="AD122" s="615"/>
      <c r="AE122" s="615"/>
      <c r="AF122" s="615"/>
      <c r="AG122" s="615"/>
      <c r="AH122" s="615"/>
      <c r="AI122" s="615"/>
      <c r="AJ122" s="615"/>
      <c r="AK122" s="615"/>
      <c r="AL122" s="615"/>
      <c r="AM122" s="615"/>
      <c r="AN122" s="615"/>
      <c r="AO122" s="615"/>
      <c r="AP122" s="615"/>
      <c r="AQ122" s="615"/>
      <c r="AR122" s="615"/>
      <c r="AS122" s="615"/>
    </row>
    <row r="123" spans="12:45">
      <c r="L123" s="615"/>
      <c r="M123" s="615"/>
      <c r="AB123" s="615"/>
      <c r="AC123" s="615"/>
      <c r="AD123" s="615"/>
      <c r="AE123" s="615"/>
      <c r="AF123" s="615"/>
      <c r="AG123" s="615"/>
      <c r="AH123" s="615"/>
      <c r="AI123" s="615"/>
      <c r="AJ123" s="615"/>
      <c r="AK123" s="615"/>
      <c r="AL123" s="615"/>
      <c r="AM123" s="615"/>
      <c r="AN123" s="615"/>
      <c r="AO123" s="615"/>
      <c r="AP123" s="615"/>
      <c r="AQ123" s="615"/>
      <c r="AR123" s="615"/>
      <c r="AS123" s="615"/>
    </row>
    <row r="124" spans="12:45">
      <c r="L124" s="615"/>
      <c r="M124" s="615"/>
      <c r="AB124" s="615"/>
      <c r="AC124" s="615"/>
      <c r="AD124" s="615"/>
      <c r="AE124" s="615"/>
      <c r="AF124" s="615"/>
      <c r="AG124" s="615"/>
      <c r="AH124" s="615"/>
      <c r="AI124" s="615"/>
      <c r="AJ124" s="615"/>
      <c r="AK124" s="615"/>
      <c r="AL124" s="615"/>
      <c r="AM124" s="615"/>
      <c r="AN124" s="615"/>
      <c r="AO124" s="615"/>
      <c r="AP124" s="615"/>
      <c r="AQ124" s="615"/>
      <c r="AR124" s="615"/>
      <c r="AS124" s="615"/>
    </row>
    <row r="125" spans="12:45">
      <c r="L125" s="615"/>
      <c r="M125" s="615"/>
      <c r="AB125" s="615"/>
      <c r="AC125" s="615"/>
      <c r="AD125" s="615"/>
      <c r="AE125" s="615"/>
      <c r="AF125" s="615"/>
      <c r="AG125" s="615"/>
      <c r="AH125" s="615"/>
      <c r="AI125" s="615"/>
      <c r="AJ125" s="615"/>
      <c r="AK125" s="615"/>
      <c r="AL125" s="615"/>
      <c r="AM125" s="615"/>
      <c r="AN125" s="615"/>
      <c r="AO125" s="615"/>
      <c r="AP125" s="615"/>
      <c r="AQ125" s="615"/>
      <c r="AR125" s="615"/>
      <c r="AS125" s="615"/>
    </row>
    <row r="126" spans="12:45">
      <c r="L126" s="615"/>
      <c r="M126" s="615"/>
      <c r="AB126" s="615"/>
      <c r="AC126" s="615"/>
      <c r="AD126" s="615"/>
      <c r="AE126" s="615"/>
      <c r="AF126" s="615"/>
      <c r="AG126" s="615"/>
      <c r="AH126" s="615"/>
      <c r="AI126" s="615"/>
      <c r="AJ126" s="615"/>
      <c r="AK126" s="615"/>
      <c r="AL126" s="615"/>
      <c r="AM126" s="615"/>
      <c r="AN126" s="615"/>
      <c r="AO126" s="615"/>
      <c r="AP126" s="615"/>
      <c r="AQ126" s="615"/>
      <c r="AR126" s="615"/>
      <c r="AS126" s="615"/>
    </row>
    <row r="127" spans="12:45">
      <c r="L127" s="615"/>
      <c r="M127" s="615"/>
      <c r="AB127" s="615"/>
      <c r="AC127" s="615"/>
      <c r="AD127" s="615"/>
      <c r="AE127" s="615"/>
      <c r="AF127" s="615"/>
      <c r="AG127" s="615"/>
      <c r="AH127" s="615"/>
      <c r="AI127" s="615"/>
      <c r="AJ127" s="615"/>
      <c r="AK127" s="615"/>
      <c r="AL127" s="615"/>
      <c r="AM127" s="615"/>
      <c r="AN127" s="615"/>
      <c r="AO127" s="615"/>
      <c r="AP127" s="615"/>
      <c r="AQ127" s="615"/>
      <c r="AR127" s="615"/>
      <c r="AS127" s="615"/>
    </row>
    <row r="128" spans="12:45">
      <c r="L128" s="615"/>
      <c r="M128" s="615"/>
      <c r="AB128" s="615"/>
      <c r="AC128" s="615"/>
      <c r="AD128" s="615"/>
      <c r="AE128" s="615"/>
      <c r="AF128" s="615"/>
      <c r="AG128" s="615"/>
      <c r="AH128" s="615"/>
      <c r="AI128" s="615"/>
      <c r="AJ128" s="615"/>
      <c r="AK128" s="615"/>
      <c r="AL128" s="615"/>
      <c r="AM128" s="615"/>
      <c r="AN128" s="615"/>
      <c r="AO128" s="615"/>
      <c r="AP128" s="615"/>
      <c r="AQ128" s="615"/>
      <c r="AR128" s="615"/>
      <c r="AS128" s="615"/>
    </row>
    <row r="129" spans="12:45">
      <c r="L129" s="615"/>
      <c r="M129" s="615"/>
      <c r="AB129" s="615"/>
      <c r="AC129" s="615"/>
      <c r="AD129" s="615"/>
      <c r="AE129" s="615"/>
      <c r="AF129" s="615"/>
      <c r="AG129" s="615"/>
      <c r="AH129" s="615"/>
      <c r="AI129" s="615"/>
      <c r="AJ129" s="615"/>
      <c r="AK129" s="615"/>
      <c r="AL129" s="615"/>
      <c r="AM129" s="615"/>
      <c r="AN129" s="615"/>
      <c r="AO129" s="615"/>
      <c r="AP129" s="615"/>
      <c r="AQ129" s="615"/>
      <c r="AR129" s="615"/>
      <c r="AS129" s="615"/>
    </row>
    <row r="130" spans="12:45">
      <c r="L130" s="615"/>
      <c r="M130" s="615"/>
      <c r="AB130" s="615"/>
      <c r="AC130" s="615"/>
      <c r="AD130" s="615"/>
      <c r="AE130" s="615"/>
      <c r="AF130" s="615"/>
      <c r="AG130" s="615"/>
      <c r="AH130" s="615"/>
      <c r="AI130" s="615"/>
      <c r="AJ130" s="615"/>
      <c r="AK130" s="615"/>
      <c r="AL130" s="615"/>
      <c r="AM130" s="615"/>
      <c r="AN130" s="615"/>
      <c r="AO130" s="615"/>
      <c r="AP130" s="615"/>
      <c r="AQ130" s="615"/>
      <c r="AR130" s="615"/>
      <c r="AS130" s="615"/>
    </row>
    <row r="131" spans="12:45">
      <c r="L131" s="615"/>
      <c r="M131" s="615"/>
      <c r="AB131" s="615"/>
      <c r="AC131" s="615"/>
      <c r="AD131" s="615"/>
      <c r="AE131" s="615"/>
      <c r="AF131" s="615"/>
      <c r="AG131" s="615"/>
      <c r="AH131" s="615"/>
      <c r="AI131" s="615"/>
      <c r="AJ131" s="615"/>
      <c r="AK131" s="615"/>
      <c r="AL131" s="615"/>
      <c r="AM131" s="615"/>
      <c r="AN131" s="615"/>
      <c r="AO131" s="615"/>
      <c r="AP131" s="615"/>
      <c r="AQ131" s="615"/>
      <c r="AR131" s="615"/>
      <c r="AS131" s="615"/>
    </row>
    <row r="132" spans="12:45">
      <c r="L132" s="615"/>
      <c r="M132" s="615"/>
      <c r="AB132" s="615"/>
      <c r="AC132" s="615"/>
      <c r="AD132" s="615"/>
      <c r="AE132" s="615"/>
      <c r="AF132" s="615"/>
      <c r="AG132" s="615"/>
      <c r="AH132" s="615"/>
      <c r="AI132" s="615"/>
      <c r="AJ132" s="615"/>
      <c r="AK132" s="615"/>
      <c r="AL132" s="615"/>
      <c r="AM132" s="615"/>
      <c r="AN132" s="615"/>
      <c r="AO132" s="615"/>
      <c r="AP132" s="615"/>
      <c r="AQ132" s="615"/>
      <c r="AR132" s="615"/>
      <c r="AS132" s="615"/>
    </row>
    <row r="133" spans="12:45">
      <c r="L133" s="615"/>
      <c r="M133" s="615"/>
      <c r="AB133" s="615"/>
      <c r="AC133" s="615"/>
      <c r="AD133" s="615"/>
      <c r="AE133" s="615"/>
      <c r="AF133" s="615"/>
      <c r="AG133" s="615"/>
      <c r="AH133" s="615"/>
      <c r="AI133" s="615"/>
      <c r="AJ133" s="615"/>
      <c r="AK133" s="615"/>
      <c r="AL133" s="615"/>
      <c r="AM133" s="615"/>
      <c r="AN133" s="615"/>
      <c r="AO133" s="615"/>
      <c r="AP133" s="615"/>
      <c r="AQ133" s="615"/>
      <c r="AR133" s="615"/>
      <c r="AS133" s="615"/>
    </row>
    <row r="134" spans="12:45">
      <c r="L134" s="615"/>
      <c r="M134" s="615"/>
      <c r="AB134" s="615"/>
      <c r="AC134" s="615"/>
      <c r="AD134" s="615"/>
      <c r="AE134" s="615"/>
      <c r="AF134" s="615"/>
      <c r="AG134" s="615"/>
      <c r="AH134" s="615"/>
      <c r="AI134" s="615"/>
      <c r="AJ134" s="615"/>
      <c r="AK134" s="615"/>
      <c r="AL134" s="615"/>
      <c r="AM134" s="615"/>
      <c r="AN134" s="615"/>
      <c r="AO134" s="615"/>
      <c r="AP134" s="615"/>
      <c r="AQ134" s="615"/>
      <c r="AR134" s="615"/>
      <c r="AS134" s="615"/>
    </row>
    <row r="135" spans="12:45">
      <c r="L135" s="615"/>
      <c r="M135" s="615"/>
      <c r="AB135" s="615"/>
      <c r="AC135" s="615"/>
      <c r="AD135" s="615"/>
      <c r="AE135" s="615"/>
      <c r="AF135" s="615"/>
      <c r="AG135" s="615"/>
      <c r="AH135" s="615"/>
      <c r="AI135" s="615"/>
      <c r="AJ135" s="615"/>
      <c r="AK135" s="615"/>
      <c r="AL135" s="615"/>
      <c r="AM135" s="615"/>
      <c r="AN135" s="615"/>
      <c r="AO135" s="615"/>
      <c r="AP135" s="615"/>
      <c r="AQ135" s="615"/>
      <c r="AR135" s="615"/>
      <c r="AS135" s="615"/>
    </row>
    <row r="136" spans="12:45">
      <c r="L136" s="615"/>
      <c r="M136" s="615"/>
      <c r="AB136" s="615"/>
      <c r="AC136" s="615"/>
      <c r="AD136" s="615"/>
      <c r="AE136" s="615"/>
      <c r="AF136" s="615"/>
      <c r="AG136" s="615"/>
      <c r="AH136" s="615"/>
      <c r="AI136" s="615"/>
      <c r="AJ136" s="615"/>
      <c r="AK136" s="615"/>
      <c r="AL136" s="615"/>
      <c r="AM136" s="615"/>
      <c r="AN136" s="615"/>
      <c r="AO136" s="615"/>
      <c r="AP136" s="615"/>
      <c r="AQ136" s="615"/>
      <c r="AR136" s="615"/>
      <c r="AS136" s="615"/>
    </row>
    <row r="137" spans="12:45">
      <c r="L137" s="615"/>
      <c r="M137" s="615"/>
      <c r="AB137" s="615"/>
      <c r="AC137" s="615"/>
      <c r="AD137" s="615"/>
      <c r="AE137" s="615"/>
      <c r="AF137" s="615"/>
      <c r="AG137" s="615"/>
      <c r="AH137" s="615"/>
      <c r="AI137" s="615"/>
      <c r="AJ137" s="615"/>
      <c r="AK137" s="615"/>
      <c r="AL137" s="615"/>
      <c r="AM137" s="615"/>
      <c r="AN137" s="615"/>
      <c r="AO137" s="615"/>
      <c r="AP137" s="615"/>
      <c r="AQ137" s="615"/>
      <c r="AR137" s="615"/>
      <c r="AS137" s="615"/>
    </row>
    <row r="138" spans="12:45">
      <c r="L138" s="615"/>
      <c r="M138" s="615"/>
      <c r="AB138" s="615"/>
      <c r="AC138" s="615"/>
      <c r="AD138" s="615"/>
      <c r="AE138" s="615"/>
      <c r="AF138" s="615"/>
      <c r="AG138" s="615"/>
      <c r="AH138" s="615"/>
      <c r="AI138" s="615"/>
      <c r="AJ138" s="615"/>
      <c r="AK138" s="615"/>
      <c r="AL138" s="615"/>
      <c r="AM138" s="615"/>
      <c r="AN138" s="615"/>
      <c r="AO138" s="615"/>
      <c r="AP138" s="615"/>
      <c r="AQ138" s="615"/>
      <c r="AR138" s="615"/>
      <c r="AS138" s="615"/>
    </row>
    <row r="139" spans="12:45">
      <c r="L139" s="615"/>
      <c r="M139" s="615"/>
      <c r="AB139" s="615"/>
      <c r="AC139" s="615"/>
      <c r="AD139" s="615"/>
      <c r="AE139" s="615"/>
      <c r="AF139" s="615"/>
      <c r="AG139" s="615"/>
      <c r="AH139" s="615"/>
      <c r="AI139" s="615"/>
      <c r="AJ139" s="615"/>
      <c r="AK139" s="615"/>
      <c r="AL139" s="615"/>
      <c r="AM139" s="615"/>
      <c r="AN139" s="615"/>
      <c r="AO139" s="615"/>
      <c r="AP139" s="615"/>
      <c r="AQ139" s="615"/>
      <c r="AR139" s="615"/>
      <c r="AS139" s="615"/>
    </row>
    <row r="140" spans="12:45">
      <c r="L140" s="615"/>
      <c r="M140" s="615"/>
      <c r="AB140" s="615"/>
      <c r="AC140" s="615"/>
      <c r="AD140" s="615"/>
      <c r="AE140" s="615"/>
      <c r="AF140" s="615"/>
      <c r="AG140" s="615"/>
      <c r="AH140" s="615"/>
      <c r="AI140" s="615"/>
      <c r="AJ140" s="615"/>
      <c r="AK140" s="615"/>
      <c r="AL140" s="615"/>
      <c r="AM140" s="615"/>
      <c r="AN140" s="615"/>
      <c r="AO140" s="615"/>
      <c r="AP140" s="615"/>
      <c r="AQ140" s="615"/>
      <c r="AR140" s="615"/>
      <c r="AS140" s="615"/>
    </row>
    <row r="141" spans="12:45">
      <c r="L141" s="615"/>
      <c r="M141" s="615"/>
      <c r="AB141" s="615"/>
      <c r="AC141" s="615"/>
      <c r="AD141" s="615"/>
      <c r="AE141" s="615"/>
      <c r="AF141" s="615"/>
      <c r="AG141" s="615"/>
      <c r="AH141" s="615"/>
      <c r="AI141" s="615"/>
      <c r="AJ141" s="615"/>
      <c r="AK141" s="615"/>
      <c r="AL141" s="615"/>
      <c r="AM141" s="615"/>
      <c r="AN141" s="615"/>
      <c r="AO141" s="615"/>
      <c r="AP141" s="615"/>
      <c r="AQ141" s="615"/>
      <c r="AR141" s="615"/>
      <c r="AS141" s="615"/>
    </row>
    <row r="142" spans="12:45">
      <c r="L142" s="615"/>
      <c r="M142" s="615"/>
      <c r="AB142" s="615"/>
      <c r="AC142" s="615"/>
      <c r="AD142" s="615"/>
      <c r="AE142" s="615"/>
      <c r="AF142" s="615"/>
      <c r="AG142" s="615"/>
      <c r="AH142" s="615"/>
      <c r="AI142" s="615"/>
      <c r="AJ142" s="615"/>
      <c r="AK142" s="615"/>
      <c r="AL142" s="615"/>
      <c r="AM142" s="615"/>
      <c r="AN142" s="615"/>
      <c r="AO142" s="615"/>
      <c r="AP142" s="615"/>
      <c r="AQ142" s="615"/>
      <c r="AR142" s="615"/>
      <c r="AS142" s="615"/>
    </row>
    <row r="143" spans="12:45">
      <c r="L143" s="615"/>
      <c r="M143" s="615"/>
      <c r="AB143" s="615"/>
      <c r="AC143" s="615"/>
      <c r="AD143" s="615"/>
      <c r="AE143" s="615"/>
      <c r="AF143" s="615"/>
      <c r="AG143" s="615"/>
      <c r="AH143" s="615"/>
      <c r="AI143" s="615"/>
      <c r="AJ143" s="615"/>
      <c r="AK143" s="615"/>
      <c r="AL143" s="615"/>
      <c r="AM143" s="615"/>
      <c r="AN143" s="615"/>
      <c r="AO143" s="615"/>
      <c r="AP143" s="615"/>
      <c r="AQ143" s="615"/>
      <c r="AR143" s="615"/>
      <c r="AS143" s="615"/>
    </row>
    <row r="144" spans="12:45">
      <c r="L144" s="615"/>
      <c r="M144" s="615"/>
      <c r="AB144" s="615"/>
      <c r="AC144" s="615"/>
      <c r="AD144" s="615"/>
      <c r="AE144" s="615"/>
      <c r="AF144" s="615"/>
      <c r="AG144" s="615"/>
      <c r="AH144" s="615"/>
      <c r="AI144" s="615"/>
      <c r="AJ144" s="615"/>
      <c r="AK144" s="615"/>
      <c r="AL144" s="615"/>
      <c r="AM144" s="615"/>
      <c r="AN144" s="615"/>
      <c r="AO144" s="615"/>
      <c r="AP144" s="615"/>
      <c r="AQ144" s="615"/>
      <c r="AR144" s="615"/>
      <c r="AS144" s="615"/>
    </row>
    <row r="145" spans="12:45">
      <c r="L145" s="615"/>
      <c r="M145" s="615"/>
      <c r="AB145" s="615"/>
      <c r="AC145" s="615"/>
      <c r="AD145" s="615"/>
      <c r="AE145" s="615"/>
      <c r="AF145" s="615"/>
      <c r="AG145" s="615"/>
      <c r="AH145" s="615"/>
      <c r="AI145" s="615"/>
      <c r="AJ145" s="615"/>
      <c r="AK145" s="615"/>
      <c r="AL145" s="615"/>
      <c r="AM145" s="615"/>
      <c r="AN145" s="615"/>
      <c r="AO145" s="615"/>
      <c r="AP145" s="615"/>
      <c r="AQ145" s="615"/>
      <c r="AR145" s="615"/>
      <c r="AS145" s="615"/>
    </row>
    <row r="146" spans="12:45">
      <c r="L146" s="615"/>
      <c r="M146" s="615"/>
      <c r="AB146" s="615"/>
      <c r="AC146" s="615"/>
      <c r="AD146" s="615"/>
      <c r="AE146" s="615"/>
      <c r="AF146" s="615"/>
      <c r="AG146" s="615"/>
      <c r="AH146" s="615"/>
      <c r="AI146" s="615"/>
      <c r="AJ146" s="615"/>
      <c r="AK146" s="615"/>
      <c r="AL146" s="615"/>
      <c r="AM146" s="615"/>
      <c r="AN146" s="615"/>
      <c r="AO146" s="615"/>
      <c r="AP146" s="615"/>
      <c r="AQ146" s="615"/>
      <c r="AR146" s="615"/>
      <c r="AS146" s="615"/>
    </row>
    <row r="147" spans="12:45">
      <c r="L147" s="615"/>
      <c r="M147" s="615"/>
      <c r="AB147" s="615"/>
      <c r="AC147" s="615"/>
      <c r="AD147" s="615"/>
      <c r="AE147" s="615"/>
      <c r="AF147" s="615"/>
      <c r="AG147" s="615"/>
      <c r="AH147" s="615"/>
      <c r="AI147" s="615"/>
      <c r="AJ147" s="615"/>
      <c r="AK147" s="615"/>
      <c r="AL147" s="615"/>
      <c r="AM147" s="615"/>
      <c r="AN147" s="615"/>
      <c r="AO147" s="615"/>
      <c r="AP147" s="615"/>
      <c r="AQ147" s="615"/>
      <c r="AR147" s="615"/>
      <c r="AS147" s="615"/>
    </row>
    <row r="148" spans="12:45">
      <c r="L148" s="615"/>
      <c r="M148" s="615"/>
      <c r="AB148" s="615"/>
      <c r="AC148" s="615"/>
      <c r="AD148" s="615"/>
      <c r="AE148" s="615"/>
      <c r="AF148" s="615"/>
      <c r="AG148" s="615"/>
      <c r="AH148" s="615"/>
      <c r="AI148" s="615"/>
      <c r="AJ148" s="615"/>
      <c r="AK148" s="615"/>
      <c r="AL148" s="615"/>
      <c r="AM148" s="615"/>
      <c r="AN148" s="615"/>
      <c r="AO148" s="615"/>
      <c r="AP148" s="615"/>
      <c r="AQ148" s="615"/>
      <c r="AR148" s="615"/>
      <c r="AS148" s="615"/>
    </row>
    <row r="149" spans="12:45">
      <c r="L149" s="615"/>
      <c r="M149" s="615"/>
      <c r="AB149" s="615"/>
      <c r="AC149" s="615"/>
      <c r="AD149" s="615"/>
      <c r="AE149" s="615"/>
      <c r="AF149" s="615"/>
      <c r="AG149" s="615"/>
      <c r="AH149" s="615"/>
      <c r="AI149" s="615"/>
      <c r="AJ149" s="615"/>
      <c r="AK149" s="615"/>
      <c r="AL149" s="615"/>
      <c r="AM149" s="615"/>
      <c r="AN149" s="615"/>
      <c r="AO149" s="615"/>
      <c r="AP149" s="615"/>
      <c r="AQ149" s="615"/>
      <c r="AR149" s="615"/>
      <c r="AS149" s="615"/>
    </row>
    <row r="150" spans="12:45">
      <c r="L150" s="615"/>
      <c r="M150" s="615"/>
      <c r="AB150" s="615"/>
      <c r="AC150" s="615"/>
      <c r="AD150" s="615"/>
      <c r="AE150" s="615"/>
      <c r="AF150" s="615"/>
      <c r="AG150" s="615"/>
      <c r="AH150" s="615"/>
      <c r="AI150" s="615"/>
      <c r="AJ150" s="615"/>
      <c r="AK150" s="615"/>
      <c r="AL150" s="615"/>
      <c r="AM150" s="615"/>
      <c r="AN150" s="615"/>
      <c r="AO150" s="615"/>
      <c r="AP150" s="615"/>
      <c r="AQ150" s="615"/>
      <c r="AR150" s="615"/>
      <c r="AS150" s="615"/>
    </row>
    <row r="151" spans="12:45">
      <c r="L151" s="615"/>
      <c r="M151" s="615"/>
      <c r="AB151" s="615"/>
      <c r="AC151" s="615"/>
      <c r="AD151" s="615"/>
      <c r="AE151" s="615"/>
      <c r="AF151" s="615"/>
      <c r="AG151" s="615"/>
      <c r="AH151" s="615"/>
      <c r="AI151" s="615"/>
      <c r="AJ151" s="615"/>
      <c r="AK151" s="615"/>
      <c r="AL151" s="615"/>
      <c r="AM151" s="615"/>
      <c r="AN151" s="615"/>
      <c r="AO151" s="615"/>
      <c r="AP151" s="615"/>
      <c r="AQ151" s="615"/>
      <c r="AR151" s="615"/>
      <c r="AS151" s="615"/>
    </row>
    <row r="152" spans="12:45">
      <c r="L152" s="615"/>
      <c r="M152" s="615"/>
      <c r="AB152" s="615"/>
      <c r="AC152" s="615"/>
      <c r="AD152" s="615"/>
      <c r="AE152" s="615"/>
      <c r="AF152" s="615"/>
      <c r="AG152" s="615"/>
      <c r="AH152" s="615"/>
      <c r="AI152" s="615"/>
      <c r="AJ152" s="615"/>
      <c r="AK152" s="615"/>
      <c r="AL152" s="615"/>
      <c r="AM152" s="615"/>
      <c r="AN152" s="615"/>
      <c r="AO152" s="615"/>
      <c r="AP152" s="615"/>
      <c r="AQ152" s="615"/>
      <c r="AR152" s="615"/>
      <c r="AS152" s="615"/>
    </row>
    <row r="153" spans="12:45">
      <c r="L153" s="615"/>
      <c r="M153" s="615"/>
      <c r="AB153" s="615"/>
      <c r="AC153" s="615"/>
      <c r="AD153" s="615"/>
      <c r="AE153" s="615"/>
      <c r="AF153" s="615"/>
      <c r="AG153" s="615"/>
      <c r="AH153" s="615"/>
      <c r="AI153" s="615"/>
      <c r="AJ153" s="615"/>
      <c r="AK153" s="615"/>
      <c r="AL153" s="615"/>
      <c r="AM153" s="615"/>
      <c r="AN153" s="615"/>
      <c r="AO153" s="615"/>
      <c r="AP153" s="615"/>
      <c r="AQ153" s="615"/>
      <c r="AR153" s="615"/>
      <c r="AS153" s="615"/>
    </row>
    <row r="154" spans="12:45">
      <c r="L154" s="615"/>
      <c r="M154" s="615"/>
      <c r="AB154" s="615"/>
      <c r="AC154" s="615"/>
      <c r="AD154" s="615"/>
      <c r="AE154" s="615"/>
      <c r="AF154" s="615"/>
      <c r="AG154" s="615"/>
      <c r="AH154" s="615"/>
      <c r="AI154" s="615"/>
      <c r="AJ154" s="615"/>
      <c r="AK154" s="615"/>
      <c r="AL154" s="615"/>
      <c r="AM154" s="615"/>
      <c r="AN154" s="615"/>
      <c r="AO154" s="615"/>
      <c r="AP154" s="615"/>
      <c r="AQ154" s="615"/>
      <c r="AR154" s="615"/>
      <c r="AS154" s="615"/>
    </row>
    <row r="155" spans="12:45">
      <c r="L155" s="615"/>
      <c r="M155" s="615"/>
      <c r="AB155" s="615"/>
      <c r="AC155" s="615"/>
      <c r="AD155" s="615"/>
      <c r="AE155" s="615"/>
      <c r="AF155" s="615"/>
      <c r="AG155" s="615"/>
      <c r="AH155" s="615"/>
      <c r="AI155" s="615"/>
      <c r="AJ155" s="615"/>
      <c r="AK155" s="615"/>
      <c r="AL155" s="615"/>
      <c r="AM155" s="615"/>
      <c r="AN155" s="615"/>
      <c r="AO155" s="615"/>
      <c r="AP155" s="615"/>
      <c r="AQ155" s="615"/>
      <c r="AR155" s="615"/>
      <c r="AS155" s="615"/>
    </row>
    <row r="156" spans="12:45">
      <c r="L156" s="615"/>
      <c r="M156" s="615"/>
      <c r="AB156" s="615"/>
      <c r="AC156" s="615"/>
      <c r="AD156" s="615"/>
      <c r="AE156" s="615"/>
      <c r="AF156" s="615"/>
      <c r="AG156" s="615"/>
      <c r="AH156" s="615"/>
      <c r="AI156" s="615"/>
      <c r="AJ156" s="615"/>
      <c r="AK156" s="615"/>
      <c r="AL156" s="615"/>
      <c r="AM156" s="615"/>
      <c r="AN156" s="615"/>
      <c r="AO156" s="615"/>
      <c r="AP156" s="615"/>
      <c r="AQ156" s="615"/>
      <c r="AR156" s="615"/>
      <c r="AS156" s="615"/>
    </row>
    <row r="157" spans="12:45">
      <c r="L157" s="615"/>
      <c r="M157" s="615"/>
      <c r="AB157" s="615"/>
      <c r="AC157" s="615"/>
      <c r="AD157" s="615"/>
      <c r="AE157" s="615"/>
      <c r="AF157" s="615"/>
      <c r="AG157" s="615"/>
      <c r="AH157" s="615"/>
      <c r="AI157" s="615"/>
      <c r="AJ157" s="615"/>
      <c r="AK157" s="615"/>
      <c r="AL157" s="615"/>
      <c r="AM157" s="615"/>
      <c r="AN157" s="615"/>
      <c r="AO157" s="615"/>
      <c r="AP157" s="615"/>
      <c r="AQ157" s="615"/>
      <c r="AR157" s="615"/>
      <c r="AS157" s="615"/>
    </row>
    <row r="158" spans="12:45">
      <c r="L158" s="615"/>
      <c r="M158" s="615"/>
      <c r="AB158" s="615"/>
      <c r="AC158" s="615"/>
      <c r="AD158" s="615"/>
      <c r="AE158" s="615"/>
      <c r="AF158" s="615"/>
      <c r="AG158" s="615"/>
      <c r="AH158" s="615"/>
      <c r="AI158" s="615"/>
      <c r="AJ158" s="615"/>
      <c r="AK158" s="615"/>
      <c r="AL158" s="615"/>
      <c r="AM158" s="615"/>
      <c r="AN158" s="615"/>
      <c r="AO158" s="615"/>
      <c r="AP158" s="615"/>
      <c r="AQ158" s="615"/>
      <c r="AR158" s="615"/>
      <c r="AS158" s="615"/>
    </row>
    <row r="159" spans="12:45">
      <c r="L159" s="615"/>
      <c r="M159" s="615"/>
      <c r="AB159" s="615"/>
      <c r="AC159" s="615"/>
      <c r="AD159" s="615"/>
      <c r="AE159" s="615"/>
      <c r="AF159" s="615"/>
      <c r="AG159" s="615"/>
      <c r="AH159" s="615"/>
      <c r="AI159" s="615"/>
      <c r="AJ159" s="615"/>
      <c r="AK159" s="615"/>
      <c r="AL159" s="615"/>
      <c r="AM159" s="615"/>
      <c r="AN159" s="615"/>
      <c r="AO159" s="615"/>
      <c r="AP159" s="615"/>
      <c r="AQ159" s="615"/>
      <c r="AR159" s="615"/>
      <c r="AS159" s="615"/>
    </row>
    <row r="160" spans="12:45">
      <c r="L160" s="615"/>
      <c r="M160" s="615"/>
      <c r="AB160" s="615"/>
      <c r="AC160" s="615"/>
      <c r="AD160" s="615"/>
      <c r="AE160" s="615"/>
      <c r="AF160" s="615"/>
      <c r="AG160" s="615"/>
      <c r="AH160" s="615"/>
      <c r="AI160" s="615"/>
      <c r="AJ160" s="615"/>
      <c r="AK160" s="615"/>
      <c r="AL160" s="615"/>
      <c r="AM160" s="615"/>
      <c r="AN160" s="615"/>
      <c r="AO160" s="615"/>
      <c r="AP160" s="615"/>
      <c r="AQ160" s="615"/>
      <c r="AR160" s="615"/>
      <c r="AS160" s="615"/>
    </row>
    <row r="161" spans="12:45">
      <c r="L161" s="615"/>
      <c r="M161" s="615"/>
      <c r="AB161" s="615"/>
      <c r="AC161" s="615"/>
      <c r="AD161" s="615"/>
      <c r="AE161" s="615"/>
      <c r="AF161" s="615"/>
      <c r="AG161" s="615"/>
      <c r="AH161" s="615"/>
      <c r="AI161" s="615"/>
      <c r="AJ161" s="615"/>
      <c r="AK161" s="615"/>
      <c r="AL161" s="615"/>
      <c r="AM161" s="615"/>
      <c r="AN161" s="615"/>
      <c r="AO161" s="615"/>
      <c r="AP161" s="615"/>
      <c r="AQ161" s="615"/>
      <c r="AR161" s="615"/>
      <c r="AS161" s="615"/>
    </row>
    <row r="162" spans="12:45">
      <c r="L162" s="615"/>
      <c r="M162" s="615"/>
      <c r="AB162" s="615"/>
      <c r="AC162" s="615"/>
      <c r="AD162" s="615"/>
      <c r="AE162" s="615"/>
      <c r="AF162" s="615"/>
      <c r="AG162" s="615"/>
      <c r="AH162" s="615"/>
      <c r="AI162" s="615"/>
      <c r="AJ162" s="615"/>
      <c r="AK162" s="615"/>
      <c r="AL162" s="615"/>
      <c r="AM162" s="615"/>
      <c r="AN162" s="615"/>
      <c r="AO162" s="615"/>
      <c r="AP162" s="615"/>
      <c r="AQ162" s="615"/>
      <c r="AR162" s="615"/>
      <c r="AS162" s="615"/>
    </row>
    <row r="163" spans="12:45">
      <c r="L163" s="615"/>
      <c r="M163" s="615"/>
      <c r="AB163" s="615"/>
      <c r="AC163" s="615"/>
      <c r="AD163" s="615"/>
      <c r="AE163" s="615"/>
      <c r="AF163" s="615"/>
      <c r="AG163" s="615"/>
      <c r="AH163" s="615"/>
      <c r="AI163" s="615"/>
      <c r="AJ163" s="615"/>
      <c r="AK163" s="615"/>
      <c r="AL163" s="615"/>
      <c r="AM163" s="615"/>
      <c r="AN163" s="615"/>
      <c r="AO163" s="615"/>
      <c r="AP163" s="615"/>
      <c r="AQ163" s="615"/>
      <c r="AR163" s="615"/>
      <c r="AS163" s="615"/>
    </row>
    <row r="164" spans="12:45">
      <c r="L164" s="615"/>
      <c r="M164" s="615"/>
      <c r="AB164" s="615"/>
      <c r="AC164" s="615"/>
      <c r="AD164" s="615"/>
      <c r="AE164" s="615"/>
      <c r="AF164" s="615"/>
      <c r="AG164" s="615"/>
      <c r="AH164" s="615"/>
      <c r="AI164" s="615"/>
      <c r="AJ164" s="615"/>
      <c r="AK164" s="615"/>
      <c r="AL164" s="615"/>
      <c r="AM164" s="615"/>
      <c r="AN164" s="615"/>
      <c r="AO164" s="615"/>
      <c r="AP164" s="615"/>
      <c r="AQ164" s="615"/>
      <c r="AR164" s="615"/>
      <c r="AS164" s="615"/>
    </row>
    <row r="165" spans="12:45">
      <c r="L165" s="615"/>
      <c r="M165" s="615"/>
      <c r="AB165" s="615"/>
      <c r="AC165" s="615"/>
      <c r="AD165" s="615"/>
      <c r="AE165" s="615"/>
      <c r="AF165" s="615"/>
      <c r="AG165" s="615"/>
      <c r="AH165" s="615"/>
      <c r="AI165" s="615"/>
      <c r="AJ165" s="615"/>
      <c r="AK165" s="615"/>
      <c r="AL165" s="615"/>
      <c r="AM165" s="615"/>
      <c r="AN165" s="615"/>
      <c r="AO165" s="615"/>
      <c r="AP165" s="615"/>
      <c r="AQ165" s="615"/>
      <c r="AR165" s="615"/>
      <c r="AS165" s="615"/>
    </row>
    <row r="166" spans="12:45">
      <c r="L166" s="615"/>
      <c r="M166" s="615"/>
      <c r="AB166" s="615"/>
      <c r="AC166" s="615"/>
      <c r="AD166" s="615"/>
      <c r="AE166" s="615"/>
      <c r="AF166" s="615"/>
      <c r="AG166" s="615"/>
      <c r="AH166" s="615"/>
      <c r="AI166" s="615"/>
      <c r="AJ166" s="615"/>
      <c r="AK166" s="615"/>
      <c r="AL166" s="615"/>
      <c r="AM166" s="615"/>
      <c r="AN166" s="615"/>
      <c r="AO166" s="615"/>
      <c r="AP166" s="615"/>
      <c r="AQ166" s="615"/>
      <c r="AR166" s="615"/>
      <c r="AS166" s="615"/>
    </row>
    <row r="167" spans="12:45">
      <c r="L167" s="615"/>
      <c r="M167" s="615"/>
      <c r="AB167" s="615"/>
      <c r="AC167" s="615"/>
      <c r="AD167" s="615"/>
      <c r="AE167" s="615"/>
      <c r="AF167" s="615"/>
      <c r="AG167" s="615"/>
      <c r="AH167" s="615"/>
      <c r="AI167" s="615"/>
      <c r="AJ167" s="615"/>
      <c r="AK167" s="615"/>
      <c r="AL167" s="615"/>
      <c r="AM167" s="615"/>
      <c r="AN167" s="615"/>
      <c r="AO167" s="615"/>
      <c r="AP167" s="615"/>
      <c r="AQ167" s="615"/>
      <c r="AR167" s="615"/>
      <c r="AS167" s="615"/>
    </row>
    <row r="168" spans="12:45">
      <c r="L168" s="615"/>
      <c r="M168" s="615"/>
      <c r="AB168" s="615"/>
      <c r="AC168" s="615"/>
      <c r="AD168" s="615"/>
      <c r="AE168" s="615"/>
      <c r="AF168" s="615"/>
      <c r="AG168" s="615"/>
      <c r="AH168" s="615"/>
      <c r="AI168" s="615"/>
      <c r="AJ168" s="615"/>
      <c r="AK168" s="615"/>
      <c r="AL168" s="615"/>
      <c r="AM168" s="615"/>
      <c r="AN168" s="615"/>
      <c r="AO168" s="615"/>
      <c r="AP168" s="615"/>
      <c r="AQ168" s="615"/>
      <c r="AR168" s="615"/>
      <c r="AS168" s="615"/>
    </row>
    <row r="169" spans="12:45">
      <c r="L169" s="615"/>
      <c r="M169" s="615"/>
      <c r="AB169" s="615"/>
      <c r="AC169" s="615"/>
      <c r="AD169" s="615"/>
      <c r="AE169" s="615"/>
      <c r="AF169" s="615"/>
      <c r="AG169" s="615"/>
      <c r="AH169" s="615"/>
      <c r="AI169" s="615"/>
      <c r="AJ169" s="615"/>
      <c r="AK169" s="615"/>
      <c r="AL169" s="615"/>
      <c r="AM169" s="615"/>
      <c r="AN169" s="615"/>
      <c r="AO169" s="615"/>
      <c r="AP169" s="615"/>
      <c r="AQ169" s="615"/>
      <c r="AR169" s="615"/>
      <c r="AS169" s="615"/>
    </row>
    <row r="170" spans="12:45">
      <c r="L170" s="615"/>
      <c r="M170" s="615"/>
      <c r="AB170" s="615"/>
      <c r="AC170" s="615"/>
      <c r="AD170" s="615"/>
      <c r="AE170" s="615"/>
      <c r="AF170" s="615"/>
      <c r="AG170" s="615"/>
      <c r="AH170" s="615"/>
      <c r="AI170" s="615"/>
      <c r="AJ170" s="615"/>
      <c r="AK170" s="615"/>
      <c r="AL170" s="615"/>
      <c r="AM170" s="615"/>
      <c r="AN170" s="615"/>
      <c r="AO170" s="615"/>
      <c r="AP170" s="615"/>
      <c r="AQ170" s="615"/>
      <c r="AR170" s="615"/>
      <c r="AS170" s="615"/>
    </row>
    <row r="171" spans="12:45">
      <c r="L171" s="615"/>
      <c r="M171" s="615"/>
      <c r="AB171" s="615"/>
      <c r="AC171" s="615"/>
      <c r="AD171" s="615"/>
      <c r="AE171" s="615"/>
      <c r="AF171" s="615"/>
      <c r="AG171" s="615"/>
      <c r="AH171" s="615"/>
      <c r="AI171" s="615"/>
      <c r="AJ171" s="615"/>
      <c r="AK171" s="615"/>
      <c r="AL171" s="615"/>
      <c r="AM171" s="615"/>
      <c r="AN171" s="615"/>
      <c r="AO171" s="615"/>
      <c r="AP171" s="615"/>
      <c r="AQ171" s="615"/>
      <c r="AR171" s="615"/>
      <c r="AS171" s="615"/>
    </row>
    <row r="172" spans="12:45">
      <c r="L172" s="615"/>
      <c r="M172" s="615"/>
      <c r="AB172" s="615"/>
      <c r="AC172" s="615"/>
      <c r="AD172" s="615"/>
      <c r="AE172" s="615"/>
      <c r="AF172" s="615"/>
      <c r="AG172" s="615"/>
      <c r="AH172" s="615"/>
      <c r="AI172" s="615"/>
      <c r="AJ172" s="615"/>
      <c r="AK172" s="615"/>
      <c r="AL172" s="615"/>
      <c r="AM172" s="615"/>
      <c r="AN172" s="615"/>
      <c r="AO172" s="615"/>
      <c r="AP172" s="615"/>
      <c r="AQ172" s="615"/>
      <c r="AR172" s="615"/>
      <c r="AS172" s="615"/>
    </row>
    <row r="173" spans="12:45">
      <c r="L173" s="615"/>
      <c r="M173" s="615"/>
      <c r="AB173" s="615"/>
      <c r="AC173" s="615"/>
      <c r="AD173" s="615"/>
      <c r="AE173" s="615"/>
      <c r="AF173" s="615"/>
      <c r="AG173" s="615"/>
      <c r="AH173" s="615"/>
      <c r="AI173" s="615"/>
      <c r="AJ173" s="615"/>
      <c r="AK173" s="615"/>
      <c r="AL173" s="615"/>
      <c r="AM173" s="615"/>
      <c r="AN173" s="615"/>
      <c r="AO173" s="615"/>
      <c r="AP173" s="615"/>
      <c r="AQ173" s="615"/>
      <c r="AR173" s="615"/>
      <c r="AS173" s="615"/>
    </row>
    <row r="174" spans="12:45">
      <c r="L174" s="615"/>
      <c r="M174" s="615"/>
      <c r="AB174" s="615"/>
      <c r="AC174" s="615"/>
      <c r="AD174" s="615"/>
      <c r="AE174" s="615"/>
      <c r="AF174" s="615"/>
      <c r="AG174" s="615"/>
      <c r="AH174" s="615"/>
      <c r="AI174" s="615"/>
      <c r="AJ174" s="615"/>
      <c r="AK174" s="615"/>
      <c r="AL174" s="615"/>
      <c r="AM174" s="615"/>
      <c r="AN174" s="615"/>
      <c r="AO174" s="615"/>
      <c r="AP174" s="615"/>
      <c r="AQ174" s="615"/>
      <c r="AR174" s="615"/>
      <c r="AS174" s="615"/>
    </row>
    <row r="175" spans="12:45">
      <c r="L175" s="615"/>
      <c r="M175" s="615"/>
      <c r="AB175" s="615"/>
      <c r="AC175" s="615"/>
      <c r="AD175" s="615"/>
      <c r="AE175" s="615"/>
      <c r="AF175" s="615"/>
      <c r="AG175" s="615"/>
      <c r="AH175" s="615"/>
      <c r="AI175" s="615"/>
      <c r="AJ175" s="615"/>
      <c r="AK175" s="615"/>
      <c r="AL175" s="615"/>
      <c r="AM175" s="615"/>
      <c r="AN175" s="615"/>
      <c r="AO175" s="615"/>
      <c r="AP175" s="615"/>
      <c r="AQ175" s="615"/>
      <c r="AR175" s="615"/>
      <c r="AS175" s="615"/>
    </row>
    <row r="176" spans="12:45">
      <c r="L176" s="615"/>
      <c r="M176" s="615"/>
      <c r="AB176" s="615"/>
      <c r="AC176" s="615"/>
      <c r="AD176" s="615"/>
      <c r="AE176" s="615"/>
      <c r="AF176" s="615"/>
      <c r="AG176" s="615"/>
      <c r="AH176" s="615"/>
      <c r="AI176" s="615"/>
      <c r="AJ176" s="615"/>
      <c r="AK176" s="615"/>
      <c r="AL176" s="615"/>
      <c r="AM176" s="615"/>
      <c r="AN176" s="615"/>
      <c r="AO176" s="615"/>
      <c r="AP176" s="615"/>
      <c r="AQ176" s="615"/>
      <c r="AR176" s="615"/>
      <c r="AS176" s="615"/>
    </row>
    <row r="177" spans="12:45">
      <c r="L177" s="615"/>
      <c r="M177" s="615"/>
      <c r="AB177" s="615"/>
      <c r="AC177" s="615"/>
      <c r="AD177" s="615"/>
      <c r="AE177" s="615"/>
      <c r="AF177" s="615"/>
      <c r="AG177" s="615"/>
      <c r="AH177" s="615"/>
      <c r="AI177" s="615"/>
      <c r="AJ177" s="615"/>
      <c r="AK177" s="615"/>
      <c r="AL177" s="615"/>
      <c r="AM177" s="615"/>
      <c r="AN177" s="615"/>
      <c r="AO177" s="615"/>
      <c r="AP177" s="615"/>
      <c r="AQ177" s="615"/>
      <c r="AR177" s="615"/>
      <c r="AS177" s="615"/>
    </row>
    <row r="178" spans="12:45">
      <c r="L178" s="615"/>
      <c r="M178" s="615"/>
      <c r="AB178" s="615"/>
      <c r="AC178" s="615"/>
      <c r="AD178" s="615"/>
      <c r="AE178" s="615"/>
      <c r="AF178" s="615"/>
      <c r="AG178" s="615"/>
      <c r="AH178" s="615"/>
      <c r="AI178" s="615"/>
      <c r="AJ178" s="615"/>
      <c r="AK178" s="615"/>
      <c r="AL178" s="615"/>
      <c r="AM178" s="615"/>
      <c r="AN178" s="615"/>
      <c r="AO178" s="615"/>
      <c r="AP178" s="615"/>
      <c r="AQ178" s="615"/>
      <c r="AR178" s="615"/>
      <c r="AS178" s="615"/>
    </row>
    <row r="179" spans="12:45">
      <c r="L179" s="615"/>
      <c r="M179" s="615"/>
      <c r="AB179" s="615"/>
      <c r="AC179" s="615"/>
      <c r="AD179" s="615"/>
      <c r="AE179" s="615"/>
      <c r="AF179" s="615"/>
      <c r="AG179" s="615"/>
      <c r="AH179" s="615"/>
      <c r="AI179" s="615"/>
      <c r="AJ179" s="615"/>
      <c r="AK179" s="615"/>
      <c r="AL179" s="615"/>
      <c r="AM179" s="615"/>
      <c r="AN179" s="615"/>
      <c r="AO179" s="615"/>
      <c r="AP179" s="615"/>
      <c r="AQ179" s="615"/>
      <c r="AR179" s="615"/>
      <c r="AS179" s="615"/>
    </row>
    <row r="180" spans="12:45">
      <c r="L180" s="615"/>
      <c r="M180" s="615"/>
      <c r="AB180" s="615"/>
      <c r="AC180" s="615"/>
      <c r="AD180" s="615"/>
      <c r="AE180" s="615"/>
      <c r="AF180" s="615"/>
      <c r="AG180" s="615"/>
      <c r="AH180" s="615"/>
      <c r="AI180" s="615"/>
      <c r="AJ180" s="615"/>
      <c r="AK180" s="615"/>
      <c r="AL180" s="615"/>
      <c r="AM180" s="615"/>
      <c r="AN180" s="615"/>
      <c r="AO180" s="615"/>
      <c r="AP180" s="615"/>
      <c r="AQ180" s="615"/>
      <c r="AR180" s="615"/>
      <c r="AS180" s="615"/>
    </row>
    <row r="181" spans="12:45">
      <c r="L181" s="615"/>
      <c r="M181" s="615"/>
      <c r="AB181" s="615"/>
      <c r="AC181" s="615"/>
      <c r="AD181" s="615"/>
      <c r="AE181" s="615"/>
      <c r="AF181" s="615"/>
      <c r="AG181" s="615"/>
      <c r="AH181" s="615"/>
      <c r="AI181" s="615"/>
      <c r="AJ181" s="615"/>
      <c r="AK181" s="615"/>
      <c r="AL181" s="615"/>
      <c r="AM181" s="615"/>
      <c r="AN181" s="615"/>
      <c r="AO181" s="615"/>
      <c r="AP181" s="615"/>
      <c r="AQ181" s="615"/>
      <c r="AR181" s="615"/>
      <c r="AS181" s="615"/>
    </row>
    <row r="182" spans="12:45">
      <c r="L182" s="615"/>
      <c r="M182" s="615"/>
      <c r="AB182" s="615"/>
      <c r="AC182" s="615"/>
      <c r="AD182" s="615"/>
      <c r="AE182" s="615"/>
      <c r="AF182" s="615"/>
      <c r="AG182" s="615"/>
      <c r="AH182" s="615"/>
      <c r="AI182" s="615"/>
      <c r="AJ182" s="615"/>
      <c r="AK182" s="615"/>
      <c r="AL182" s="615"/>
      <c r="AM182" s="615"/>
      <c r="AN182" s="615"/>
      <c r="AO182" s="615"/>
      <c r="AP182" s="615"/>
      <c r="AQ182" s="615"/>
      <c r="AR182" s="615"/>
      <c r="AS182" s="615"/>
    </row>
    <row r="183" spans="12:45">
      <c r="L183" s="615"/>
      <c r="M183" s="615"/>
      <c r="AB183" s="615"/>
      <c r="AC183" s="615"/>
      <c r="AD183" s="615"/>
      <c r="AE183" s="615"/>
      <c r="AF183" s="615"/>
      <c r="AG183" s="615"/>
      <c r="AH183" s="615"/>
      <c r="AI183" s="615"/>
      <c r="AJ183" s="615"/>
      <c r="AK183" s="615"/>
      <c r="AL183" s="615"/>
      <c r="AM183" s="615"/>
      <c r="AN183" s="615"/>
      <c r="AO183" s="615"/>
      <c r="AP183" s="615"/>
      <c r="AQ183" s="615"/>
      <c r="AR183" s="615"/>
      <c r="AS183" s="615"/>
    </row>
    <row r="184" spans="12:45">
      <c r="L184" s="615"/>
      <c r="M184" s="615"/>
      <c r="AB184" s="615"/>
      <c r="AC184" s="615"/>
      <c r="AD184" s="615"/>
      <c r="AE184" s="615"/>
      <c r="AF184" s="615"/>
      <c r="AG184" s="615"/>
      <c r="AH184" s="615"/>
      <c r="AI184" s="615"/>
      <c r="AJ184" s="615"/>
      <c r="AK184" s="615"/>
      <c r="AL184" s="615"/>
      <c r="AM184" s="615"/>
      <c r="AN184" s="615"/>
      <c r="AO184" s="615"/>
      <c r="AP184" s="615"/>
      <c r="AQ184" s="615"/>
      <c r="AR184" s="615"/>
      <c r="AS184" s="615"/>
    </row>
    <row r="185" spans="12:45">
      <c r="L185" s="615"/>
      <c r="M185" s="615"/>
      <c r="AB185" s="615"/>
      <c r="AC185" s="615"/>
      <c r="AD185" s="615"/>
      <c r="AE185" s="615"/>
      <c r="AF185" s="615"/>
      <c r="AG185" s="615"/>
      <c r="AH185" s="615"/>
      <c r="AI185" s="615"/>
      <c r="AJ185" s="615"/>
      <c r="AK185" s="615"/>
      <c r="AL185" s="615"/>
      <c r="AM185" s="615"/>
      <c r="AN185" s="615"/>
      <c r="AO185" s="615"/>
      <c r="AP185" s="615"/>
      <c r="AQ185" s="615"/>
      <c r="AR185" s="615"/>
      <c r="AS185" s="615"/>
    </row>
    <row r="186" spans="12:45">
      <c r="L186" s="615"/>
      <c r="M186" s="615"/>
      <c r="AB186" s="615"/>
      <c r="AC186" s="615"/>
      <c r="AD186" s="615"/>
      <c r="AE186" s="615"/>
      <c r="AF186" s="615"/>
      <c r="AG186" s="615"/>
      <c r="AH186" s="615"/>
      <c r="AI186" s="615"/>
      <c r="AJ186" s="615"/>
      <c r="AK186" s="615"/>
      <c r="AL186" s="615"/>
      <c r="AM186" s="615"/>
      <c r="AN186" s="615"/>
      <c r="AO186" s="615"/>
      <c r="AP186" s="615"/>
      <c r="AQ186" s="615"/>
      <c r="AR186" s="615"/>
      <c r="AS186" s="615"/>
    </row>
    <row r="187" spans="12:45">
      <c r="L187" s="615"/>
      <c r="M187" s="615"/>
      <c r="AB187" s="615"/>
      <c r="AC187" s="615"/>
      <c r="AD187" s="615"/>
      <c r="AE187" s="615"/>
      <c r="AF187" s="615"/>
      <c r="AG187" s="615"/>
      <c r="AH187" s="615"/>
      <c r="AI187" s="615"/>
      <c r="AJ187" s="615"/>
      <c r="AK187" s="615"/>
      <c r="AL187" s="615"/>
      <c r="AM187" s="615"/>
      <c r="AN187" s="615"/>
      <c r="AO187" s="615"/>
      <c r="AP187" s="615"/>
      <c r="AQ187" s="615"/>
      <c r="AR187" s="615"/>
      <c r="AS187" s="615"/>
    </row>
    <row r="188" spans="12:45">
      <c r="L188" s="615"/>
      <c r="M188" s="615"/>
      <c r="AB188" s="615"/>
      <c r="AC188" s="615"/>
      <c r="AD188" s="615"/>
      <c r="AE188" s="615"/>
      <c r="AF188" s="615"/>
      <c r="AG188" s="615"/>
      <c r="AH188" s="615"/>
      <c r="AI188" s="615"/>
      <c r="AJ188" s="615"/>
      <c r="AK188" s="615"/>
      <c r="AL188" s="615"/>
      <c r="AM188" s="615"/>
      <c r="AN188" s="615"/>
      <c r="AO188" s="615"/>
      <c r="AP188" s="615"/>
      <c r="AQ188" s="615"/>
      <c r="AR188" s="615"/>
      <c r="AS188" s="615"/>
    </row>
    <row r="189" spans="12:45">
      <c r="L189" s="615"/>
      <c r="M189" s="615"/>
      <c r="AB189" s="615"/>
      <c r="AC189" s="615"/>
      <c r="AD189" s="615"/>
      <c r="AE189" s="615"/>
      <c r="AF189" s="615"/>
      <c r="AG189" s="615"/>
      <c r="AH189" s="615"/>
      <c r="AI189" s="615"/>
      <c r="AJ189" s="615"/>
      <c r="AK189" s="615"/>
      <c r="AL189" s="615"/>
      <c r="AM189" s="615"/>
      <c r="AN189" s="615"/>
      <c r="AO189" s="615"/>
      <c r="AP189" s="615"/>
      <c r="AQ189" s="615"/>
      <c r="AR189" s="615"/>
      <c r="AS189" s="615"/>
    </row>
    <row r="190" spans="12:45">
      <c r="L190" s="615"/>
      <c r="M190" s="615"/>
      <c r="AB190" s="615"/>
      <c r="AC190" s="615"/>
      <c r="AD190" s="615"/>
      <c r="AE190" s="615"/>
      <c r="AF190" s="615"/>
      <c r="AG190" s="615"/>
      <c r="AH190" s="615"/>
      <c r="AI190" s="615"/>
      <c r="AJ190" s="615"/>
      <c r="AK190" s="615"/>
      <c r="AL190" s="615"/>
      <c r="AM190" s="615"/>
      <c r="AN190" s="615"/>
      <c r="AO190" s="615"/>
      <c r="AP190" s="615"/>
      <c r="AQ190" s="615"/>
      <c r="AR190" s="615"/>
      <c r="AS190" s="615"/>
    </row>
    <row r="191" spans="12:45">
      <c r="L191" s="615"/>
      <c r="M191" s="615"/>
      <c r="AB191" s="615"/>
      <c r="AC191" s="615"/>
      <c r="AD191" s="615"/>
      <c r="AE191" s="615"/>
      <c r="AF191" s="615"/>
      <c r="AG191" s="615"/>
      <c r="AH191" s="615"/>
      <c r="AI191" s="615"/>
      <c r="AJ191" s="615"/>
      <c r="AK191" s="615"/>
      <c r="AL191" s="615"/>
      <c r="AM191" s="615"/>
      <c r="AN191" s="615"/>
      <c r="AO191" s="615"/>
      <c r="AP191" s="615"/>
      <c r="AQ191" s="615"/>
      <c r="AR191" s="615"/>
      <c r="AS191" s="615"/>
    </row>
    <row r="192" spans="12:45">
      <c r="L192" s="615"/>
      <c r="M192" s="615"/>
      <c r="AB192" s="615"/>
      <c r="AC192" s="615"/>
      <c r="AD192" s="615"/>
      <c r="AE192" s="615"/>
      <c r="AF192" s="615"/>
      <c r="AG192" s="615"/>
      <c r="AH192" s="615"/>
      <c r="AI192" s="615"/>
      <c r="AJ192" s="615"/>
      <c r="AK192" s="615"/>
      <c r="AL192" s="615"/>
      <c r="AM192" s="615"/>
      <c r="AN192" s="615"/>
      <c r="AO192" s="615"/>
      <c r="AP192" s="615"/>
      <c r="AQ192" s="615"/>
      <c r="AR192" s="615"/>
      <c r="AS192" s="615"/>
    </row>
    <row r="193" spans="12:45">
      <c r="L193" s="615"/>
      <c r="M193" s="615"/>
      <c r="AB193" s="615"/>
      <c r="AC193" s="615"/>
      <c r="AD193" s="615"/>
      <c r="AE193" s="615"/>
      <c r="AF193" s="615"/>
      <c r="AG193" s="615"/>
      <c r="AH193" s="615"/>
      <c r="AI193" s="615"/>
      <c r="AJ193" s="615"/>
      <c r="AK193" s="615"/>
      <c r="AL193" s="615"/>
      <c r="AM193" s="615"/>
      <c r="AN193" s="615"/>
      <c r="AO193" s="615"/>
      <c r="AP193" s="615"/>
      <c r="AQ193" s="615"/>
      <c r="AR193" s="615"/>
      <c r="AS193" s="615"/>
    </row>
    <row r="194" spans="12:45">
      <c r="L194" s="615"/>
      <c r="M194" s="615"/>
      <c r="AB194" s="615"/>
      <c r="AC194" s="615"/>
      <c r="AD194" s="615"/>
      <c r="AE194" s="615"/>
      <c r="AF194" s="615"/>
      <c r="AG194" s="615"/>
      <c r="AH194" s="615"/>
      <c r="AI194" s="615"/>
      <c r="AJ194" s="615"/>
      <c r="AK194" s="615"/>
      <c r="AL194" s="615"/>
      <c r="AM194" s="615"/>
      <c r="AN194" s="615"/>
      <c r="AO194" s="615"/>
      <c r="AP194" s="615"/>
      <c r="AQ194" s="615"/>
      <c r="AR194" s="615"/>
      <c r="AS194" s="615"/>
    </row>
    <row r="195" spans="12:45">
      <c r="L195" s="615"/>
      <c r="M195" s="615"/>
      <c r="AB195" s="615"/>
      <c r="AC195" s="615"/>
      <c r="AD195" s="615"/>
      <c r="AE195" s="615"/>
      <c r="AF195" s="615"/>
      <c r="AG195" s="615"/>
      <c r="AH195" s="615"/>
      <c r="AI195" s="615"/>
      <c r="AJ195" s="615"/>
      <c r="AK195" s="615"/>
      <c r="AL195" s="615"/>
      <c r="AM195" s="615"/>
      <c r="AN195" s="615"/>
      <c r="AO195" s="615"/>
      <c r="AP195" s="615"/>
      <c r="AQ195" s="615"/>
      <c r="AR195" s="615"/>
      <c r="AS195" s="615"/>
    </row>
    <row r="196" spans="12:45">
      <c r="L196" s="615"/>
      <c r="M196" s="615"/>
      <c r="AB196" s="615"/>
      <c r="AC196" s="615"/>
      <c r="AD196" s="615"/>
      <c r="AE196" s="615"/>
      <c r="AF196" s="615"/>
      <c r="AG196" s="615"/>
      <c r="AH196" s="615"/>
      <c r="AI196" s="615"/>
      <c r="AJ196" s="615"/>
      <c r="AK196" s="615"/>
      <c r="AL196" s="615"/>
      <c r="AM196" s="615"/>
      <c r="AN196" s="615"/>
      <c r="AO196" s="615"/>
      <c r="AP196" s="615"/>
      <c r="AQ196" s="615"/>
      <c r="AR196" s="615"/>
      <c r="AS196" s="615"/>
    </row>
    <row r="197" spans="12:45">
      <c r="L197" s="615"/>
      <c r="M197" s="615"/>
      <c r="AB197" s="615"/>
      <c r="AC197" s="615"/>
      <c r="AD197" s="615"/>
      <c r="AE197" s="615"/>
      <c r="AF197" s="615"/>
      <c r="AG197" s="615"/>
      <c r="AH197" s="615"/>
      <c r="AI197" s="615"/>
      <c r="AJ197" s="615"/>
      <c r="AK197" s="615"/>
      <c r="AL197" s="615"/>
      <c r="AM197" s="615"/>
      <c r="AN197" s="615"/>
      <c r="AO197" s="615"/>
      <c r="AP197" s="615"/>
      <c r="AQ197" s="615"/>
      <c r="AR197" s="615"/>
      <c r="AS197" s="615"/>
    </row>
    <row r="198" spans="12:45">
      <c r="L198" s="615"/>
      <c r="M198" s="615"/>
      <c r="AB198" s="615"/>
      <c r="AC198" s="615"/>
      <c r="AD198" s="615"/>
      <c r="AE198" s="615"/>
      <c r="AF198" s="615"/>
      <c r="AG198" s="615"/>
      <c r="AH198" s="615"/>
      <c r="AI198" s="615"/>
      <c r="AJ198" s="615"/>
      <c r="AK198" s="615"/>
      <c r="AL198" s="615"/>
      <c r="AM198" s="615"/>
      <c r="AN198" s="615"/>
      <c r="AO198" s="615"/>
      <c r="AP198" s="615"/>
      <c r="AQ198" s="615"/>
      <c r="AR198" s="615"/>
      <c r="AS198" s="615"/>
    </row>
    <row r="199" spans="12:45">
      <c r="L199" s="615"/>
      <c r="M199" s="615"/>
      <c r="AB199" s="615"/>
      <c r="AC199" s="615"/>
      <c r="AD199" s="615"/>
      <c r="AE199" s="615"/>
      <c r="AF199" s="615"/>
      <c r="AG199" s="615"/>
      <c r="AH199" s="615"/>
      <c r="AI199" s="615"/>
      <c r="AJ199" s="615"/>
      <c r="AK199" s="615"/>
      <c r="AL199" s="615"/>
      <c r="AM199" s="615"/>
      <c r="AN199" s="615"/>
      <c r="AO199" s="615"/>
      <c r="AP199" s="615"/>
      <c r="AQ199" s="615"/>
      <c r="AR199" s="615"/>
      <c r="AS199" s="615"/>
    </row>
    <row r="200" spans="12:45">
      <c r="L200" s="615"/>
      <c r="M200" s="615"/>
      <c r="AB200" s="615"/>
      <c r="AC200" s="615"/>
      <c r="AD200" s="615"/>
      <c r="AE200" s="615"/>
      <c r="AF200" s="615"/>
      <c r="AG200" s="615"/>
      <c r="AH200" s="615"/>
      <c r="AI200" s="615"/>
      <c r="AJ200" s="615"/>
      <c r="AK200" s="615"/>
      <c r="AL200" s="615"/>
      <c r="AM200" s="615"/>
      <c r="AN200" s="615"/>
      <c r="AO200" s="615"/>
      <c r="AP200" s="615"/>
      <c r="AQ200" s="615"/>
      <c r="AR200" s="615"/>
      <c r="AS200" s="615"/>
    </row>
    <row r="201" spans="12:45">
      <c r="L201" s="615"/>
      <c r="M201" s="615"/>
      <c r="AB201" s="615"/>
      <c r="AC201" s="615"/>
      <c r="AD201" s="615"/>
      <c r="AE201" s="615"/>
      <c r="AF201" s="615"/>
      <c r="AG201" s="615"/>
      <c r="AH201" s="615"/>
      <c r="AI201" s="615"/>
      <c r="AJ201" s="615"/>
      <c r="AK201" s="615"/>
      <c r="AL201" s="615"/>
      <c r="AM201" s="615"/>
      <c r="AN201" s="615"/>
      <c r="AO201" s="615"/>
      <c r="AP201" s="615"/>
      <c r="AQ201" s="615"/>
      <c r="AR201" s="615"/>
      <c r="AS201" s="615"/>
    </row>
    <row r="202" spans="12:45">
      <c r="L202" s="615"/>
      <c r="M202" s="615"/>
      <c r="AB202" s="615"/>
      <c r="AC202" s="615"/>
      <c r="AD202" s="615"/>
      <c r="AE202" s="615"/>
      <c r="AF202" s="615"/>
      <c r="AG202" s="615"/>
      <c r="AH202" s="615"/>
      <c r="AI202" s="615"/>
      <c r="AJ202" s="615"/>
      <c r="AK202" s="615"/>
      <c r="AL202" s="615"/>
      <c r="AM202" s="615"/>
      <c r="AN202" s="615"/>
      <c r="AO202" s="615"/>
      <c r="AP202" s="615"/>
      <c r="AQ202" s="615"/>
      <c r="AR202" s="615"/>
      <c r="AS202" s="615"/>
    </row>
    <row r="203" spans="12:45">
      <c r="L203" s="615"/>
      <c r="M203" s="615"/>
      <c r="AB203" s="615"/>
      <c r="AC203" s="615"/>
      <c r="AD203" s="615"/>
      <c r="AE203" s="615"/>
      <c r="AF203" s="615"/>
      <c r="AG203" s="615"/>
      <c r="AH203" s="615"/>
      <c r="AI203" s="615"/>
      <c r="AJ203" s="615"/>
      <c r="AK203" s="615"/>
      <c r="AL203" s="615"/>
      <c r="AM203" s="615"/>
      <c r="AN203" s="615"/>
      <c r="AO203" s="615"/>
      <c r="AP203" s="615"/>
      <c r="AQ203" s="615"/>
      <c r="AR203" s="615"/>
      <c r="AS203" s="615"/>
    </row>
    <row r="204" spans="12:45">
      <c r="L204" s="615"/>
      <c r="M204" s="615"/>
      <c r="AB204" s="615"/>
      <c r="AC204" s="615"/>
      <c r="AD204" s="615"/>
      <c r="AE204" s="615"/>
      <c r="AF204" s="615"/>
      <c r="AG204" s="615"/>
      <c r="AH204" s="615"/>
      <c r="AI204" s="615"/>
      <c r="AJ204" s="615"/>
      <c r="AK204" s="615"/>
      <c r="AL204" s="615"/>
      <c r="AM204" s="615"/>
      <c r="AN204" s="615"/>
      <c r="AO204" s="615"/>
      <c r="AP204" s="615"/>
      <c r="AQ204" s="615"/>
      <c r="AR204" s="615"/>
      <c r="AS204" s="615"/>
    </row>
    <row r="205" spans="12:45">
      <c r="L205" s="615"/>
      <c r="M205" s="615"/>
      <c r="AB205" s="615"/>
      <c r="AC205" s="615"/>
      <c r="AD205" s="615"/>
      <c r="AE205" s="615"/>
      <c r="AF205" s="615"/>
      <c r="AG205" s="615"/>
      <c r="AH205" s="615"/>
      <c r="AI205" s="615"/>
      <c r="AJ205" s="615"/>
      <c r="AK205" s="615"/>
      <c r="AL205" s="615"/>
      <c r="AM205" s="615"/>
      <c r="AN205" s="615"/>
      <c r="AO205" s="615"/>
      <c r="AP205" s="615"/>
      <c r="AQ205" s="615"/>
      <c r="AR205" s="615"/>
      <c r="AS205" s="615"/>
    </row>
    <row r="206" spans="12:45">
      <c r="L206" s="615"/>
      <c r="M206" s="615"/>
      <c r="AB206" s="615"/>
      <c r="AC206" s="615"/>
      <c r="AD206" s="615"/>
      <c r="AE206" s="615"/>
      <c r="AF206" s="615"/>
      <c r="AG206" s="615"/>
      <c r="AH206" s="615"/>
      <c r="AI206" s="615"/>
      <c r="AJ206" s="615"/>
      <c r="AK206" s="615"/>
      <c r="AL206" s="615"/>
      <c r="AM206" s="615"/>
      <c r="AN206" s="615"/>
      <c r="AO206" s="615"/>
      <c r="AP206" s="615"/>
      <c r="AQ206" s="615"/>
      <c r="AR206" s="615"/>
      <c r="AS206" s="615"/>
    </row>
    <row r="207" spans="12:45">
      <c r="L207" s="615"/>
      <c r="M207" s="615"/>
      <c r="AB207" s="615"/>
      <c r="AC207" s="615"/>
      <c r="AD207" s="615"/>
      <c r="AE207" s="615"/>
      <c r="AF207" s="615"/>
      <c r="AG207" s="615"/>
      <c r="AH207" s="615"/>
      <c r="AI207" s="615"/>
      <c r="AJ207" s="615"/>
      <c r="AK207" s="615"/>
      <c r="AL207" s="615"/>
      <c r="AM207" s="615"/>
      <c r="AN207" s="615"/>
      <c r="AO207" s="615"/>
      <c r="AP207" s="615"/>
      <c r="AQ207" s="615"/>
      <c r="AR207" s="615"/>
      <c r="AS207" s="615"/>
    </row>
    <row r="208" spans="12:45">
      <c r="L208" s="615"/>
      <c r="M208" s="615"/>
      <c r="AB208" s="615"/>
      <c r="AC208" s="615"/>
      <c r="AD208" s="615"/>
      <c r="AE208" s="615"/>
      <c r="AF208" s="615"/>
      <c r="AG208" s="615"/>
      <c r="AH208" s="615"/>
      <c r="AI208" s="615"/>
      <c r="AJ208" s="615"/>
      <c r="AK208" s="615"/>
      <c r="AL208" s="615"/>
      <c r="AM208" s="615"/>
      <c r="AN208" s="615"/>
      <c r="AO208" s="615"/>
      <c r="AP208" s="615"/>
      <c r="AQ208" s="615"/>
      <c r="AR208" s="615"/>
      <c r="AS208" s="615"/>
    </row>
    <row r="209" spans="12:45">
      <c r="L209" s="615"/>
      <c r="M209" s="615"/>
      <c r="AB209" s="615"/>
      <c r="AC209" s="615"/>
      <c r="AD209" s="615"/>
      <c r="AE209" s="615"/>
      <c r="AF209" s="615"/>
      <c r="AG209" s="615"/>
      <c r="AH209" s="615"/>
      <c r="AI209" s="615"/>
      <c r="AJ209" s="615"/>
      <c r="AK209" s="615"/>
      <c r="AL209" s="615"/>
      <c r="AM209" s="615"/>
      <c r="AN209" s="615"/>
      <c r="AO209" s="615"/>
      <c r="AP209" s="615"/>
      <c r="AQ209" s="615"/>
      <c r="AR209" s="615"/>
      <c r="AS209" s="615"/>
    </row>
    <row r="210" spans="12:45">
      <c r="L210" s="615"/>
      <c r="M210" s="615"/>
      <c r="AB210" s="615"/>
      <c r="AC210" s="615"/>
      <c r="AD210" s="615"/>
      <c r="AE210" s="615"/>
      <c r="AF210" s="615"/>
      <c r="AG210" s="615"/>
      <c r="AH210" s="615"/>
      <c r="AI210" s="615"/>
      <c r="AJ210" s="615"/>
      <c r="AK210" s="615"/>
      <c r="AL210" s="615"/>
      <c r="AM210" s="615"/>
      <c r="AN210" s="615"/>
      <c r="AO210" s="615"/>
      <c r="AP210" s="615"/>
      <c r="AQ210" s="615"/>
      <c r="AR210" s="615"/>
      <c r="AS210" s="615"/>
    </row>
    <row r="211" spans="12:45">
      <c r="L211" s="615"/>
      <c r="M211" s="615"/>
      <c r="AB211" s="615"/>
      <c r="AC211" s="615"/>
      <c r="AD211" s="615"/>
      <c r="AE211" s="615"/>
      <c r="AF211" s="615"/>
      <c r="AG211" s="615"/>
      <c r="AH211" s="615"/>
      <c r="AI211" s="615"/>
      <c r="AJ211" s="615"/>
      <c r="AK211" s="615"/>
      <c r="AL211" s="615"/>
      <c r="AM211" s="615"/>
      <c r="AN211" s="615"/>
      <c r="AO211" s="615"/>
      <c r="AP211" s="615"/>
      <c r="AQ211" s="615"/>
      <c r="AR211" s="615"/>
      <c r="AS211" s="615"/>
    </row>
    <row r="212" spans="12:45">
      <c r="L212" s="615"/>
      <c r="M212" s="615"/>
      <c r="AB212" s="615"/>
      <c r="AC212" s="615"/>
      <c r="AD212" s="615"/>
      <c r="AE212" s="615"/>
      <c r="AF212" s="615"/>
      <c r="AG212" s="615"/>
      <c r="AH212" s="615"/>
      <c r="AI212" s="615"/>
      <c r="AJ212" s="615"/>
      <c r="AK212" s="615"/>
      <c r="AL212" s="615"/>
      <c r="AM212" s="615"/>
      <c r="AN212" s="615"/>
      <c r="AO212" s="615"/>
      <c r="AP212" s="615"/>
      <c r="AQ212" s="615"/>
      <c r="AR212" s="615"/>
      <c r="AS212" s="615"/>
    </row>
    <row r="213" spans="12:45">
      <c r="L213" s="615"/>
      <c r="M213" s="615"/>
      <c r="AB213" s="615"/>
      <c r="AC213" s="615"/>
      <c r="AD213" s="615"/>
      <c r="AE213" s="615"/>
      <c r="AF213" s="615"/>
      <c r="AG213" s="615"/>
      <c r="AH213" s="615"/>
      <c r="AI213" s="615"/>
      <c r="AJ213" s="615"/>
      <c r="AK213" s="615"/>
      <c r="AL213" s="615"/>
      <c r="AM213" s="615"/>
      <c r="AN213" s="615"/>
      <c r="AO213" s="615"/>
      <c r="AP213" s="615"/>
      <c r="AQ213" s="615"/>
      <c r="AR213" s="615"/>
      <c r="AS213" s="615"/>
    </row>
    <row r="214" spans="12:45">
      <c r="L214" s="615"/>
      <c r="M214" s="615"/>
      <c r="AB214" s="615"/>
      <c r="AC214" s="615"/>
      <c r="AD214" s="615"/>
      <c r="AE214" s="615"/>
      <c r="AF214" s="615"/>
      <c r="AG214" s="615"/>
      <c r="AH214" s="615"/>
      <c r="AI214" s="615"/>
      <c r="AJ214" s="615"/>
      <c r="AK214" s="615"/>
      <c r="AL214" s="615"/>
      <c r="AM214" s="615"/>
      <c r="AN214" s="615"/>
      <c r="AO214" s="615"/>
      <c r="AP214" s="615"/>
      <c r="AQ214" s="615"/>
      <c r="AR214" s="615"/>
      <c r="AS214" s="615"/>
    </row>
    <row r="215" spans="12:45">
      <c r="L215" s="615"/>
      <c r="M215" s="615"/>
      <c r="AB215" s="615"/>
      <c r="AC215" s="615"/>
      <c r="AD215" s="615"/>
      <c r="AE215" s="615"/>
      <c r="AF215" s="615"/>
      <c r="AG215" s="615"/>
      <c r="AH215" s="615"/>
      <c r="AI215" s="615"/>
      <c r="AJ215" s="615"/>
      <c r="AK215" s="615"/>
      <c r="AL215" s="615"/>
      <c r="AM215" s="615"/>
      <c r="AN215" s="615"/>
      <c r="AO215" s="615"/>
      <c r="AP215" s="615"/>
      <c r="AQ215" s="615"/>
      <c r="AR215" s="615"/>
      <c r="AS215" s="615"/>
    </row>
    <row r="216" spans="12:45">
      <c r="L216" s="615"/>
      <c r="M216" s="615"/>
      <c r="AB216" s="615"/>
      <c r="AC216" s="615"/>
      <c r="AD216" s="615"/>
      <c r="AE216" s="615"/>
      <c r="AF216" s="615"/>
      <c r="AG216" s="615"/>
      <c r="AH216" s="615"/>
      <c r="AI216" s="615"/>
      <c r="AJ216" s="615"/>
      <c r="AK216" s="615"/>
      <c r="AL216" s="615"/>
      <c r="AM216" s="615"/>
      <c r="AN216" s="615"/>
      <c r="AO216" s="615"/>
      <c r="AP216" s="615"/>
      <c r="AQ216" s="615"/>
      <c r="AR216" s="615"/>
      <c r="AS216" s="615"/>
    </row>
    <row r="217" spans="12:45">
      <c r="L217" s="615"/>
      <c r="M217" s="615"/>
      <c r="AB217" s="615"/>
      <c r="AC217" s="615"/>
      <c r="AD217" s="615"/>
      <c r="AE217" s="615"/>
      <c r="AF217" s="615"/>
      <c r="AG217" s="615"/>
      <c r="AH217" s="615"/>
      <c r="AI217" s="615"/>
      <c r="AJ217" s="615"/>
      <c r="AK217" s="615"/>
      <c r="AL217" s="615"/>
      <c r="AM217" s="615"/>
      <c r="AN217" s="615"/>
      <c r="AO217" s="615"/>
      <c r="AP217" s="615"/>
      <c r="AQ217" s="615"/>
      <c r="AR217" s="615"/>
      <c r="AS217" s="615"/>
    </row>
    <row r="218" spans="12:45">
      <c r="L218" s="615"/>
      <c r="M218" s="615"/>
      <c r="AB218" s="615"/>
      <c r="AC218" s="615"/>
      <c r="AD218" s="615"/>
      <c r="AE218" s="615"/>
      <c r="AF218" s="615"/>
      <c r="AG218" s="615"/>
      <c r="AH218" s="615"/>
      <c r="AI218" s="615"/>
      <c r="AJ218" s="615"/>
      <c r="AK218" s="615"/>
      <c r="AL218" s="615"/>
      <c r="AM218" s="615"/>
      <c r="AN218" s="615"/>
      <c r="AO218" s="615"/>
      <c r="AP218" s="615"/>
      <c r="AQ218" s="615"/>
      <c r="AR218" s="615"/>
      <c r="AS218" s="615"/>
    </row>
    <row r="219" spans="12:45">
      <c r="L219" s="615"/>
      <c r="M219" s="615"/>
      <c r="AB219" s="615"/>
      <c r="AC219" s="615"/>
      <c r="AD219" s="615"/>
      <c r="AE219" s="615"/>
      <c r="AF219" s="615"/>
      <c r="AG219" s="615"/>
      <c r="AH219" s="615"/>
      <c r="AI219" s="615"/>
      <c r="AJ219" s="615"/>
      <c r="AK219" s="615"/>
      <c r="AL219" s="615"/>
      <c r="AM219" s="615"/>
      <c r="AN219" s="615"/>
      <c r="AO219" s="615"/>
      <c r="AP219" s="615"/>
      <c r="AQ219" s="615"/>
      <c r="AR219" s="615"/>
      <c r="AS219" s="615"/>
    </row>
    <row r="220" spans="12:45">
      <c r="L220" s="615"/>
      <c r="M220" s="615"/>
      <c r="AB220" s="615"/>
      <c r="AC220" s="615"/>
      <c r="AD220" s="615"/>
      <c r="AE220" s="615"/>
      <c r="AF220" s="615"/>
      <c r="AG220" s="615"/>
      <c r="AH220" s="615"/>
      <c r="AI220" s="615"/>
      <c r="AJ220" s="615"/>
      <c r="AK220" s="615"/>
      <c r="AL220" s="615"/>
      <c r="AM220" s="615"/>
      <c r="AN220" s="615"/>
      <c r="AO220" s="615"/>
      <c r="AP220" s="615"/>
      <c r="AQ220" s="615"/>
      <c r="AR220" s="615"/>
      <c r="AS220" s="615"/>
    </row>
    <row r="221" spans="12:45">
      <c r="L221" s="615"/>
      <c r="M221" s="615"/>
      <c r="AB221" s="615"/>
      <c r="AC221" s="615"/>
      <c r="AD221" s="615"/>
      <c r="AE221" s="615"/>
      <c r="AF221" s="615"/>
      <c r="AG221" s="615"/>
      <c r="AH221" s="615"/>
      <c r="AI221" s="615"/>
      <c r="AJ221" s="615"/>
      <c r="AK221" s="615"/>
      <c r="AL221" s="615"/>
      <c r="AM221" s="615"/>
      <c r="AN221" s="615"/>
      <c r="AO221" s="615"/>
      <c r="AP221" s="615"/>
      <c r="AQ221" s="615"/>
      <c r="AR221" s="615"/>
      <c r="AS221" s="615"/>
    </row>
    <row r="222" spans="12:45">
      <c r="L222" s="615"/>
      <c r="M222" s="615"/>
      <c r="AB222" s="615"/>
      <c r="AC222" s="615"/>
      <c r="AD222" s="615"/>
      <c r="AE222" s="615"/>
      <c r="AF222" s="615"/>
      <c r="AG222" s="615"/>
      <c r="AH222" s="615"/>
      <c r="AI222" s="615"/>
      <c r="AJ222" s="615"/>
      <c r="AK222" s="615"/>
      <c r="AL222" s="615"/>
      <c r="AM222" s="615"/>
      <c r="AN222" s="615"/>
      <c r="AO222" s="615"/>
      <c r="AP222" s="615"/>
      <c r="AQ222" s="615"/>
      <c r="AR222" s="615"/>
      <c r="AS222" s="615"/>
    </row>
    <row r="223" spans="12:45">
      <c r="L223" s="615"/>
      <c r="M223" s="615"/>
      <c r="AB223" s="615"/>
      <c r="AC223" s="615"/>
      <c r="AD223" s="615"/>
      <c r="AE223" s="615"/>
      <c r="AF223" s="615"/>
      <c r="AG223" s="615"/>
      <c r="AH223" s="615"/>
      <c r="AI223" s="615"/>
      <c r="AJ223" s="615"/>
      <c r="AK223" s="615"/>
      <c r="AL223" s="615"/>
      <c r="AM223" s="615"/>
      <c r="AN223" s="615"/>
      <c r="AO223" s="615"/>
      <c r="AP223" s="615"/>
      <c r="AQ223" s="615"/>
      <c r="AR223" s="615"/>
      <c r="AS223" s="615"/>
    </row>
    <row r="224" spans="12:45">
      <c r="L224" s="615"/>
      <c r="M224" s="615"/>
      <c r="AB224" s="615"/>
      <c r="AC224" s="615"/>
      <c r="AD224" s="615"/>
      <c r="AE224" s="615"/>
      <c r="AF224" s="615"/>
      <c r="AG224" s="615"/>
      <c r="AH224" s="615"/>
      <c r="AI224" s="615"/>
      <c r="AJ224" s="615"/>
      <c r="AK224" s="615"/>
      <c r="AL224" s="615"/>
      <c r="AM224" s="615"/>
      <c r="AN224" s="615"/>
      <c r="AO224" s="615"/>
      <c r="AP224" s="615"/>
      <c r="AQ224" s="615"/>
      <c r="AR224" s="615"/>
      <c r="AS224" s="615"/>
    </row>
    <row r="225" spans="12:45">
      <c r="L225" s="615"/>
      <c r="M225" s="615"/>
      <c r="AB225" s="615"/>
      <c r="AC225" s="615"/>
      <c r="AD225" s="615"/>
      <c r="AE225" s="615"/>
      <c r="AF225" s="615"/>
      <c r="AG225" s="615"/>
      <c r="AH225" s="615"/>
      <c r="AI225" s="615"/>
      <c r="AJ225" s="615"/>
      <c r="AK225" s="615"/>
      <c r="AL225" s="615"/>
      <c r="AM225" s="615"/>
      <c r="AN225" s="615"/>
      <c r="AO225" s="615"/>
      <c r="AP225" s="615"/>
      <c r="AQ225" s="615"/>
      <c r="AR225" s="615"/>
      <c r="AS225" s="615"/>
    </row>
    <row r="226" spans="12:45">
      <c r="L226" s="615"/>
      <c r="M226" s="615"/>
      <c r="AB226" s="615"/>
      <c r="AC226" s="615"/>
      <c r="AD226" s="615"/>
      <c r="AE226" s="615"/>
      <c r="AF226" s="615"/>
      <c r="AG226" s="615"/>
      <c r="AH226" s="615"/>
      <c r="AI226" s="615"/>
      <c r="AJ226" s="615"/>
      <c r="AK226" s="615"/>
      <c r="AL226" s="615"/>
      <c r="AM226" s="615"/>
      <c r="AN226" s="615"/>
      <c r="AO226" s="615"/>
      <c r="AP226" s="615"/>
      <c r="AQ226" s="615"/>
      <c r="AR226" s="615"/>
      <c r="AS226" s="615"/>
    </row>
    <row r="227" spans="12:45">
      <c r="L227" s="615"/>
      <c r="M227" s="615"/>
      <c r="AB227" s="615"/>
      <c r="AC227" s="615"/>
      <c r="AD227" s="615"/>
      <c r="AE227" s="615"/>
      <c r="AF227" s="615"/>
      <c r="AG227" s="615"/>
      <c r="AH227" s="615"/>
      <c r="AI227" s="615"/>
      <c r="AJ227" s="615"/>
      <c r="AK227" s="615"/>
      <c r="AL227" s="615"/>
      <c r="AM227" s="615"/>
      <c r="AN227" s="615"/>
      <c r="AO227" s="615"/>
      <c r="AP227" s="615"/>
      <c r="AQ227" s="615"/>
      <c r="AR227" s="615"/>
      <c r="AS227" s="615"/>
    </row>
    <row r="228" spans="12:45">
      <c r="L228" s="615"/>
      <c r="M228" s="615"/>
      <c r="AB228" s="615"/>
      <c r="AC228" s="615"/>
      <c r="AD228" s="615"/>
      <c r="AE228" s="615"/>
      <c r="AF228" s="615"/>
      <c r="AG228" s="615"/>
      <c r="AH228" s="615"/>
      <c r="AI228" s="615"/>
      <c r="AJ228" s="615"/>
      <c r="AK228" s="615"/>
      <c r="AL228" s="615"/>
      <c r="AM228" s="615"/>
      <c r="AN228" s="615"/>
      <c r="AO228" s="615"/>
      <c r="AP228" s="615"/>
      <c r="AQ228" s="615"/>
      <c r="AR228" s="615"/>
      <c r="AS228" s="615"/>
    </row>
    <row r="229" spans="12:45">
      <c r="L229" s="615"/>
      <c r="M229" s="615"/>
      <c r="AB229" s="615"/>
      <c r="AC229" s="615"/>
      <c r="AD229" s="615"/>
      <c r="AE229" s="615"/>
      <c r="AF229" s="615"/>
      <c r="AG229" s="615"/>
      <c r="AH229" s="615"/>
      <c r="AI229" s="615"/>
      <c r="AJ229" s="615"/>
      <c r="AK229" s="615"/>
      <c r="AL229" s="615"/>
      <c r="AM229" s="615"/>
      <c r="AN229" s="615"/>
      <c r="AO229" s="615"/>
      <c r="AP229" s="615"/>
      <c r="AQ229" s="615"/>
      <c r="AR229" s="615"/>
      <c r="AS229" s="615"/>
    </row>
    <row r="230" spans="12:45">
      <c r="L230" s="615"/>
      <c r="M230" s="615"/>
      <c r="AB230" s="615"/>
      <c r="AC230" s="615"/>
      <c r="AD230" s="615"/>
      <c r="AE230" s="615"/>
      <c r="AF230" s="615"/>
      <c r="AG230" s="615"/>
      <c r="AH230" s="615"/>
      <c r="AI230" s="615"/>
      <c r="AJ230" s="615"/>
      <c r="AK230" s="615"/>
      <c r="AL230" s="615"/>
      <c r="AM230" s="615"/>
      <c r="AN230" s="615"/>
      <c r="AO230" s="615"/>
      <c r="AP230" s="615"/>
      <c r="AQ230" s="615"/>
      <c r="AR230" s="615"/>
      <c r="AS230" s="615"/>
    </row>
    <row r="231" spans="12:45">
      <c r="L231" s="615"/>
      <c r="M231" s="615"/>
      <c r="AB231" s="615"/>
      <c r="AC231" s="615"/>
      <c r="AD231" s="615"/>
      <c r="AE231" s="615"/>
      <c r="AF231" s="615"/>
      <c r="AG231" s="615"/>
      <c r="AH231" s="615"/>
      <c r="AI231" s="615"/>
      <c r="AJ231" s="615"/>
      <c r="AK231" s="615"/>
      <c r="AL231" s="615"/>
      <c r="AM231" s="615"/>
      <c r="AN231" s="615"/>
      <c r="AO231" s="615"/>
      <c r="AP231" s="615"/>
      <c r="AQ231" s="615"/>
      <c r="AR231" s="615"/>
      <c r="AS231" s="615"/>
    </row>
    <row r="232" spans="12:45">
      <c r="L232" s="615"/>
      <c r="M232" s="615"/>
      <c r="AB232" s="615"/>
      <c r="AC232" s="615"/>
      <c r="AD232" s="615"/>
      <c r="AE232" s="615"/>
      <c r="AF232" s="615"/>
      <c r="AG232" s="615"/>
      <c r="AH232" s="615"/>
      <c r="AI232" s="615"/>
      <c r="AJ232" s="615"/>
      <c r="AK232" s="615"/>
      <c r="AL232" s="615"/>
      <c r="AM232" s="615"/>
      <c r="AN232" s="615"/>
      <c r="AO232" s="615"/>
      <c r="AP232" s="615"/>
      <c r="AQ232" s="615"/>
      <c r="AR232" s="615"/>
      <c r="AS232" s="615"/>
    </row>
    <row r="233" spans="12:45">
      <c r="L233" s="615"/>
      <c r="M233" s="615"/>
      <c r="AB233" s="615"/>
      <c r="AC233" s="615"/>
      <c r="AD233" s="615"/>
      <c r="AE233" s="615"/>
      <c r="AF233" s="615"/>
      <c r="AG233" s="615"/>
      <c r="AH233" s="615"/>
      <c r="AI233" s="615"/>
      <c r="AJ233" s="615"/>
      <c r="AK233" s="615"/>
      <c r="AL233" s="615"/>
      <c r="AM233" s="615"/>
      <c r="AN233" s="615"/>
      <c r="AO233" s="615"/>
      <c r="AP233" s="615"/>
      <c r="AQ233" s="615"/>
      <c r="AR233" s="615"/>
      <c r="AS233" s="615"/>
    </row>
    <row r="234" spans="12:45">
      <c r="L234" s="615"/>
      <c r="M234" s="615"/>
      <c r="AB234" s="615"/>
      <c r="AC234" s="615"/>
      <c r="AD234" s="615"/>
      <c r="AE234" s="615"/>
      <c r="AF234" s="615"/>
      <c r="AG234" s="615"/>
      <c r="AH234" s="615"/>
      <c r="AI234" s="615"/>
      <c r="AJ234" s="615"/>
      <c r="AK234" s="615"/>
      <c r="AL234" s="615"/>
      <c r="AM234" s="615"/>
      <c r="AN234" s="615"/>
      <c r="AO234" s="615"/>
      <c r="AP234" s="615"/>
      <c r="AQ234" s="615"/>
      <c r="AR234" s="615"/>
      <c r="AS234" s="615"/>
    </row>
    <row r="235" spans="12:45">
      <c r="L235" s="615"/>
      <c r="M235" s="615"/>
      <c r="AB235" s="615"/>
      <c r="AC235" s="615"/>
      <c r="AD235" s="615"/>
      <c r="AE235" s="615"/>
      <c r="AF235" s="615"/>
      <c r="AG235" s="615"/>
      <c r="AH235" s="615"/>
      <c r="AI235" s="615"/>
      <c r="AJ235" s="615"/>
      <c r="AK235" s="615"/>
      <c r="AL235" s="615"/>
      <c r="AM235" s="615"/>
      <c r="AN235" s="615"/>
      <c r="AO235" s="615"/>
      <c r="AP235" s="615"/>
      <c r="AQ235" s="615"/>
      <c r="AR235" s="615"/>
      <c r="AS235" s="615"/>
    </row>
    <row r="236" spans="12:45">
      <c r="L236" s="615"/>
      <c r="M236" s="615"/>
      <c r="AB236" s="615"/>
      <c r="AC236" s="615"/>
      <c r="AD236" s="615"/>
      <c r="AE236" s="615"/>
      <c r="AF236" s="615"/>
      <c r="AG236" s="615"/>
      <c r="AH236" s="615"/>
      <c r="AI236" s="615"/>
      <c r="AJ236" s="615"/>
      <c r="AK236" s="615"/>
      <c r="AL236" s="615"/>
      <c r="AM236" s="615"/>
      <c r="AN236" s="615"/>
      <c r="AO236" s="615"/>
      <c r="AP236" s="615"/>
      <c r="AQ236" s="615"/>
      <c r="AR236" s="615"/>
      <c r="AS236" s="615"/>
    </row>
    <row r="237" spans="12:45">
      <c r="L237" s="615"/>
      <c r="M237" s="615"/>
      <c r="AB237" s="615"/>
      <c r="AC237" s="615"/>
      <c r="AD237" s="615"/>
      <c r="AE237" s="615"/>
      <c r="AF237" s="615"/>
      <c r="AG237" s="615"/>
      <c r="AH237" s="615"/>
      <c r="AI237" s="615"/>
      <c r="AJ237" s="615"/>
      <c r="AK237" s="615"/>
      <c r="AL237" s="615"/>
      <c r="AM237" s="615"/>
      <c r="AN237" s="615"/>
      <c r="AO237" s="615"/>
      <c r="AP237" s="615"/>
      <c r="AQ237" s="615"/>
      <c r="AR237" s="615"/>
      <c r="AS237" s="615"/>
    </row>
    <row r="238" spans="12:45">
      <c r="L238" s="615"/>
      <c r="M238" s="615"/>
      <c r="AB238" s="615"/>
      <c r="AC238" s="615"/>
      <c r="AD238" s="615"/>
      <c r="AE238" s="615"/>
      <c r="AF238" s="615"/>
      <c r="AG238" s="615"/>
      <c r="AH238" s="615"/>
      <c r="AI238" s="615"/>
      <c r="AJ238" s="615"/>
      <c r="AK238" s="615"/>
      <c r="AL238" s="615"/>
      <c r="AM238" s="615"/>
      <c r="AN238" s="615"/>
      <c r="AO238" s="615"/>
      <c r="AP238" s="615"/>
      <c r="AQ238" s="615"/>
      <c r="AR238" s="615"/>
      <c r="AS238" s="615"/>
    </row>
    <row r="239" spans="12:45">
      <c r="L239" s="615"/>
      <c r="M239" s="615"/>
      <c r="AB239" s="615"/>
      <c r="AC239" s="615"/>
      <c r="AD239" s="615"/>
      <c r="AE239" s="615"/>
      <c r="AF239" s="615"/>
      <c r="AG239" s="615"/>
      <c r="AH239" s="615"/>
      <c r="AI239" s="615"/>
      <c r="AJ239" s="615"/>
      <c r="AK239" s="615"/>
      <c r="AL239" s="615"/>
      <c r="AM239" s="615"/>
      <c r="AN239" s="615"/>
      <c r="AO239" s="615"/>
      <c r="AP239" s="615"/>
      <c r="AQ239" s="615"/>
      <c r="AR239" s="615"/>
      <c r="AS239" s="615"/>
    </row>
    <row r="240" spans="12:45">
      <c r="L240" s="615"/>
      <c r="M240" s="615"/>
      <c r="AB240" s="615"/>
      <c r="AC240" s="615"/>
      <c r="AD240" s="615"/>
      <c r="AE240" s="615"/>
      <c r="AF240" s="615"/>
      <c r="AG240" s="615"/>
      <c r="AH240" s="615"/>
      <c r="AI240" s="615"/>
      <c r="AJ240" s="615"/>
      <c r="AK240" s="615"/>
      <c r="AL240" s="615"/>
      <c r="AM240" s="615"/>
      <c r="AN240" s="615"/>
      <c r="AO240" s="615"/>
      <c r="AP240" s="615"/>
      <c r="AQ240" s="615"/>
      <c r="AR240" s="615"/>
      <c r="AS240" s="615"/>
    </row>
    <row r="241" spans="12:45">
      <c r="L241" s="615"/>
      <c r="M241" s="615"/>
      <c r="AB241" s="615"/>
      <c r="AC241" s="615"/>
      <c r="AD241" s="615"/>
      <c r="AE241" s="615"/>
      <c r="AF241" s="615"/>
      <c r="AG241" s="615"/>
      <c r="AH241" s="615"/>
      <c r="AI241" s="615"/>
      <c r="AJ241" s="615"/>
      <c r="AK241" s="615"/>
      <c r="AL241" s="615"/>
      <c r="AM241" s="615"/>
      <c r="AN241" s="615"/>
      <c r="AO241" s="615"/>
      <c r="AP241" s="615"/>
      <c r="AQ241" s="615"/>
      <c r="AR241" s="615"/>
      <c r="AS241" s="615"/>
    </row>
    <row r="242" spans="12:45">
      <c r="L242" s="615"/>
      <c r="M242" s="615"/>
      <c r="AB242" s="615"/>
      <c r="AC242" s="615"/>
      <c r="AD242" s="615"/>
      <c r="AE242" s="615"/>
      <c r="AF242" s="615"/>
      <c r="AG242" s="615"/>
      <c r="AH242" s="615"/>
      <c r="AI242" s="615"/>
      <c r="AJ242" s="615"/>
      <c r="AK242" s="615"/>
      <c r="AL242" s="615"/>
      <c r="AM242" s="615"/>
      <c r="AN242" s="615"/>
      <c r="AO242" s="615"/>
      <c r="AP242" s="615"/>
      <c r="AQ242" s="615"/>
      <c r="AR242" s="615"/>
      <c r="AS242" s="615"/>
    </row>
    <row r="243" spans="12:45">
      <c r="L243" s="615"/>
      <c r="M243" s="615"/>
      <c r="AB243" s="615"/>
      <c r="AC243" s="615"/>
      <c r="AD243" s="615"/>
      <c r="AE243" s="615"/>
      <c r="AF243" s="615"/>
      <c r="AG243" s="615"/>
      <c r="AH243" s="615"/>
      <c r="AI243" s="615"/>
      <c r="AJ243" s="615"/>
      <c r="AK243" s="615"/>
      <c r="AL243" s="615"/>
      <c r="AM243" s="615"/>
      <c r="AN243" s="615"/>
      <c r="AO243" s="615"/>
      <c r="AP243" s="615"/>
      <c r="AQ243" s="615"/>
      <c r="AR243" s="615"/>
      <c r="AS243" s="615"/>
    </row>
    <row r="244" spans="12:45">
      <c r="L244" s="615"/>
      <c r="M244" s="615"/>
      <c r="AB244" s="615"/>
      <c r="AC244" s="615"/>
      <c r="AD244" s="615"/>
      <c r="AE244" s="615"/>
      <c r="AF244" s="615"/>
      <c r="AG244" s="615"/>
      <c r="AH244" s="615"/>
      <c r="AI244" s="615"/>
      <c r="AJ244" s="615"/>
      <c r="AK244" s="615"/>
      <c r="AL244" s="615"/>
      <c r="AM244" s="615"/>
      <c r="AN244" s="615"/>
      <c r="AO244" s="615"/>
      <c r="AP244" s="615"/>
      <c r="AQ244" s="615"/>
      <c r="AR244" s="615"/>
      <c r="AS244" s="615"/>
    </row>
    <row r="245" spans="12:45">
      <c r="L245" s="615"/>
      <c r="M245" s="615"/>
      <c r="AB245" s="615"/>
      <c r="AC245" s="615"/>
      <c r="AD245" s="615"/>
      <c r="AE245" s="615"/>
      <c r="AF245" s="615"/>
      <c r="AG245" s="615"/>
      <c r="AH245" s="615"/>
      <c r="AI245" s="615"/>
      <c r="AJ245" s="615"/>
      <c r="AK245" s="615"/>
      <c r="AL245" s="615"/>
      <c r="AM245" s="615"/>
      <c r="AN245" s="615"/>
      <c r="AO245" s="615"/>
      <c r="AP245" s="615"/>
      <c r="AQ245" s="615"/>
      <c r="AR245" s="615"/>
      <c r="AS245" s="615"/>
    </row>
    <row r="246" spans="12:45">
      <c r="L246" s="615"/>
      <c r="M246" s="615"/>
      <c r="AB246" s="615"/>
      <c r="AC246" s="615"/>
      <c r="AD246" s="615"/>
      <c r="AE246" s="615"/>
      <c r="AF246" s="615"/>
      <c r="AG246" s="615"/>
      <c r="AH246" s="615"/>
      <c r="AI246" s="615"/>
      <c r="AJ246" s="615"/>
      <c r="AK246" s="615"/>
      <c r="AL246" s="615"/>
      <c r="AM246" s="615"/>
      <c r="AN246" s="615"/>
      <c r="AO246" s="615"/>
      <c r="AP246" s="615"/>
      <c r="AQ246" s="615"/>
      <c r="AR246" s="615"/>
      <c r="AS246" s="615"/>
    </row>
    <row r="247" spans="12:45">
      <c r="L247" s="615"/>
      <c r="M247" s="615"/>
      <c r="AB247" s="615"/>
      <c r="AC247" s="615"/>
      <c r="AD247" s="615"/>
      <c r="AE247" s="615"/>
      <c r="AF247" s="615"/>
      <c r="AG247" s="615"/>
      <c r="AH247" s="615"/>
      <c r="AI247" s="615"/>
      <c r="AJ247" s="615"/>
      <c r="AK247" s="615"/>
      <c r="AL247" s="615"/>
      <c r="AM247" s="615"/>
      <c r="AN247" s="615"/>
      <c r="AO247" s="615"/>
      <c r="AP247" s="615"/>
      <c r="AQ247" s="615"/>
      <c r="AR247" s="615"/>
      <c r="AS247" s="615"/>
    </row>
    <row r="248" spans="12:45">
      <c r="L248" s="615"/>
      <c r="M248" s="615"/>
      <c r="AB248" s="615"/>
      <c r="AC248" s="615"/>
      <c r="AD248" s="615"/>
      <c r="AE248" s="615"/>
      <c r="AF248" s="615"/>
      <c r="AG248" s="615"/>
      <c r="AH248" s="615"/>
      <c r="AI248" s="615"/>
      <c r="AJ248" s="615"/>
      <c r="AK248" s="615"/>
      <c r="AL248" s="615"/>
      <c r="AM248" s="615"/>
      <c r="AN248" s="615"/>
      <c r="AO248" s="615"/>
      <c r="AP248" s="615"/>
      <c r="AQ248" s="615"/>
      <c r="AR248" s="615"/>
      <c r="AS248" s="615"/>
    </row>
    <row r="249" spans="12:45">
      <c r="L249" s="615"/>
      <c r="M249" s="615"/>
      <c r="AB249" s="615"/>
      <c r="AC249" s="615"/>
      <c r="AD249" s="615"/>
      <c r="AE249" s="615"/>
      <c r="AF249" s="615"/>
      <c r="AG249" s="615"/>
      <c r="AH249" s="615"/>
      <c r="AI249" s="615"/>
      <c r="AJ249" s="615"/>
      <c r="AK249" s="615"/>
      <c r="AL249" s="615"/>
      <c r="AM249" s="615"/>
      <c r="AN249" s="615"/>
      <c r="AO249" s="615"/>
      <c r="AP249" s="615"/>
      <c r="AQ249" s="615"/>
      <c r="AR249" s="615"/>
      <c r="AS249" s="615"/>
    </row>
    <row r="250" spans="12:45">
      <c r="L250" s="615"/>
      <c r="M250" s="615"/>
      <c r="AB250" s="615"/>
      <c r="AC250" s="615"/>
      <c r="AD250" s="615"/>
      <c r="AE250" s="615"/>
      <c r="AF250" s="615"/>
      <c r="AG250" s="615"/>
      <c r="AH250" s="615"/>
      <c r="AI250" s="615"/>
      <c r="AJ250" s="615"/>
      <c r="AK250" s="615"/>
      <c r="AL250" s="615"/>
      <c r="AM250" s="615"/>
      <c r="AN250" s="615"/>
      <c r="AO250" s="615"/>
      <c r="AP250" s="615"/>
      <c r="AQ250" s="615"/>
      <c r="AR250" s="615"/>
      <c r="AS250" s="615"/>
    </row>
    <row r="251" spans="12:45">
      <c r="L251" s="615"/>
      <c r="M251" s="615"/>
      <c r="AB251" s="615"/>
      <c r="AC251" s="615"/>
      <c r="AD251" s="615"/>
      <c r="AE251" s="615"/>
      <c r="AF251" s="615"/>
      <c r="AG251" s="615"/>
      <c r="AH251" s="615"/>
      <c r="AI251" s="615"/>
      <c r="AJ251" s="615"/>
      <c r="AK251" s="615"/>
      <c r="AL251" s="615"/>
      <c r="AM251" s="615"/>
      <c r="AN251" s="615"/>
      <c r="AO251" s="615"/>
      <c r="AP251" s="615"/>
      <c r="AQ251" s="615"/>
      <c r="AR251" s="615"/>
      <c r="AS251" s="615"/>
    </row>
    <row r="252" spans="12:45">
      <c r="L252" s="615"/>
      <c r="M252" s="615"/>
      <c r="AB252" s="615"/>
      <c r="AC252" s="615"/>
      <c r="AD252" s="615"/>
      <c r="AE252" s="615"/>
      <c r="AF252" s="615"/>
      <c r="AG252" s="615"/>
      <c r="AH252" s="615"/>
      <c r="AI252" s="615"/>
      <c r="AJ252" s="615"/>
      <c r="AK252" s="615"/>
      <c r="AL252" s="615"/>
      <c r="AM252" s="615"/>
      <c r="AN252" s="615"/>
      <c r="AO252" s="615"/>
      <c r="AP252" s="615"/>
      <c r="AQ252" s="615"/>
      <c r="AR252" s="615"/>
      <c r="AS252" s="615"/>
    </row>
    <row r="253" spans="12:45">
      <c r="L253" s="615"/>
      <c r="M253" s="615"/>
      <c r="AB253" s="615"/>
      <c r="AC253" s="615"/>
      <c r="AD253" s="615"/>
      <c r="AE253" s="615"/>
      <c r="AF253" s="615"/>
      <c r="AG253" s="615"/>
      <c r="AH253" s="615"/>
      <c r="AI253" s="615"/>
      <c r="AJ253" s="615"/>
      <c r="AK253" s="615"/>
      <c r="AL253" s="615"/>
      <c r="AM253" s="615"/>
      <c r="AN253" s="615"/>
      <c r="AO253" s="615"/>
      <c r="AP253" s="615"/>
      <c r="AQ253" s="615"/>
      <c r="AR253" s="615"/>
      <c r="AS253" s="615"/>
    </row>
    <row r="254" spans="12:45">
      <c r="L254" s="615"/>
      <c r="M254" s="615"/>
      <c r="AB254" s="615"/>
      <c r="AC254" s="615"/>
      <c r="AD254" s="615"/>
      <c r="AE254" s="615"/>
      <c r="AF254" s="615"/>
      <c r="AG254" s="615"/>
      <c r="AH254" s="615"/>
      <c r="AI254" s="615"/>
      <c r="AJ254" s="615"/>
      <c r="AK254" s="615"/>
      <c r="AL254" s="615"/>
      <c r="AM254" s="615"/>
      <c r="AN254" s="615"/>
      <c r="AO254" s="615"/>
      <c r="AP254" s="615"/>
      <c r="AQ254" s="615"/>
      <c r="AR254" s="615"/>
      <c r="AS254" s="615"/>
    </row>
    <row r="255" spans="12:45">
      <c r="L255" s="615"/>
      <c r="M255" s="615"/>
      <c r="AB255" s="615"/>
      <c r="AC255" s="615"/>
      <c r="AD255" s="615"/>
      <c r="AE255" s="615"/>
      <c r="AF255" s="615"/>
      <c r="AG255" s="615"/>
      <c r="AH255" s="615"/>
      <c r="AI255" s="615"/>
      <c r="AJ255" s="615"/>
      <c r="AK255" s="615"/>
      <c r="AL255" s="615"/>
      <c r="AM255" s="615"/>
      <c r="AN255" s="615"/>
      <c r="AO255" s="615"/>
      <c r="AP255" s="615"/>
      <c r="AQ255" s="615"/>
      <c r="AR255" s="615"/>
      <c r="AS255" s="615"/>
    </row>
    <row r="256" spans="12:45">
      <c r="L256" s="615"/>
      <c r="M256" s="615"/>
      <c r="AB256" s="615"/>
      <c r="AC256" s="615"/>
      <c r="AD256" s="615"/>
      <c r="AE256" s="615"/>
      <c r="AF256" s="615"/>
      <c r="AG256" s="615"/>
      <c r="AH256" s="615"/>
      <c r="AI256" s="615"/>
      <c r="AJ256" s="615"/>
      <c r="AK256" s="615"/>
      <c r="AL256" s="615"/>
      <c r="AM256" s="615"/>
      <c r="AN256" s="615"/>
      <c r="AO256" s="615"/>
      <c r="AP256" s="615"/>
      <c r="AQ256" s="615"/>
      <c r="AR256" s="615"/>
      <c r="AS256" s="615"/>
    </row>
    <row r="257" spans="12:45">
      <c r="L257" s="615"/>
      <c r="M257" s="615"/>
      <c r="AB257" s="615"/>
      <c r="AC257" s="615"/>
      <c r="AD257" s="615"/>
      <c r="AE257" s="615"/>
      <c r="AF257" s="615"/>
      <c r="AG257" s="615"/>
      <c r="AH257" s="615"/>
      <c r="AI257" s="615"/>
      <c r="AJ257" s="615"/>
      <c r="AK257" s="615"/>
      <c r="AL257" s="615"/>
      <c r="AM257" s="615"/>
      <c r="AN257" s="615"/>
      <c r="AO257" s="615"/>
      <c r="AP257" s="615"/>
      <c r="AQ257" s="615"/>
      <c r="AR257" s="615"/>
      <c r="AS257" s="615"/>
    </row>
    <row r="258" spans="12:45">
      <c r="L258" s="615"/>
      <c r="M258" s="615"/>
      <c r="AB258" s="615"/>
      <c r="AC258" s="615"/>
      <c r="AD258" s="615"/>
      <c r="AE258" s="615"/>
      <c r="AF258" s="615"/>
      <c r="AG258" s="615"/>
      <c r="AH258" s="615"/>
      <c r="AI258" s="615"/>
      <c r="AJ258" s="615"/>
      <c r="AK258" s="615"/>
      <c r="AL258" s="615"/>
      <c r="AM258" s="615"/>
      <c r="AN258" s="615"/>
      <c r="AO258" s="615"/>
      <c r="AP258" s="615"/>
      <c r="AQ258" s="615"/>
      <c r="AR258" s="615"/>
      <c r="AS258" s="615"/>
    </row>
    <row r="259" spans="12:45">
      <c r="L259" s="615"/>
      <c r="M259" s="615"/>
      <c r="AB259" s="615"/>
      <c r="AC259" s="615"/>
      <c r="AD259" s="615"/>
      <c r="AE259" s="615"/>
      <c r="AF259" s="615"/>
      <c r="AG259" s="615"/>
      <c r="AH259" s="615"/>
      <c r="AI259" s="615"/>
      <c r="AJ259" s="615"/>
      <c r="AK259" s="615"/>
      <c r="AL259" s="615"/>
      <c r="AM259" s="615"/>
      <c r="AN259" s="615"/>
      <c r="AO259" s="615"/>
      <c r="AP259" s="615"/>
      <c r="AQ259" s="615"/>
      <c r="AR259" s="615"/>
      <c r="AS259" s="615"/>
    </row>
    <row r="260" spans="12:45">
      <c r="L260" s="615"/>
      <c r="M260" s="615"/>
      <c r="AB260" s="615"/>
      <c r="AC260" s="615"/>
      <c r="AD260" s="615"/>
      <c r="AE260" s="615"/>
      <c r="AF260" s="615"/>
      <c r="AG260" s="615"/>
      <c r="AH260" s="615"/>
      <c r="AI260" s="615"/>
      <c r="AJ260" s="615"/>
      <c r="AK260" s="615"/>
      <c r="AL260" s="615"/>
      <c r="AM260" s="615"/>
      <c r="AN260" s="615"/>
      <c r="AO260" s="615"/>
      <c r="AP260" s="615"/>
      <c r="AQ260" s="615"/>
      <c r="AR260" s="615"/>
      <c r="AS260" s="615"/>
    </row>
    <row r="261" spans="12:45">
      <c r="L261" s="615"/>
      <c r="M261" s="615"/>
      <c r="AB261" s="615"/>
      <c r="AC261" s="615"/>
      <c r="AD261" s="615"/>
      <c r="AE261" s="615"/>
      <c r="AF261" s="615"/>
      <c r="AG261" s="615"/>
      <c r="AH261" s="615"/>
      <c r="AI261" s="615"/>
      <c r="AJ261" s="615"/>
      <c r="AK261" s="615"/>
      <c r="AL261" s="615"/>
      <c r="AM261" s="615"/>
      <c r="AN261" s="615"/>
      <c r="AO261" s="615"/>
      <c r="AP261" s="615"/>
      <c r="AQ261" s="615"/>
      <c r="AR261" s="615"/>
      <c r="AS261" s="615"/>
    </row>
    <row r="262" spans="12:45">
      <c r="L262" s="615"/>
      <c r="M262" s="615"/>
      <c r="AB262" s="615"/>
      <c r="AC262" s="615"/>
      <c r="AD262" s="615"/>
      <c r="AE262" s="615"/>
      <c r="AF262" s="615"/>
      <c r="AG262" s="615"/>
      <c r="AH262" s="615"/>
      <c r="AI262" s="615"/>
      <c r="AJ262" s="615"/>
      <c r="AK262" s="615"/>
      <c r="AL262" s="615"/>
      <c r="AM262" s="615"/>
      <c r="AN262" s="615"/>
      <c r="AO262" s="615"/>
      <c r="AP262" s="615"/>
      <c r="AQ262" s="615"/>
      <c r="AR262" s="615"/>
      <c r="AS262" s="615"/>
    </row>
    <row r="263" spans="12:45">
      <c r="L263" s="615"/>
      <c r="M263" s="615"/>
      <c r="AB263" s="615"/>
      <c r="AC263" s="615"/>
      <c r="AD263" s="615"/>
      <c r="AE263" s="615"/>
      <c r="AF263" s="615"/>
      <c r="AG263" s="615"/>
      <c r="AH263" s="615"/>
      <c r="AI263" s="615"/>
      <c r="AJ263" s="615"/>
      <c r="AK263" s="615"/>
      <c r="AL263" s="615"/>
      <c r="AM263" s="615"/>
      <c r="AN263" s="615"/>
      <c r="AO263" s="615"/>
      <c r="AP263" s="615"/>
      <c r="AQ263" s="615"/>
      <c r="AR263" s="615"/>
      <c r="AS263" s="615"/>
    </row>
    <row r="264" spans="12:45">
      <c r="L264" s="615"/>
      <c r="M264" s="615"/>
      <c r="AB264" s="615"/>
      <c r="AC264" s="615"/>
      <c r="AD264" s="615"/>
      <c r="AE264" s="615"/>
      <c r="AF264" s="615"/>
      <c r="AG264" s="615"/>
      <c r="AH264" s="615"/>
      <c r="AI264" s="615"/>
      <c r="AJ264" s="615"/>
      <c r="AK264" s="615"/>
      <c r="AL264" s="615"/>
      <c r="AM264" s="615"/>
      <c r="AN264" s="615"/>
      <c r="AO264" s="615"/>
      <c r="AP264" s="615"/>
      <c r="AQ264" s="615"/>
      <c r="AR264" s="615"/>
      <c r="AS264" s="615"/>
    </row>
    <row r="265" spans="12:45">
      <c r="L265" s="615"/>
      <c r="M265" s="615"/>
      <c r="AB265" s="615"/>
      <c r="AC265" s="615"/>
      <c r="AD265" s="615"/>
      <c r="AE265" s="615"/>
      <c r="AF265" s="615"/>
      <c r="AG265" s="615"/>
      <c r="AH265" s="615"/>
      <c r="AI265" s="615"/>
      <c r="AJ265" s="615"/>
      <c r="AK265" s="615"/>
      <c r="AL265" s="615"/>
      <c r="AM265" s="615"/>
      <c r="AN265" s="615"/>
      <c r="AO265" s="615"/>
      <c r="AP265" s="615"/>
      <c r="AQ265" s="615"/>
      <c r="AR265" s="615"/>
      <c r="AS265" s="615"/>
    </row>
    <row r="266" spans="12:45">
      <c r="L266" s="615"/>
      <c r="M266" s="615"/>
      <c r="AB266" s="615"/>
      <c r="AC266" s="615"/>
      <c r="AD266" s="615"/>
      <c r="AE266" s="615"/>
      <c r="AF266" s="615"/>
      <c r="AG266" s="615"/>
      <c r="AH266" s="615"/>
      <c r="AI266" s="615"/>
      <c r="AJ266" s="615"/>
      <c r="AK266" s="615"/>
      <c r="AL266" s="615"/>
      <c r="AM266" s="615"/>
      <c r="AN266" s="615"/>
      <c r="AO266" s="615"/>
      <c r="AP266" s="615"/>
      <c r="AQ266" s="615"/>
      <c r="AR266" s="615"/>
      <c r="AS266" s="615"/>
    </row>
    <row r="267" spans="12:45">
      <c r="L267" s="615"/>
      <c r="M267" s="615"/>
      <c r="AB267" s="615"/>
      <c r="AC267" s="615"/>
      <c r="AD267" s="615"/>
      <c r="AE267" s="615"/>
      <c r="AF267" s="615"/>
      <c r="AG267" s="615"/>
      <c r="AH267" s="615"/>
      <c r="AI267" s="615"/>
      <c r="AJ267" s="615"/>
      <c r="AK267" s="615"/>
      <c r="AL267" s="615"/>
      <c r="AM267" s="615"/>
      <c r="AN267" s="615"/>
      <c r="AO267" s="615"/>
      <c r="AP267" s="615"/>
      <c r="AQ267" s="615"/>
      <c r="AR267" s="615"/>
      <c r="AS267" s="615"/>
    </row>
    <row r="268" spans="12:45">
      <c r="L268" s="615"/>
      <c r="M268" s="615"/>
      <c r="AB268" s="615"/>
      <c r="AC268" s="615"/>
      <c r="AD268" s="615"/>
      <c r="AE268" s="615"/>
      <c r="AF268" s="615"/>
      <c r="AG268" s="615"/>
      <c r="AH268" s="615"/>
      <c r="AI268" s="615"/>
      <c r="AJ268" s="615"/>
      <c r="AK268" s="615"/>
      <c r="AL268" s="615"/>
      <c r="AM268" s="615"/>
      <c r="AN268" s="615"/>
      <c r="AO268" s="615"/>
      <c r="AP268" s="615"/>
      <c r="AQ268" s="615"/>
      <c r="AR268" s="615"/>
      <c r="AS268" s="615"/>
    </row>
    <row r="269" spans="12:45">
      <c r="L269" s="615"/>
      <c r="M269" s="615"/>
      <c r="AB269" s="615"/>
      <c r="AC269" s="615"/>
      <c r="AD269" s="615"/>
      <c r="AE269" s="615"/>
      <c r="AF269" s="615"/>
      <c r="AG269" s="615"/>
      <c r="AH269" s="615"/>
      <c r="AI269" s="615"/>
      <c r="AJ269" s="615"/>
      <c r="AK269" s="615"/>
      <c r="AL269" s="615"/>
      <c r="AM269" s="615"/>
      <c r="AN269" s="615"/>
      <c r="AO269" s="615"/>
      <c r="AP269" s="615"/>
      <c r="AQ269" s="615"/>
      <c r="AR269" s="615"/>
      <c r="AS269" s="615"/>
    </row>
    <row r="270" spans="12:45">
      <c r="L270" s="615"/>
      <c r="M270" s="615"/>
      <c r="AB270" s="615"/>
      <c r="AC270" s="615"/>
      <c r="AD270" s="615"/>
      <c r="AE270" s="615"/>
      <c r="AF270" s="615"/>
      <c r="AG270" s="615"/>
      <c r="AH270" s="615"/>
      <c r="AI270" s="615"/>
      <c r="AJ270" s="615"/>
      <c r="AK270" s="615"/>
      <c r="AL270" s="615"/>
      <c r="AM270" s="615"/>
      <c r="AN270" s="615"/>
      <c r="AO270" s="615"/>
      <c r="AP270" s="615"/>
      <c r="AQ270" s="615"/>
      <c r="AR270" s="615"/>
      <c r="AS270" s="615"/>
    </row>
    <row r="271" spans="12:45">
      <c r="L271" s="615"/>
      <c r="M271" s="615"/>
      <c r="AB271" s="615"/>
      <c r="AC271" s="615"/>
      <c r="AD271" s="615"/>
      <c r="AE271" s="615"/>
      <c r="AF271" s="615"/>
      <c r="AG271" s="615"/>
      <c r="AH271" s="615"/>
      <c r="AI271" s="615"/>
      <c r="AJ271" s="615"/>
      <c r="AK271" s="615"/>
      <c r="AL271" s="615"/>
      <c r="AM271" s="615"/>
      <c r="AN271" s="615"/>
      <c r="AO271" s="615"/>
      <c r="AP271" s="615"/>
      <c r="AQ271" s="615"/>
      <c r="AR271" s="615"/>
      <c r="AS271" s="615"/>
    </row>
    <row r="272" spans="12:45">
      <c r="L272" s="615"/>
      <c r="M272" s="615"/>
      <c r="AB272" s="615"/>
      <c r="AC272" s="615"/>
      <c r="AD272" s="615"/>
      <c r="AE272" s="615"/>
      <c r="AF272" s="615"/>
      <c r="AG272" s="615"/>
      <c r="AH272" s="615"/>
      <c r="AI272" s="615"/>
      <c r="AJ272" s="615"/>
      <c r="AK272" s="615"/>
      <c r="AL272" s="615"/>
      <c r="AM272" s="615"/>
      <c r="AN272" s="615"/>
      <c r="AO272" s="615"/>
      <c r="AP272" s="615"/>
      <c r="AQ272" s="615"/>
      <c r="AR272" s="615"/>
      <c r="AS272" s="615"/>
    </row>
    <row r="273" spans="12:45">
      <c r="L273" s="615"/>
      <c r="M273" s="615"/>
      <c r="AB273" s="615"/>
      <c r="AC273" s="615"/>
      <c r="AD273" s="615"/>
      <c r="AE273" s="615"/>
      <c r="AF273" s="615"/>
      <c r="AG273" s="615"/>
      <c r="AH273" s="615"/>
      <c r="AI273" s="615"/>
      <c r="AJ273" s="615"/>
      <c r="AK273" s="615"/>
      <c r="AL273" s="615"/>
      <c r="AM273" s="615"/>
      <c r="AN273" s="615"/>
      <c r="AO273" s="615"/>
      <c r="AP273" s="615"/>
      <c r="AQ273" s="615"/>
      <c r="AR273" s="615"/>
      <c r="AS273" s="615"/>
    </row>
    <row r="274" spans="12:45">
      <c r="L274" s="615"/>
      <c r="M274" s="615"/>
      <c r="AB274" s="615"/>
      <c r="AC274" s="615"/>
      <c r="AD274" s="615"/>
      <c r="AE274" s="615"/>
      <c r="AF274" s="615"/>
      <c r="AG274" s="615"/>
      <c r="AH274" s="615"/>
      <c r="AI274" s="615"/>
      <c r="AJ274" s="615"/>
      <c r="AK274" s="615"/>
      <c r="AL274" s="615"/>
      <c r="AM274" s="615"/>
      <c r="AN274" s="615"/>
      <c r="AO274" s="615"/>
      <c r="AP274" s="615"/>
      <c r="AQ274" s="615"/>
      <c r="AR274" s="615"/>
      <c r="AS274" s="615"/>
    </row>
    <row r="275" spans="12:45">
      <c r="L275" s="615"/>
      <c r="M275" s="615"/>
      <c r="AB275" s="615"/>
      <c r="AC275" s="615"/>
      <c r="AD275" s="615"/>
      <c r="AE275" s="615"/>
      <c r="AF275" s="615"/>
      <c r="AG275" s="615"/>
      <c r="AH275" s="615"/>
      <c r="AI275" s="615"/>
      <c r="AJ275" s="615"/>
      <c r="AK275" s="615"/>
      <c r="AL275" s="615"/>
      <c r="AM275" s="615"/>
      <c r="AN275" s="615"/>
      <c r="AO275" s="615"/>
      <c r="AP275" s="615"/>
      <c r="AQ275" s="615"/>
      <c r="AR275" s="615"/>
      <c r="AS275" s="615"/>
    </row>
    <row r="276" spans="12:45">
      <c r="L276" s="615"/>
      <c r="M276" s="615"/>
      <c r="AB276" s="615"/>
      <c r="AC276" s="615"/>
      <c r="AD276" s="615"/>
      <c r="AE276" s="615"/>
      <c r="AF276" s="615"/>
      <c r="AG276" s="615"/>
      <c r="AH276" s="615"/>
      <c r="AI276" s="615"/>
      <c r="AJ276" s="615"/>
      <c r="AK276" s="615"/>
      <c r="AL276" s="615"/>
      <c r="AM276" s="615"/>
      <c r="AN276" s="615"/>
      <c r="AO276" s="615"/>
      <c r="AP276" s="615"/>
      <c r="AQ276" s="615"/>
      <c r="AR276" s="615"/>
      <c r="AS276" s="615"/>
    </row>
    <row r="277" spans="12:45">
      <c r="L277" s="615"/>
      <c r="M277" s="615"/>
      <c r="AB277" s="615"/>
      <c r="AC277" s="615"/>
      <c r="AD277" s="615"/>
      <c r="AE277" s="615"/>
      <c r="AF277" s="615"/>
      <c r="AG277" s="615"/>
      <c r="AH277" s="615"/>
      <c r="AI277" s="615"/>
      <c r="AJ277" s="615"/>
      <c r="AK277" s="615"/>
      <c r="AL277" s="615"/>
      <c r="AM277" s="615"/>
      <c r="AN277" s="615"/>
      <c r="AO277" s="615"/>
      <c r="AP277" s="615"/>
      <c r="AQ277" s="615"/>
      <c r="AR277" s="615"/>
      <c r="AS277" s="615"/>
    </row>
    <row r="278" spans="12:45">
      <c r="L278" s="615"/>
      <c r="M278" s="615"/>
      <c r="AB278" s="615"/>
      <c r="AC278" s="615"/>
      <c r="AD278" s="615"/>
      <c r="AE278" s="615"/>
      <c r="AF278" s="615"/>
      <c r="AG278" s="615"/>
      <c r="AH278" s="615"/>
      <c r="AI278" s="615"/>
      <c r="AJ278" s="615"/>
      <c r="AK278" s="615"/>
      <c r="AL278" s="615"/>
      <c r="AM278" s="615"/>
      <c r="AN278" s="615"/>
      <c r="AO278" s="615"/>
      <c r="AP278" s="615"/>
      <c r="AQ278" s="615"/>
      <c r="AR278" s="615"/>
      <c r="AS278" s="615"/>
    </row>
    <row r="279" spans="12:45">
      <c r="L279" s="615"/>
      <c r="M279" s="615"/>
      <c r="AB279" s="615"/>
      <c r="AC279" s="615"/>
      <c r="AD279" s="615"/>
      <c r="AE279" s="615"/>
      <c r="AF279" s="615"/>
      <c r="AG279" s="615"/>
      <c r="AH279" s="615"/>
      <c r="AI279" s="615"/>
      <c r="AJ279" s="615"/>
      <c r="AK279" s="615"/>
      <c r="AL279" s="615"/>
      <c r="AM279" s="615"/>
      <c r="AN279" s="615"/>
      <c r="AO279" s="615"/>
      <c r="AP279" s="615"/>
      <c r="AQ279" s="615"/>
      <c r="AR279" s="615"/>
      <c r="AS279" s="615"/>
    </row>
    <row r="280" spans="12:45">
      <c r="L280" s="615"/>
      <c r="M280" s="615"/>
      <c r="AB280" s="615"/>
      <c r="AC280" s="615"/>
      <c r="AD280" s="615"/>
      <c r="AE280" s="615"/>
      <c r="AF280" s="615"/>
      <c r="AG280" s="615"/>
      <c r="AH280" s="615"/>
      <c r="AI280" s="615"/>
      <c r="AJ280" s="615"/>
      <c r="AK280" s="615"/>
      <c r="AL280" s="615"/>
      <c r="AM280" s="615"/>
      <c r="AN280" s="615"/>
      <c r="AO280" s="615"/>
      <c r="AP280" s="615"/>
      <c r="AQ280" s="615"/>
      <c r="AR280" s="615"/>
      <c r="AS280" s="615"/>
    </row>
    <row r="281" spans="12:45">
      <c r="L281" s="615"/>
      <c r="M281" s="615"/>
      <c r="AB281" s="615"/>
      <c r="AC281" s="615"/>
      <c r="AD281" s="615"/>
      <c r="AE281" s="615"/>
      <c r="AF281" s="615"/>
      <c r="AG281" s="615"/>
      <c r="AH281" s="615"/>
      <c r="AI281" s="615"/>
      <c r="AJ281" s="615"/>
      <c r="AK281" s="615"/>
      <c r="AL281" s="615"/>
      <c r="AM281" s="615"/>
      <c r="AN281" s="615"/>
      <c r="AO281" s="615"/>
      <c r="AP281" s="615"/>
      <c r="AQ281" s="615"/>
      <c r="AR281" s="615"/>
      <c r="AS281" s="615"/>
    </row>
    <row r="282" spans="12:45">
      <c r="L282" s="615"/>
      <c r="M282" s="615"/>
      <c r="AB282" s="615"/>
      <c r="AC282" s="615"/>
      <c r="AD282" s="615"/>
      <c r="AE282" s="615"/>
      <c r="AF282" s="615"/>
      <c r="AG282" s="615"/>
      <c r="AH282" s="615"/>
      <c r="AI282" s="615"/>
      <c r="AJ282" s="615"/>
      <c r="AK282" s="615"/>
      <c r="AL282" s="615"/>
      <c r="AM282" s="615"/>
      <c r="AN282" s="615"/>
      <c r="AO282" s="615"/>
      <c r="AP282" s="615"/>
      <c r="AQ282" s="615"/>
      <c r="AR282" s="615"/>
      <c r="AS282" s="615"/>
    </row>
    <row r="283" spans="12:45">
      <c r="L283" s="615"/>
      <c r="M283" s="615"/>
      <c r="AB283" s="615"/>
      <c r="AC283" s="615"/>
      <c r="AD283" s="615"/>
      <c r="AE283" s="615"/>
      <c r="AF283" s="615"/>
      <c r="AG283" s="615"/>
      <c r="AH283" s="615"/>
      <c r="AI283" s="615"/>
      <c r="AJ283" s="615"/>
      <c r="AK283" s="615"/>
      <c r="AL283" s="615"/>
      <c r="AM283" s="615"/>
      <c r="AN283" s="615"/>
      <c r="AO283" s="615"/>
      <c r="AP283" s="615"/>
      <c r="AQ283" s="615"/>
      <c r="AR283" s="615"/>
      <c r="AS283" s="615"/>
    </row>
    <row r="284" spans="12:45">
      <c r="L284" s="615"/>
      <c r="M284" s="615"/>
      <c r="AB284" s="615"/>
      <c r="AC284" s="615"/>
      <c r="AD284" s="615"/>
      <c r="AE284" s="615"/>
      <c r="AF284" s="615"/>
      <c r="AG284" s="615"/>
      <c r="AH284" s="615"/>
      <c r="AI284" s="615"/>
      <c r="AJ284" s="615"/>
      <c r="AK284" s="615"/>
      <c r="AL284" s="615"/>
      <c r="AM284" s="615"/>
      <c r="AN284" s="615"/>
      <c r="AO284" s="615"/>
      <c r="AP284" s="615"/>
      <c r="AQ284" s="615"/>
      <c r="AR284" s="615"/>
      <c r="AS284" s="615"/>
    </row>
    <row r="285" spans="12:45">
      <c r="L285" s="615"/>
      <c r="M285" s="615"/>
      <c r="AB285" s="615"/>
      <c r="AC285" s="615"/>
      <c r="AD285" s="615"/>
      <c r="AE285" s="615"/>
      <c r="AF285" s="615"/>
      <c r="AG285" s="615"/>
      <c r="AH285" s="615"/>
      <c r="AI285" s="615"/>
      <c r="AJ285" s="615"/>
      <c r="AK285" s="615"/>
      <c r="AL285" s="615"/>
      <c r="AM285" s="615"/>
      <c r="AN285" s="615"/>
      <c r="AO285" s="615"/>
      <c r="AP285" s="615"/>
      <c r="AQ285" s="615"/>
      <c r="AR285" s="615"/>
      <c r="AS285" s="615"/>
    </row>
    <row r="286" spans="12:45">
      <c r="L286" s="615"/>
      <c r="M286" s="615"/>
      <c r="AB286" s="615"/>
      <c r="AC286" s="615"/>
      <c r="AD286" s="615"/>
      <c r="AE286" s="615"/>
      <c r="AF286" s="615"/>
      <c r="AG286" s="615"/>
      <c r="AH286" s="615"/>
      <c r="AI286" s="615"/>
      <c r="AJ286" s="615"/>
      <c r="AK286" s="615"/>
      <c r="AL286" s="615"/>
      <c r="AM286" s="615"/>
      <c r="AN286" s="615"/>
      <c r="AO286" s="615"/>
      <c r="AP286" s="615"/>
      <c r="AQ286" s="615"/>
      <c r="AR286" s="615"/>
      <c r="AS286" s="615"/>
    </row>
    <row r="287" spans="12:45">
      <c r="L287" s="615"/>
      <c r="M287" s="615"/>
      <c r="AB287" s="615"/>
      <c r="AC287" s="615"/>
      <c r="AD287" s="615"/>
      <c r="AE287" s="615"/>
      <c r="AF287" s="615"/>
      <c r="AG287" s="615"/>
      <c r="AH287" s="615"/>
      <c r="AI287" s="615"/>
      <c r="AJ287" s="615"/>
      <c r="AK287" s="615"/>
      <c r="AL287" s="615"/>
      <c r="AM287" s="615"/>
      <c r="AN287" s="615"/>
      <c r="AO287" s="615"/>
      <c r="AP287" s="615"/>
      <c r="AQ287" s="615"/>
      <c r="AR287" s="615"/>
      <c r="AS287" s="615"/>
    </row>
    <row r="288" spans="12:45">
      <c r="L288" s="615"/>
      <c r="M288" s="615"/>
      <c r="AB288" s="615"/>
      <c r="AC288" s="615"/>
      <c r="AD288" s="615"/>
      <c r="AE288" s="615"/>
      <c r="AF288" s="615"/>
      <c r="AG288" s="615"/>
      <c r="AH288" s="615"/>
      <c r="AI288" s="615"/>
      <c r="AJ288" s="615"/>
      <c r="AK288" s="615"/>
      <c r="AL288" s="615"/>
      <c r="AM288" s="615"/>
      <c r="AN288" s="615"/>
      <c r="AO288" s="615"/>
      <c r="AP288" s="615"/>
      <c r="AQ288" s="615"/>
      <c r="AR288" s="615"/>
      <c r="AS288" s="615"/>
    </row>
    <row r="289" spans="12:45">
      <c r="L289" s="615"/>
      <c r="M289" s="615"/>
      <c r="AB289" s="615"/>
      <c r="AC289" s="615"/>
      <c r="AD289" s="615"/>
      <c r="AE289" s="615"/>
      <c r="AF289" s="615"/>
      <c r="AG289" s="615"/>
      <c r="AH289" s="615"/>
      <c r="AI289" s="615"/>
      <c r="AJ289" s="615"/>
      <c r="AK289" s="615"/>
      <c r="AL289" s="615"/>
      <c r="AM289" s="615"/>
      <c r="AN289" s="615"/>
      <c r="AO289" s="615"/>
      <c r="AP289" s="615"/>
      <c r="AQ289" s="615"/>
      <c r="AR289" s="615"/>
      <c r="AS289" s="615"/>
    </row>
    <row r="290" spans="12:45">
      <c r="L290" s="615"/>
      <c r="M290" s="615"/>
      <c r="AB290" s="615"/>
      <c r="AC290" s="615"/>
      <c r="AD290" s="615"/>
      <c r="AE290" s="615"/>
      <c r="AF290" s="615"/>
      <c r="AG290" s="615"/>
      <c r="AH290" s="615"/>
      <c r="AI290" s="615"/>
      <c r="AJ290" s="615"/>
      <c r="AK290" s="615"/>
      <c r="AL290" s="615"/>
      <c r="AM290" s="615"/>
      <c r="AN290" s="615"/>
      <c r="AO290" s="615"/>
      <c r="AP290" s="615"/>
      <c r="AQ290" s="615"/>
      <c r="AR290" s="615"/>
      <c r="AS290" s="615"/>
    </row>
    <row r="291" spans="12:45">
      <c r="L291" s="615"/>
      <c r="M291" s="615"/>
      <c r="AB291" s="615"/>
      <c r="AC291" s="615"/>
      <c r="AD291" s="615"/>
      <c r="AE291" s="615"/>
      <c r="AF291" s="615"/>
      <c r="AG291" s="615"/>
      <c r="AH291" s="615"/>
      <c r="AI291" s="615"/>
      <c r="AJ291" s="615"/>
      <c r="AK291" s="615"/>
      <c r="AL291" s="615"/>
      <c r="AM291" s="615"/>
      <c r="AN291" s="615"/>
      <c r="AO291" s="615"/>
      <c r="AP291" s="615"/>
      <c r="AQ291" s="615"/>
      <c r="AR291" s="615"/>
      <c r="AS291" s="615"/>
    </row>
    <row r="292" spans="12:45">
      <c r="L292" s="615"/>
      <c r="M292" s="615"/>
      <c r="AB292" s="615"/>
      <c r="AC292" s="615"/>
      <c r="AD292" s="615"/>
      <c r="AE292" s="615"/>
      <c r="AF292" s="615"/>
      <c r="AG292" s="615"/>
      <c r="AH292" s="615"/>
      <c r="AI292" s="615"/>
      <c r="AJ292" s="615"/>
      <c r="AK292" s="615"/>
      <c r="AL292" s="615"/>
      <c r="AM292" s="615"/>
      <c r="AN292" s="615"/>
      <c r="AO292" s="615"/>
      <c r="AP292" s="615"/>
      <c r="AQ292" s="615"/>
      <c r="AR292" s="615"/>
      <c r="AS292" s="615"/>
    </row>
    <row r="293" spans="12:45">
      <c r="L293" s="615"/>
      <c r="M293" s="615"/>
      <c r="AB293" s="615"/>
      <c r="AC293" s="615"/>
      <c r="AD293" s="615"/>
      <c r="AE293" s="615"/>
      <c r="AF293" s="615"/>
      <c r="AG293" s="615"/>
      <c r="AH293" s="615"/>
      <c r="AI293" s="615"/>
      <c r="AJ293" s="615"/>
      <c r="AK293" s="615"/>
      <c r="AL293" s="615"/>
      <c r="AM293" s="615"/>
      <c r="AN293" s="615"/>
      <c r="AO293" s="615"/>
      <c r="AP293" s="615"/>
      <c r="AQ293" s="615"/>
      <c r="AR293" s="615"/>
      <c r="AS293" s="615"/>
    </row>
    <row r="294" spans="12:45">
      <c r="L294" s="615"/>
      <c r="M294" s="615"/>
      <c r="AB294" s="615"/>
      <c r="AC294" s="615"/>
      <c r="AD294" s="615"/>
      <c r="AE294" s="615"/>
      <c r="AF294" s="615"/>
      <c r="AG294" s="615"/>
      <c r="AH294" s="615"/>
      <c r="AI294" s="615"/>
      <c r="AJ294" s="615"/>
      <c r="AK294" s="615"/>
      <c r="AL294" s="615"/>
      <c r="AM294" s="615"/>
      <c r="AN294" s="615"/>
      <c r="AO294" s="615"/>
      <c r="AP294" s="615"/>
      <c r="AQ294" s="615"/>
      <c r="AR294" s="615"/>
      <c r="AS294" s="615"/>
    </row>
    <row r="295" spans="12:45">
      <c r="L295" s="615"/>
      <c r="M295" s="615"/>
      <c r="AB295" s="615"/>
      <c r="AC295" s="615"/>
      <c r="AD295" s="615"/>
      <c r="AE295" s="615"/>
      <c r="AF295" s="615"/>
      <c r="AG295" s="615"/>
      <c r="AH295" s="615"/>
      <c r="AI295" s="615"/>
      <c r="AJ295" s="615"/>
      <c r="AK295" s="615"/>
      <c r="AL295" s="615"/>
      <c r="AM295" s="615"/>
      <c r="AN295" s="615"/>
      <c r="AO295" s="615"/>
      <c r="AP295" s="615"/>
      <c r="AQ295" s="615"/>
      <c r="AR295" s="615"/>
      <c r="AS295" s="615"/>
    </row>
    <row r="296" spans="12:45">
      <c r="L296" s="615"/>
      <c r="M296" s="615"/>
      <c r="AB296" s="615"/>
      <c r="AC296" s="615"/>
      <c r="AD296" s="615"/>
      <c r="AE296" s="615"/>
      <c r="AF296" s="615"/>
      <c r="AG296" s="615"/>
      <c r="AH296" s="615"/>
      <c r="AI296" s="615"/>
      <c r="AJ296" s="615"/>
      <c r="AK296" s="615"/>
      <c r="AL296" s="615"/>
      <c r="AM296" s="615"/>
      <c r="AN296" s="615"/>
      <c r="AO296" s="615"/>
      <c r="AP296" s="615"/>
      <c r="AQ296" s="615"/>
      <c r="AR296" s="615"/>
      <c r="AS296" s="615"/>
    </row>
    <row r="297" spans="12:45">
      <c r="L297" s="615"/>
      <c r="M297" s="615"/>
      <c r="AB297" s="615"/>
      <c r="AC297" s="615"/>
      <c r="AD297" s="615"/>
      <c r="AE297" s="615"/>
      <c r="AF297" s="615"/>
      <c r="AG297" s="615"/>
      <c r="AH297" s="615"/>
      <c r="AI297" s="615"/>
      <c r="AJ297" s="615"/>
      <c r="AK297" s="615"/>
      <c r="AL297" s="615"/>
      <c r="AM297" s="615"/>
      <c r="AN297" s="615"/>
      <c r="AO297" s="615"/>
      <c r="AP297" s="615"/>
      <c r="AQ297" s="615"/>
      <c r="AR297" s="615"/>
      <c r="AS297" s="615"/>
    </row>
    <row r="298" spans="12:45">
      <c r="L298" s="615"/>
      <c r="M298" s="615"/>
      <c r="AB298" s="615"/>
      <c r="AC298" s="615"/>
      <c r="AD298" s="615"/>
      <c r="AE298" s="615"/>
      <c r="AF298" s="615"/>
      <c r="AG298" s="615"/>
      <c r="AH298" s="615"/>
      <c r="AI298" s="615"/>
      <c r="AJ298" s="615"/>
      <c r="AK298" s="615"/>
      <c r="AL298" s="615"/>
      <c r="AM298" s="615"/>
      <c r="AN298" s="615"/>
      <c r="AO298" s="615"/>
      <c r="AP298" s="615"/>
      <c r="AQ298" s="615"/>
      <c r="AR298" s="615"/>
      <c r="AS298" s="615"/>
    </row>
    <row r="299" spans="12:45">
      <c r="L299" s="615"/>
      <c r="M299" s="615"/>
      <c r="AB299" s="615"/>
      <c r="AC299" s="615"/>
      <c r="AD299" s="615"/>
      <c r="AE299" s="615"/>
      <c r="AF299" s="615"/>
      <c r="AG299" s="615"/>
      <c r="AH299" s="615"/>
      <c r="AI299" s="615"/>
      <c r="AJ299" s="615"/>
      <c r="AK299" s="615"/>
      <c r="AL299" s="615"/>
      <c r="AM299" s="615"/>
      <c r="AN299" s="615"/>
      <c r="AO299" s="615"/>
      <c r="AP299" s="615"/>
      <c r="AQ299" s="615"/>
      <c r="AR299" s="615"/>
      <c r="AS299" s="615"/>
    </row>
    <row r="300" spans="12:45">
      <c r="L300" s="615"/>
      <c r="M300" s="615"/>
      <c r="AB300" s="615"/>
      <c r="AC300" s="615"/>
      <c r="AD300" s="615"/>
      <c r="AE300" s="615"/>
      <c r="AF300" s="615"/>
      <c r="AG300" s="615"/>
      <c r="AH300" s="615"/>
      <c r="AI300" s="615"/>
      <c r="AJ300" s="615"/>
      <c r="AK300" s="615"/>
      <c r="AL300" s="615"/>
      <c r="AM300" s="615"/>
      <c r="AN300" s="615"/>
      <c r="AO300" s="615"/>
      <c r="AP300" s="615"/>
      <c r="AQ300" s="615"/>
      <c r="AR300" s="615"/>
      <c r="AS300" s="615"/>
    </row>
    <row r="301" spans="12:45">
      <c r="L301" s="615"/>
      <c r="M301" s="615"/>
      <c r="AB301" s="615"/>
      <c r="AC301" s="615"/>
      <c r="AD301" s="615"/>
      <c r="AE301" s="615"/>
      <c r="AF301" s="615"/>
      <c r="AG301" s="615"/>
      <c r="AH301" s="615"/>
      <c r="AI301" s="615"/>
      <c r="AJ301" s="615"/>
      <c r="AK301" s="615"/>
      <c r="AL301" s="615"/>
      <c r="AM301" s="615"/>
      <c r="AN301" s="615"/>
      <c r="AO301" s="615"/>
      <c r="AP301" s="615"/>
      <c r="AQ301" s="615"/>
      <c r="AR301" s="615"/>
      <c r="AS301" s="615"/>
    </row>
    <row r="302" spans="12:45">
      <c r="L302" s="615"/>
      <c r="M302" s="615"/>
      <c r="AB302" s="615"/>
      <c r="AC302" s="615"/>
      <c r="AD302" s="615"/>
      <c r="AE302" s="615"/>
      <c r="AF302" s="615"/>
      <c r="AG302" s="615"/>
      <c r="AH302" s="615"/>
      <c r="AI302" s="615"/>
      <c r="AJ302" s="615"/>
      <c r="AK302" s="615"/>
      <c r="AL302" s="615"/>
      <c r="AM302" s="615"/>
      <c r="AN302" s="615"/>
      <c r="AO302" s="615"/>
      <c r="AP302" s="615"/>
      <c r="AQ302" s="615"/>
      <c r="AR302" s="615"/>
      <c r="AS302" s="615"/>
    </row>
    <row r="303" spans="12:45">
      <c r="L303" s="615"/>
      <c r="M303" s="615"/>
      <c r="AB303" s="615"/>
      <c r="AC303" s="615"/>
      <c r="AD303" s="615"/>
      <c r="AE303" s="615"/>
      <c r="AF303" s="615"/>
      <c r="AG303" s="615"/>
      <c r="AH303" s="615"/>
      <c r="AI303" s="615"/>
      <c r="AJ303" s="615"/>
      <c r="AK303" s="615"/>
      <c r="AL303" s="615"/>
      <c r="AM303" s="615"/>
      <c r="AN303" s="615"/>
      <c r="AO303" s="615"/>
      <c r="AP303" s="615"/>
      <c r="AQ303" s="615"/>
      <c r="AR303" s="615"/>
      <c r="AS303" s="615"/>
    </row>
    <row r="304" spans="12:45">
      <c r="L304" s="615"/>
      <c r="M304" s="615"/>
      <c r="AB304" s="615"/>
      <c r="AC304" s="615"/>
      <c r="AD304" s="615"/>
      <c r="AE304" s="615"/>
      <c r="AF304" s="615"/>
      <c r="AG304" s="615"/>
      <c r="AH304" s="615"/>
      <c r="AI304" s="615"/>
      <c r="AJ304" s="615"/>
      <c r="AK304" s="615"/>
      <c r="AL304" s="615"/>
      <c r="AM304" s="615"/>
      <c r="AN304" s="615"/>
      <c r="AO304" s="615"/>
      <c r="AP304" s="615"/>
      <c r="AQ304" s="615"/>
      <c r="AR304" s="615"/>
      <c r="AS304" s="615"/>
    </row>
    <row r="305" spans="12:45">
      <c r="L305" s="615"/>
      <c r="M305" s="615"/>
      <c r="AB305" s="615"/>
      <c r="AC305" s="615"/>
      <c r="AD305" s="615"/>
      <c r="AE305" s="615"/>
      <c r="AF305" s="615"/>
      <c r="AG305" s="615"/>
      <c r="AH305" s="615"/>
      <c r="AI305" s="615"/>
      <c r="AJ305" s="615"/>
      <c r="AK305" s="615"/>
      <c r="AL305" s="615"/>
      <c r="AM305" s="615"/>
      <c r="AN305" s="615"/>
      <c r="AO305" s="615"/>
      <c r="AP305" s="615"/>
      <c r="AQ305" s="615"/>
      <c r="AR305" s="615"/>
      <c r="AS305" s="615"/>
    </row>
    <row r="306" spans="12:45">
      <c r="L306" s="615"/>
      <c r="M306" s="615"/>
      <c r="AB306" s="615"/>
      <c r="AC306" s="615"/>
      <c r="AD306" s="615"/>
      <c r="AE306" s="615"/>
      <c r="AF306" s="615"/>
      <c r="AG306" s="615"/>
      <c r="AH306" s="615"/>
      <c r="AI306" s="615"/>
      <c r="AJ306" s="615"/>
      <c r="AK306" s="615"/>
      <c r="AL306" s="615"/>
      <c r="AM306" s="615"/>
      <c r="AN306" s="615"/>
      <c r="AO306" s="615"/>
      <c r="AP306" s="615"/>
      <c r="AQ306" s="615"/>
      <c r="AR306" s="615"/>
      <c r="AS306" s="615"/>
    </row>
    <row r="307" spans="12:45">
      <c r="L307" s="615"/>
      <c r="M307" s="615"/>
      <c r="AB307" s="615"/>
      <c r="AC307" s="615"/>
      <c r="AD307" s="615"/>
      <c r="AE307" s="615"/>
      <c r="AF307" s="615"/>
      <c r="AG307" s="615"/>
      <c r="AH307" s="615"/>
      <c r="AI307" s="615"/>
      <c r="AJ307" s="615"/>
      <c r="AK307" s="615"/>
      <c r="AL307" s="615"/>
      <c r="AM307" s="615"/>
      <c r="AN307" s="615"/>
      <c r="AO307" s="615"/>
      <c r="AP307" s="615"/>
      <c r="AQ307" s="615"/>
      <c r="AR307" s="615"/>
      <c r="AS307" s="615"/>
    </row>
    <row r="308" spans="12:45">
      <c r="L308" s="615"/>
      <c r="M308" s="615"/>
      <c r="AB308" s="615"/>
      <c r="AC308" s="615"/>
      <c r="AD308" s="615"/>
      <c r="AE308" s="615"/>
      <c r="AF308" s="615"/>
      <c r="AG308" s="615"/>
      <c r="AH308" s="615"/>
      <c r="AI308" s="615"/>
      <c r="AJ308" s="615"/>
      <c r="AK308" s="615"/>
      <c r="AL308" s="615"/>
      <c r="AM308" s="615"/>
      <c r="AN308" s="615"/>
      <c r="AO308" s="615"/>
      <c r="AP308" s="615"/>
      <c r="AQ308" s="615"/>
      <c r="AR308" s="615"/>
      <c r="AS308" s="615"/>
    </row>
    <row r="309" spans="12:45">
      <c r="L309" s="615"/>
      <c r="M309" s="615"/>
      <c r="AB309" s="615"/>
      <c r="AC309" s="615"/>
      <c r="AD309" s="615"/>
      <c r="AE309" s="615"/>
      <c r="AF309" s="615"/>
      <c r="AG309" s="615"/>
      <c r="AH309" s="615"/>
      <c r="AI309" s="615"/>
      <c r="AJ309" s="615"/>
      <c r="AK309" s="615"/>
      <c r="AL309" s="615"/>
      <c r="AM309" s="615"/>
      <c r="AN309" s="615"/>
      <c r="AO309" s="615"/>
      <c r="AP309" s="615"/>
      <c r="AQ309" s="615"/>
      <c r="AR309" s="615"/>
      <c r="AS309" s="615"/>
    </row>
    <row r="310" spans="12:45">
      <c r="L310" s="615"/>
      <c r="M310" s="615"/>
      <c r="AB310" s="615"/>
      <c r="AC310" s="615"/>
      <c r="AD310" s="615"/>
      <c r="AE310" s="615"/>
      <c r="AF310" s="615"/>
      <c r="AG310" s="615"/>
      <c r="AH310" s="615"/>
      <c r="AI310" s="615"/>
      <c r="AJ310" s="615"/>
      <c r="AK310" s="615"/>
      <c r="AL310" s="615"/>
      <c r="AM310" s="615"/>
      <c r="AN310" s="615"/>
      <c r="AO310" s="615"/>
      <c r="AP310" s="615"/>
      <c r="AQ310" s="615"/>
      <c r="AR310" s="615"/>
      <c r="AS310" s="615"/>
    </row>
    <row r="311" spans="12:45">
      <c r="L311" s="615"/>
      <c r="M311" s="615"/>
      <c r="AB311" s="615"/>
      <c r="AC311" s="615"/>
      <c r="AD311" s="615"/>
      <c r="AE311" s="615"/>
      <c r="AF311" s="615"/>
      <c r="AG311" s="615"/>
      <c r="AH311" s="615"/>
      <c r="AI311" s="615"/>
      <c r="AJ311" s="615"/>
      <c r="AK311" s="615"/>
      <c r="AL311" s="615"/>
      <c r="AM311" s="615"/>
      <c r="AN311" s="615"/>
      <c r="AO311" s="615"/>
      <c r="AP311" s="615"/>
      <c r="AQ311" s="615"/>
      <c r="AR311" s="615"/>
      <c r="AS311" s="615"/>
    </row>
    <row r="312" spans="12:45">
      <c r="L312" s="615"/>
      <c r="M312" s="615"/>
      <c r="AB312" s="615"/>
      <c r="AC312" s="615"/>
      <c r="AD312" s="615"/>
      <c r="AE312" s="615"/>
      <c r="AF312" s="615"/>
      <c r="AG312" s="615"/>
      <c r="AH312" s="615"/>
      <c r="AI312" s="615"/>
      <c r="AJ312" s="615"/>
      <c r="AK312" s="615"/>
      <c r="AL312" s="615"/>
      <c r="AM312" s="615"/>
      <c r="AN312" s="615"/>
      <c r="AO312" s="615"/>
      <c r="AP312" s="615"/>
      <c r="AQ312" s="615"/>
      <c r="AR312" s="615"/>
      <c r="AS312" s="615"/>
    </row>
    <row r="313" spans="12:45">
      <c r="L313" s="615"/>
      <c r="M313" s="615"/>
      <c r="AD313" s="615"/>
      <c r="AE313" s="615"/>
      <c r="AF313" s="615"/>
      <c r="AG313" s="615"/>
      <c r="AH313" s="615"/>
      <c r="AI313" s="615"/>
      <c r="AJ313" s="615"/>
      <c r="AK313" s="615"/>
      <c r="AL313" s="615"/>
      <c r="AM313" s="615"/>
      <c r="AN313" s="615"/>
      <c r="AO313" s="615"/>
      <c r="AP313" s="615"/>
      <c r="AQ313" s="615"/>
      <c r="AR313" s="615"/>
      <c r="AS313" s="615"/>
    </row>
    <row r="314" spans="12:45">
      <c r="L314" s="615"/>
      <c r="M314" s="615"/>
      <c r="AD314" s="615"/>
      <c r="AE314" s="615"/>
      <c r="AF314" s="615"/>
      <c r="AG314" s="615"/>
      <c r="AH314" s="615"/>
      <c r="AI314" s="615"/>
      <c r="AJ314" s="615"/>
      <c r="AK314" s="615"/>
      <c r="AL314" s="615"/>
      <c r="AM314" s="615"/>
      <c r="AN314" s="615"/>
      <c r="AO314" s="615"/>
      <c r="AP314" s="615"/>
      <c r="AQ314" s="615"/>
      <c r="AR314" s="615"/>
      <c r="AS314" s="615"/>
    </row>
  </sheetData>
  <sheetProtection sheet="1" objects="1" scenarios="1"/>
  <mergeCells count="132">
    <mergeCell ref="O34:Q34"/>
    <mergeCell ref="S30:AA31"/>
    <mergeCell ref="A31:C31"/>
    <mergeCell ref="E31:H31"/>
    <mergeCell ref="L31:M31"/>
    <mergeCell ref="O32:Q32"/>
    <mergeCell ref="S32:AA33"/>
    <mergeCell ref="O33:Q33"/>
    <mergeCell ref="A29:M29"/>
    <mergeCell ref="O29:Q29"/>
    <mergeCell ref="A30:C30"/>
    <mergeCell ref="E30:H30"/>
    <mergeCell ref="L30:M30"/>
    <mergeCell ref="O30:Q30"/>
    <mergeCell ref="L22:M23"/>
    <mergeCell ref="O22:Q22"/>
    <mergeCell ref="O23:Q24"/>
    <mergeCell ref="A27:C27"/>
    <mergeCell ref="E27:H27"/>
    <mergeCell ref="L27:M27"/>
    <mergeCell ref="Q27:Q28"/>
    <mergeCell ref="S27:Y28"/>
    <mergeCell ref="A28:C28"/>
    <mergeCell ref="E28:H28"/>
    <mergeCell ref="L28:M28"/>
    <mergeCell ref="S23:AA25"/>
    <mergeCell ref="A24:A25"/>
    <mergeCell ref="B24:M25"/>
    <mergeCell ref="O25:Q25"/>
    <mergeCell ref="O26:Q26"/>
    <mergeCell ref="S26:AA26"/>
    <mergeCell ref="O17:Q17"/>
    <mergeCell ref="S17:AA19"/>
    <mergeCell ref="O18:Q18"/>
    <mergeCell ref="O19:Q19"/>
    <mergeCell ref="A20:A21"/>
    <mergeCell ref="B20:B21"/>
    <mergeCell ref="C20:C21"/>
    <mergeCell ref="J20:J21"/>
    <mergeCell ref="K20:K21"/>
    <mergeCell ref="L20:M21"/>
    <mergeCell ref="O20:Q20"/>
    <mergeCell ref="A18:A19"/>
    <mergeCell ref="B18:B19"/>
    <mergeCell ref="C18:C19"/>
    <mergeCell ref="J18:J19"/>
    <mergeCell ref="K18:K19"/>
    <mergeCell ref="L18:M19"/>
    <mergeCell ref="S20:AA22"/>
    <mergeCell ref="O21:Q21"/>
    <mergeCell ref="A22:A23"/>
    <mergeCell ref="B22:B23"/>
    <mergeCell ref="C22:C23"/>
    <mergeCell ref="J22:J23"/>
    <mergeCell ref="K22:K23"/>
    <mergeCell ref="O13:R13"/>
    <mergeCell ref="S13:U13"/>
    <mergeCell ref="W13:AA13"/>
    <mergeCell ref="A14:A15"/>
    <mergeCell ref="B14:B15"/>
    <mergeCell ref="C14:C15"/>
    <mergeCell ref="J14:J15"/>
    <mergeCell ref="K14:K15"/>
    <mergeCell ref="L14:M15"/>
    <mergeCell ref="O15:Q15"/>
    <mergeCell ref="A12:A13"/>
    <mergeCell ref="B12:B13"/>
    <mergeCell ref="C12:C13"/>
    <mergeCell ref="J12:J13"/>
    <mergeCell ref="K12:K13"/>
    <mergeCell ref="L12:M13"/>
    <mergeCell ref="S15:AA16"/>
    <mergeCell ref="A16:A17"/>
    <mergeCell ref="B16:B17"/>
    <mergeCell ref="C16:C17"/>
    <mergeCell ref="J16:J17"/>
    <mergeCell ref="K16:K17"/>
    <mergeCell ref="L16:M17"/>
    <mergeCell ref="O16:Q16"/>
    <mergeCell ref="O10:R10"/>
    <mergeCell ref="S10:U10"/>
    <mergeCell ref="W10:AA10"/>
    <mergeCell ref="O11:R11"/>
    <mergeCell ref="S11:U12"/>
    <mergeCell ref="W11:AA12"/>
    <mergeCell ref="O12:R12"/>
    <mergeCell ref="A10:A11"/>
    <mergeCell ref="B10:B11"/>
    <mergeCell ref="C10:C11"/>
    <mergeCell ref="J10:J11"/>
    <mergeCell ref="K10:K11"/>
    <mergeCell ref="L10:M11"/>
    <mergeCell ref="I8:I9"/>
    <mergeCell ref="J8:M8"/>
    <mergeCell ref="O8:R8"/>
    <mergeCell ref="S8:U8"/>
    <mergeCell ref="W8:AA8"/>
    <mergeCell ref="L9:M9"/>
    <mergeCell ref="O9:R9"/>
    <mergeCell ref="S9:U9"/>
    <mergeCell ref="W9:AA9"/>
    <mergeCell ref="A8:A9"/>
    <mergeCell ref="B8:B9"/>
    <mergeCell ref="C8:C9"/>
    <mergeCell ref="D8:E9"/>
    <mergeCell ref="F8:G9"/>
    <mergeCell ref="H8:H9"/>
    <mergeCell ref="A6:D6"/>
    <mergeCell ref="E6:F6"/>
    <mergeCell ref="G6:H6"/>
    <mergeCell ref="O2:T2"/>
    <mergeCell ref="A4:B4"/>
    <mergeCell ref="C4:E4"/>
    <mergeCell ref="I4:J4"/>
    <mergeCell ref="K4:L4"/>
    <mergeCell ref="B5:D5"/>
    <mergeCell ref="E5:G5"/>
    <mergeCell ref="H5:I5"/>
    <mergeCell ref="J5:L5"/>
    <mergeCell ref="C1:H1"/>
    <mergeCell ref="J1:K1"/>
    <mergeCell ref="L1:M1"/>
    <mergeCell ref="B2:G2"/>
    <mergeCell ref="H2:I2"/>
    <mergeCell ref="J2:M2"/>
    <mergeCell ref="I6:J6"/>
    <mergeCell ref="K6:L6"/>
    <mergeCell ref="A7:C7"/>
    <mergeCell ref="D7:E7"/>
    <mergeCell ref="F7:G7"/>
    <mergeCell ref="H7:J7"/>
    <mergeCell ref="K7:L7"/>
  </mergeCells>
  <dataValidations count="15">
    <dataValidation type="whole" errorStyle="information" allowBlank="1" showInputMessage="1" showErrorMessage="1" error="Enter Number not Range._x000a__x000a_If &gt;50% Rock Considered Bedrock - Zero Treatment Credit" promptTitle="Rock Fragment Percentage" prompt="Enter percentage number not a range._x000a_Reminder:_x000a_0-35% Rock = 100% Credit_x000a_35-50% Rock in Sand = 50% Credit_x000a_50+% Rock = 0% Credit" sqref="C10:C23" xr:uid="{1054ADEA-EF25-4C0D-BF25-71956D355B70}">
      <formula1>0</formula1>
      <formula2>50</formula2>
    </dataValidation>
    <dataValidation allowBlank="1" showInputMessage="1" showErrorMessage="1" prompt="Location of observation" sqref="H7:J7" xr:uid="{46D51A46-7A00-4340-AE8D-96C619523870}"/>
    <dataValidation allowBlank="1" showInputMessage="1" showErrorMessage="1" prompt="Observation #" sqref="D7:E7" xr:uid="{B668A327-4E40-4B2F-880D-C504BDF61482}"/>
    <dataValidation allowBlank="1" showInputMessage="1" showErrorMessage="1" prompt="From Prelim Page" sqref="B2:G2 J2:M2 H5:I5" xr:uid="{1FD5CAEC-00A8-438D-A5BC-F8D2F2DE9BB6}"/>
    <dataValidation type="list" allowBlank="1" showInputMessage="1" showErrorMessage="1" sqref="M4" xr:uid="{8650C3B2-E11B-4AA8-B641-040CE1CC01A5}">
      <formula1>YN</formula1>
    </dataValidation>
    <dataValidation type="list" allowBlank="1" sqref="D10:D23" xr:uid="{970F8671-4405-49FF-96AF-32D2A6C49590}">
      <formula1>Hue</formula1>
    </dataValidation>
    <dataValidation type="list" allowBlank="1" sqref="G10:G23 E10:E23" xr:uid="{DD95FB4B-56FD-4951-B15E-2A04A6CB03B7}">
      <formula1>ValueChroma</formula1>
    </dataValidation>
    <dataValidation type="list" allowBlank="1" sqref="J22 J18 J10 J12 J14 J16 J20" xr:uid="{14B7F628-41FF-41FC-9842-52C9ABDAA575}">
      <formula1>StructureShape</formula1>
    </dataValidation>
    <dataValidation type="list" allowBlank="1" sqref="K22 K18 K10 K12 K14 K16 K20" xr:uid="{1334BF52-B22D-473D-9780-972A54ECF0C6}">
      <formula1>StructureGrade</formula1>
    </dataValidation>
    <dataValidation type="list" allowBlank="1" sqref="L22 L20 L12 L14 L16 L18 L10:M11" xr:uid="{B9D435D0-10E0-46A8-93C6-7BFF70021D03}">
      <formula1>StructureConsistence</formula1>
    </dataValidation>
    <dataValidation type="list" allowBlank="1" showInputMessage="1" prompt="Choose from the list or add your own description with texture" sqref="B22 B18 B10 B12 B14 B16 B20" xr:uid="{325E2DA5-7BD8-481D-9C85-FBA824BE4570}">
      <formula1>SoilTexture7080</formula1>
    </dataValidation>
    <dataValidation type="list" allowBlank="1" sqref="I4" xr:uid="{6ABCA23F-E8D0-4CFE-A49D-D025018A7078}">
      <formula1>SlopeShape</formula1>
    </dataValidation>
    <dataValidation type="decimal" errorStyle="information" showDropDown="1" showInputMessage="1" showErrorMessage="1" errorTitle="Slope" error="Check slope value" prompt="Land Slope" sqref="G4" xr:uid="{66897BF8-96F4-4783-901E-EBCCB3C72411}">
      <formula1>0</formula1>
      <formula2>25</formula2>
    </dataValidation>
    <dataValidation errorStyle="information" allowBlank="1" showInputMessage="1" showErrorMessage="1" error="Check type before proceeding" prompt="Depth of standing water if encountered" sqref="M7" xr:uid="{03F635C1-57B7-4B45-81B4-9197DE578627}"/>
    <dataValidation type="list" allowBlank="1" showInputMessage="1" prompt="If Mottle Color is entered, Redox Kind(s) needs to be completed." sqref="F10:F23" xr:uid="{D0CAE221-0B91-433A-AA5A-05876B26F235}">
      <formula1>Hue</formula1>
    </dataValidation>
  </dataValidations>
  <printOptions horizontalCentered="1" verticalCentered="1"/>
  <pageMargins left="0.25" right="0.25" top="0.25" bottom="0.25" header="0" footer="0"/>
  <pageSetup fitToHeight="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550081" r:id="rId4" name="Check Box 1">
              <controlPr defaultSize="0" autoFill="0" autoLine="0" autoPict="0">
                <anchor moveWithCells="1" sizeWithCells="1">
                  <from>
                    <xdr:col>4</xdr:col>
                    <xdr:colOff>123825</xdr:colOff>
                    <xdr:row>2</xdr:row>
                    <xdr:rowOff>28575</xdr:rowOff>
                  </from>
                  <to>
                    <xdr:col>6</xdr:col>
                    <xdr:colOff>114300</xdr:colOff>
                    <xdr:row>2</xdr:row>
                    <xdr:rowOff>238125</xdr:rowOff>
                  </to>
                </anchor>
              </controlPr>
            </control>
          </mc:Choice>
        </mc:AlternateContent>
        <mc:AlternateContent xmlns:mc="http://schemas.openxmlformats.org/markup-compatibility/2006">
          <mc:Choice Requires="x14">
            <control shapeId="5550082" r:id="rId5" name="Check Box 2">
              <controlPr defaultSize="0" autoFill="0" autoLine="0" autoPict="0">
                <anchor moveWithCells="1" sizeWithCells="1">
                  <from>
                    <xdr:col>5</xdr:col>
                    <xdr:colOff>266700</xdr:colOff>
                    <xdr:row>2</xdr:row>
                    <xdr:rowOff>28575</xdr:rowOff>
                  </from>
                  <to>
                    <xdr:col>7</xdr:col>
                    <xdr:colOff>257175</xdr:colOff>
                    <xdr:row>2</xdr:row>
                    <xdr:rowOff>238125</xdr:rowOff>
                  </to>
                </anchor>
              </controlPr>
            </control>
          </mc:Choice>
        </mc:AlternateContent>
        <mc:AlternateContent xmlns:mc="http://schemas.openxmlformats.org/markup-compatibility/2006">
          <mc:Choice Requires="x14">
            <control shapeId="5550083" r:id="rId6" name="Check Box 3">
              <controlPr defaultSize="0" autoFill="0" autoLine="0" autoPict="0">
                <anchor moveWithCells="1" sizeWithCells="1">
                  <from>
                    <xdr:col>6</xdr:col>
                    <xdr:colOff>447675</xdr:colOff>
                    <xdr:row>2</xdr:row>
                    <xdr:rowOff>28575</xdr:rowOff>
                  </from>
                  <to>
                    <xdr:col>7</xdr:col>
                    <xdr:colOff>952500</xdr:colOff>
                    <xdr:row>2</xdr:row>
                    <xdr:rowOff>238125</xdr:rowOff>
                  </to>
                </anchor>
              </controlPr>
            </control>
          </mc:Choice>
        </mc:AlternateContent>
        <mc:AlternateContent xmlns:mc="http://schemas.openxmlformats.org/markup-compatibility/2006">
          <mc:Choice Requires="x14">
            <control shapeId="5550084" r:id="rId7" name="Check Box 4">
              <controlPr defaultSize="0" autoFill="0" autoLine="0" autoPict="0">
                <anchor moveWithCells="1" sizeWithCells="1">
                  <from>
                    <xdr:col>7</xdr:col>
                    <xdr:colOff>428625</xdr:colOff>
                    <xdr:row>2</xdr:row>
                    <xdr:rowOff>28575</xdr:rowOff>
                  </from>
                  <to>
                    <xdr:col>8</xdr:col>
                    <xdr:colOff>485775</xdr:colOff>
                    <xdr:row>2</xdr:row>
                    <xdr:rowOff>238125</xdr:rowOff>
                  </to>
                </anchor>
              </controlPr>
            </control>
          </mc:Choice>
        </mc:AlternateContent>
        <mc:AlternateContent xmlns:mc="http://schemas.openxmlformats.org/markup-compatibility/2006">
          <mc:Choice Requires="x14">
            <control shapeId="5550085" r:id="rId8" name="Check Box 5">
              <controlPr defaultSize="0" autoFill="0" autoLine="0" autoPict="0">
                <anchor moveWithCells="1" sizeWithCells="1">
                  <from>
                    <xdr:col>7</xdr:col>
                    <xdr:colOff>819150</xdr:colOff>
                    <xdr:row>2</xdr:row>
                    <xdr:rowOff>28575</xdr:rowOff>
                  </from>
                  <to>
                    <xdr:col>9</xdr:col>
                    <xdr:colOff>114300</xdr:colOff>
                    <xdr:row>2</xdr:row>
                    <xdr:rowOff>238125</xdr:rowOff>
                  </to>
                </anchor>
              </controlPr>
            </control>
          </mc:Choice>
        </mc:AlternateContent>
        <mc:AlternateContent xmlns:mc="http://schemas.openxmlformats.org/markup-compatibility/2006">
          <mc:Choice Requires="x14">
            <control shapeId="5550086" r:id="rId9" name="Check Box 6">
              <controlPr defaultSize="0" autoFill="0" autoLine="0" autoPict="0">
                <anchor moveWithCells="1" sizeWithCells="1">
                  <from>
                    <xdr:col>8</xdr:col>
                    <xdr:colOff>485775</xdr:colOff>
                    <xdr:row>2</xdr:row>
                    <xdr:rowOff>28575</xdr:rowOff>
                  </from>
                  <to>
                    <xdr:col>9</xdr:col>
                    <xdr:colOff>733425</xdr:colOff>
                    <xdr:row>2</xdr:row>
                    <xdr:rowOff>238125</xdr:rowOff>
                  </to>
                </anchor>
              </controlPr>
            </control>
          </mc:Choice>
        </mc:AlternateContent>
        <mc:AlternateContent xmlns:mc="http://schemas.openxmlformats.org/markup-compatibility/2006">
          <mc:Choice Requires="x14">
            <control shapeId="5550087" r:id="rId10" name="Check Box 7">
              <controlPr defaultSize="0" autoFill="0" autoLine="0" autoPict="0">
                <anchor moveWithCells="1" sizeWithCells="1">
                  <from>
                    <xdr:col>9</xdr:col>
                    <xdr:colOff>352425</xdr:colOff>
                    <xdr:row>2</xdr:row>
                    <xdr:rowOff>28575</xdr:rowOff>
                  </from>
                  <to>
                    <xdr:col>10</xdr:col>
                    <xdr:colOff>600075</xdr:colOff>
                    <xdr:row>2</xdr:row>
                    <xdr:rowOff>238125</xdr:rowOff>
                  </to>
                </anchor>
              </controlPr>
            </control>
          </mc:Choice>
        </mc:AlternateContent>
        <mc:AlternateContent xmlns:mc="http://schemas.openxmlformats.org/markup-compatibility/2006">
          <mc:Choice Requires="x14">
            <control shapeId="5550088" r:id="rId11" name="Check Box 8">
              <controlPr defaultSize="0" autoFill="0" autoLine="0" autoPict="0">
                <anchor moveWithCells="1">
                  <from>
                    <xdr:col>10</xdr:col>
                    <xdr:colOff>523875</xdr:colOff>
                    <xdr:row>2</xdr:row>
                    <xdr:rowOff>28575</xdr:rowOff>
                  </from>
                  <to>
                    <xdr:col>11</xdr:col>
                    <xdr:colOff>400050</xdr:colOff>
                    <xdr:row>2</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prompt="Observation Type" xr:uid="{D76C7073-7501-4B05-9274-6AAD7D1179F8}">
          <x14:formula1>
            <xm:f>'Drop-Down Lists'!$V$2:$V$5</xm:f>
          </x14:formula1>
          <xm:sqref>F7:G7</xm:sqref>
        </x14:dataValidation>
        <x14:dataValidation type="list" allowBlank="1" showInputMessage="1" prompt="Choose from the list or add your own description" xr:uid="{542052DA-8C9E-4DE0-98AA-84E211B16BDA}">
          <x14:formula1>
            <xm:f>'Drop-Down Lists'!$T$2:$T$10</xm:f>
          </x14:formula1>
          <xm:sqref>C4:E4</xm:sqref>
        </x14:dataValidation>
        <x14:dataValidation type="list" allowBlank="1" showInputMessage="1" prompt="Choose from the list or add your own description" xr:uid="{09110FA7-F002-4EAE-8B2E-CDD7CAD9CAA5}">
          <x14:formula1>
            <xm:f>'Drop-Down Lists'!$U$2:$U$9</xm:f>
          </x14:formula1>
          <xm:sqref>B5:D5</xm:sqref>
        </x14:dataValidation>
        <x14:dataValidation type="list" allowBlank="1" showInputMessage="1" prompt="Indicator definitions are found on soil chart." xr:uid="{2A0A0557-5F7F-4C0F-8AB3-3720FD70769D}">
          <x14:formula1>
            <xm:f>'Drop-Down Lists'!$M$2:$M$34</xm:f>
          </x14:formula1>
          <xm:sqref>I10:I23</xm:sqref>
        </x14:dataValidation>
        <x14:dataValidation type="list" allowBlank="1" showInputMessage="1" prompt="If Redox Kind(s) are entered, Type of Indicator needs to be completed" xr:uid="{14041B5D-E6A0-46B4-B587-5A33B3A059DB}">
          <x14:formula1>
            <xm:f>'Drop-Down Lists'!$L$2:$L$5</xm:f>
          </x14:formula1>
          <xm:sqref>H10:H23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563C8A5368B442A4916E0164F87EC6" ma:contentTypeVersion="10" ma:contentTypeDescription="Create a new document." ma:contentTypeScope="" ma:versionID="bfa00f5c129a0b7e63a5a7f667e298bd">
  <xsd:schema xmlns:xsd="http://www.w3.org/2001/XMLSchema" xmlns:xs="http://www.w3.org/2001/XMLSchema" xmlns:p="http://schemas.microsoft.com/office/2006/metadata/properties" xmlns:ns3="1cf9b36a-d59b-4038-a801-8c40c2e7e171" targetNamespace="http://schemas.microsoft.com/office/2006/metadata/properties" ma:root="true" ma:fieldsID="246ec96156dc511419f1cdbbb4df3d51" ns3:_="">
    <xsd:import namespace="1cf9b36a-d59b-4038-a801-8c40c2e7e17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_activity"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9b36a-d59b-4038-a801-8c40c2e7e17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BillingMetadata" ma:index="1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cf9b36a-d59b-4038-a801-8c40c2e7e171" xsi:nil="true"/>
  </documentManagement>
</p:properties>
</file>

<file path=customXml/itemProps1.xml><?xml version="1.0" encoding="utf-8"?>
<ds:datastoreItem xmlns:ds="http://schemas.openxmlformats.org/officeDocument/2006/customXml" ds:itemID="{988A9F31-A96F-405D-8994-46614F4175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9b36a-d59b-4038-a801-8c40c2e7e1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303735-CE3A-440D-8811-97C7F244A815}">
  <ds:schemaRefs>
    <ds:schemaRef ds:uri="http://schemas.microsoft.com/sharepoint/v3/contenttype/forms"/>
  </ds:schemaRefs>
</ds:datastoreItem>
</file>

<file path=customXml/itemProps3.xml><?xml version="1.0" encoding="utf-8"?>
<ds:datastoreItem xmlns:ds="http://schemas.openxmlformats.org/officeDocument/2006/customXml" ds:itemID="{F52821BF-2083-402D-9CE5-8680A293D2F9}">
  <ds:schemaRefs>
    <ds:schemaRef ds:uri="http://schemas.microsoft.com/office/2006/metadata/properties"/>
    <ds:schemaRef ds:uri="http://schemas.microsoft.com/office/infopath/2007/PartnerControls"/>
    <ds:schemaRef ds:uri="1cf9b36a-d59b-4038-a801-8c40c2e7e1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123</vt:i4>
      </vt:variant>
    </vt:vector>
  </HeadingPairs>
  <TitlesOfParts>
    <vt:vector size="175" baseType="lpstr">
      <vt:lpstr>Drop-Down Lists</vt:lpstr>
      <vt:lpstr>Instructions</vt:lpstr>
      <vt:lpstr>Prelim</vt:lpstr>
      <vt:lpstr>Field</vt:lpstr>
      <vt:lpstr>Soil Log Single Signature</vt:lpstr>
      <vt:lpstr>Soil Log (1)</vt:lpstr>
      <vt:lpstr>System Elevations Development</vt:lpstr>
      <vt:lpstr>Site Eval Map</vt:lpstr>
      <vt:lpstr>Soil Log (2)</vt:lpstr>
      <vt:lpstr>Soil Log (3)</vt:lpstr>
      <vt:lpstr>Soil Log (4)</vt:lpstr>
      <vt:lpstr>Soil Log (5)</vt:lpstr>
      <vt:lpstr>Soil Log (6)</vt:lpstr>
      <vt:lpstr>Soil Log (7)</vt:lpstr>
      <vt:lpstr>Soil Chart </vt:lpstr>
      <vt:lpstr>Perc. Test</vt:lpstr>
      <vt:lpstr>Sketch</vt:lpstr>
      <vt:lpstr>Site Sketch &amp; Elev</vt:lpstr>
      <vt:lpstr>Design Details &amp; Summary</vt:lpstr>
      <vt:lpstr>Trench</vt:lpstr>
      <vt:lpstr>Bed </vt:lpstr>
      <vt:lpstr>At-Grade</vt:lpstr>
      <vt:lpstr>Mound ≤ 1%</vt:lpstr>
      <vt:lpstr>Mound&gt;1%</vt:lpstr>
      <vt:lpstr>Mound Mat.</vt:lpstr>
      <vt:lpstr>Drip 2023</vt:lpstr>
      <vt:lpstr>Pres. Dist. STA</vt:lpstr>
      <vt:lpstr>Non-Level  STA</vt:lpstr>
      <vt:lpstr>Pump-Basic STA</vt:lpstr>
      <vt:lpstr>Pump Tank STA Demand</vt:lpstr>
      <vt:lpstr>Pump Tank STA Time</vt:lpstr>
      <vt:lpstr>Tank Buoyancy</vt:lpstr>
      <vt:lpstr>Tank Buoyancy (2)</vt:lpstr>
      <vt:lpstr>Optional Tank details</vt:lpstr>
      <vt:lpstr>Organic Loading</vt:lpstr>
      <vt:lpstr>Drip 2025</vt:lpstr>
      <vt:lpstr>Drip 2026 </vt:lpstr>
      <vt:lpstr>Drip </vt:lpstr>
      <vt:lpstr>Pres. Dist. (Other)</vt:lpstr>
      <vt:lpstr>Pump-Basic (Other)</vt:lpstr>
      <vt:lpstr>Pump Tank (Other) Demand</vt:lpstr>
      <vt:lpstr>Pump-Tank(Other)Time</vt:lpstr>
      <vt:lpstr>Pump-Collection</vt:lpstr>
      <vt:lpstr>Flow EQ STA</vt:lpstr>
      <vt:lpstr>Flow EQ (Other</vt:lpstr>
      <vt:lpstr>Existing Dwellings</vt:lpstr>
      <vt:lpstr>OE-Measured Flow</vt:lpstr>
      <vt:lpstr>OE-Estimated Flow</vt:lpstr>
      <vt:lpstr>Final Flow Total</vt:lpstr>
      <vt:lpstr>Flow &amp; System Summary</vt:lpstr>
      <vt:lpstr>Sand Filter</vt:lpstr>
      <vt:lpstr>Waste Strengths</vt:lpstr>
      <vt:lpstr>'Pump-Basic (Other)'!_10___45_gpm</vt:lpstr>
      <vt:lpstr>_10___45_gpm</vt:lpstr>
      <vt:lpstr>AtGradeDown</vt:lpstr>
      <vt:lpstr>AtGradeUp</vt:lpstr>
      <vt:lpstr>Bedrooms</vt:lpstr>
      <vt:lpstr>CLR</vt:lpstr>
      <vt:lpstr>CoarseFragments</vt:lpstr>
      <vt:lpstr>DepthAlarm</vt:lpstr>
      <vt:lpstr>DepthPipe</vt:lpstr>
      <vt:lpstr>DispersalMedia</vt:lpstr>
      <vt:lpstr>DistHeadLoss</vt:lpstr>
      <vt:lpstr>DistMedia</vt:lpstr>
      <vt:lpstr>DistType</vt:lpstr>
      <vt:lpstr>EffScreen</vt:lpstr>
      <vt:lpstr>EndCenter</vt:lpstr>
      <vt:lpstr>FlowClass</vt:lpstr>
      <vt:lpstr>Gravity_Or_Pressure</vt:lpstr>
      <vt:lpstr>Hue</vt:lpstr>
      <vt:lpstr>LandscapePosition</vt:lpstr>
      <vt:lpstr>Laterals</vt:lpstr>
      <vt:lpstr>MediaDepth</vt:lpstr>
      <vt:lpstr>'Mound ≤ 1%'!MediaLoadRate</vt:lpstr>
      <vt:lpstr>MediaLoadRate</vt:lpstr>
      <vt:lpstr>MinHead</vt:lpstr>
      <vt:lpstr>MoundAbsorptionRatio</vt:lpstr>
      <vt:lpstr>MPCAType</vt:lpstr>
      <vt:lpstr>Nutrients</vt:lpstr>
      <vt:lpstr>ObservationType</vt:lpstr>
      <vt:lpstr>OtherEstabType</vt:lpstr>
      <vt:lpstr>OtherEstabUnit</vt:lpstr>
      <vt:lpstr>PerfDia</vt:lpstr>
      <vt:lpstr>PerfSpace</vt:lpstr>
      <vt:lpstr>PipeDia</vt:lpstr>
      <vt:lpstr>'At-Grade'!Print_Area</vt:lpstr>
      <vt:lpstr>'Bed '!Print_Area</vt:lpstr>
      <vt:lpstr>'Design Details &amp; Summary'!Print_Area</vt:lpstr>
      <vt:lpstr>'Drip '!Print_Area</vt:lpstr>
      <vt:lpstr>'Drip 2023'!Print_Area</vt:lpstr>
      <vt:lpstr>'Drip 2025'!Print_Area</vt:lpstr>
      <vt:lpstr>'Drip 2026 '!Print_Area</vt:lpstr>
      <vt:lpstr>'Drop-Down Lists'!Print_Area</vt:lpstr>
      <vt:lpstr>'Existing Dwellings'!Print_Area</vt:lpstr>
      <vt:lpstr>Field!Print_Area</vt:lpstr>
      <vt:lpstr>'Final Flow Total'!Print_Area</vt:lpstr>
      <vt:lpstr>'Flow &amp; System Summary'!Print_Area</vt:lpstr>
      <vt:lpstr>'Flow EQ (Other'!Print_Area</vt:lpstr>
      <vt:lpstr>'Flow EQ STA'!Print_Area</vt:lpstr>
      <vt:lpstr>Instructions!Print_Area</vt:lpstr>
      <vt:lpstr>'Mound ≤ 1%'!Print_Area</vt:lpstr>
      <vt:lpstr>'Mound Mat.'!Print_Area</vt:lpstr>
      <vt:lpstr>'Mound&gt;1%'!Print_Area</vt:lpstr>
      <vt:lpstr>'Non-Level  STA'!Print_Area</vt:lpstr>
      <vt:lpstr>'OE-Estimated Flow'!Print_Area</vt:lpstr>
      <vt:lpstr>'OE-Measured Flow'!Print_Area</vt:lpstr>
      <vt:lpstr>'Optional Tank details'!Print_Area</vt:lpstr>
      <vt:lpstr>'Organic Loading'!Print_Area</vt:lpstr>
      <vt:lpstr>'Perc. Test'!Print_Area</vt:lpstr>
      <vt:lpstr>Prelim!Print_Area</vt:lpstr>
      <vt:lpstr>'Pres. Dist. (Other)'!Print_Area</vt:lpstr>
      <vt:lpstr>'Pres. Dist. STA'!Print_Area</vt:lpstr>
      <vt:lpstr>'Pump Tank (Other) Demand'!Print_Area</vt:lpstr>
      <vt:lpstr>'Pump Tank STA Demand'!Print_Area</vt:lpstr>
      <vt:lpstr>'Pump Tank STA Time'!Print_Area</vt:lpstr>
      <vt:lpstr>'Pump-Basic (Other)'!Print_Area</vt:lpstr>
      <vt:lpstr>'Pump-Basic STA'!Print_Area</vt:lpstr>
      <vt:lpstr>'Pump-Collection'!Print_Area</vt:lpstr>
      <vt:lpstr>'Pump-Tank(Other)Time'!Print_Area</vt:lpstr>
      <vt:lpstr>'Sand Filter'!Print_Area</vt:lpstr>
      <vt:lpstr>'Site Eval Map'!Print_Area</vt:lpstr>
      <vt:lpstr>'Site Sketch &amp; Elev'!Print_Area</vt:lpstr>
      <vt:lpstr>Sketch!Print_Area</vt:lpstr>
      <vt:lpstr>'Soil Chart '!Print_Area</vt:lpstr>
      <vt:lpstr>'Soil Log (1)'!Print_Area</vt:lpstr>
      <vt:lpstr>'Soil Log (2)'!Print_Area</vt:lpstr>
      <vt:lpstr>'Soil Log (3)'!Print_Area</vt:lpstr>
      <vt:lpstr>'Soil Log (4)'!Print_Area</vt:lpstr>
      <vt:lpstr>'Soil Log (5)'!Print_Area</vt:lpstr>
      <vt:lpstr>'Soil Log (6)'!Print_Area</vt:lpstr>
      <vt:lpstr>'Soil Log (7)'!Print_Area</vt:lpstr>
      <vt:lpstr>'Soil Log Single Signature'!Print_Area</vt:lpstr>
      <vt:lpstr>'System Elevations Development'!Print_Area</vt:lpstr>
      <vt:lpstr>'Tank Buoyancy'!Print_Area</vt:lpstr>
      <vt:lpstr>'Tank Buoyancy (2)'!Print_Area</vt:lpstr>
      <vt:lpstr>Trench!Print_Area</vt:lpstr>
      <vt:lpstr>'Waste Strengths'!Print_Area</vt:lpstr>
      <vt:lpstr>'Flow &amp; System Summary'!Print_Titles</vt:lpstr>
      <vt:lpstr>'Non-Level  STA'!Print_Titles</vt:lpstr>
      <vt:lpstr>'OE-Measured Flow'!Print_Titles</vt:lpstr>
      <vt:lpstr>'Pres. Dist. (Other)'!Print_Titles</vt:lpstr>
      <vt:lpstr>'Pres. Dist. STA'!Print_Titles</vt:lpstr>
      <vt:lpstr>'Pump Tank STA Demand'!Print_Titles</vt:lpstr>
      <vt:lpstr>'Pump Tank STA Time'!Print_Titles</vt:lpstr>
      <vt:lpstr>'Pump-Collection'!Print_Titles</vt:lpstr>
      <vt:lpstr>'Pump-Tank(Other)Time'!Print_Titles</vt:lpstr>
      <vt:lpstr>'Sand Filter'!Print_Titles</vt:lpstr>
      <vt:lpstr>Sketch!Print_Titles</vt:lpstr>
      <vt:lpstr>'System Elevations Development'!Print_Titles</vt:lpstr>
      <vt:lpstr>'Waste Strengths'!Print_Titles</vt:lpstr>
      <vt:lpstr>PumpTankDesc</vt:lpstr>
      <vt:lpstr>PumpTankType</vt:lpstr>
      <vt:lpstr>PumpType</vt:lpstr>
      <vt:lpstr>RedoxIndicators</vt:lpstr>
      <vt:lpstr>RedoxKind</vt:lpstr>
      <vt:lpstr>Reduction</vt:lpstr>
      <vt:lpstr>RockFragments</vt:lpstr>
      <vt:lpstr>Sandy_Soil_Options</vt:lpstr>
      <vt:lpstr>SHLR</vt:lpstr>
      <vt:lpstr>SizeMult</vt:lpstr>
      <vt:lpstr>Slope</vt:lpstr>
      <vt:lpstr>SlopeShape</vt:lpstr>
      <vt:lpstr>SoilTexture7080</vt:lpstr>
      <vt:lpstr>SoilTextureOSTP</vt:lpstr>
      <vt:lpstr>STA</vt:lpstr>
      <vt:lpstr>StructureConsistence</vt:lpstr>
      <vt:lpstr>StructureGrade</vt:lpstr>
      <vt:lpstr>StructureShape</vt:lpstr>
      <vt:lpstr>TankSize</vt:lpstr>
      <vt:lpstr>TreatmentLevel</vt:lpstr>
      <vt:lpstr>TypeOfWastewater</vt:lpstr>
      <vt:lpstr>ValueChroma</vt:lpstr>
      <vt:lpstr>VolumePipe</vt:lpstr>
      <vt:lpstr>YN</vt:lpstr>
      <vt:lpstr>YNOptional</vt:lpstr>
    </vt:vector>
  </TitlesOfParts>
  <Manager>Sara Christopherson</Manager>
  <Company>University of Minnesota Onsite Sewage Treatment Program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SSTS Design Forms</dc:title>
  <dc:subject>Automated Design Forms for Septic System Design</dc:subject>
  <dc:creator>UMN</dc:creator>
  <cp:keywords/>
  <dc:description/>
  <cp:lastModifiedBy>Pete Otterness</cp:lastModifiedBy>
  <cp:revision/>
  <dcterms:created xsi:type="dcterms:W3CDTF">2008-02-21T14:08:28Z</dcterms:created>
  <dcterms:modified xsi:type="dcterms:W3CDTF">2026-07-15T22:29:12Z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0x010100EC563C8A5368B442A4916E0164F87EC6</vt:lpwstr>
  </property>
</Properties>
</file>